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75AEF91A-3D02-5446-8AED-5A9CCDBB25B5}" xr6:coauthVersionLast="47" xr6:coauthVersionMax="47" xr10:uidLastSave="{00000000-0000-0000-0000-000000000000}"/>
  <bookViews>
    <workbookView xWindow="5620" yWindow="540" windowWidth="36940" windowHeight="24660" xr2:uid="{8F60BFAF-A7A0-7042-83AD-DF9A17BAF2EC}"/>
  </bookViews>
  <sheets>
    <sheet name="O" sheetId="2" r:id="rId1"/>
    <sheet name="E" sheetId="1" r:id="rId2"/>
    <sheet name="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7" i="1" l="1"/>
  <c r="IG3" i="1"/>
  <c r="IH3" i="1" s="1"/>
  <c r="II3" i="1" s="1"/>
  <c r="IJ3" i="1" s="1"/>
  <c r="IK3" i="1" s="1"/>
  <c r="GY3" i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FE3" i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DA3" i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BA3" i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AU3" i="1"/>
  <c r="AV3" i="1" s="1"/>
  <c r="AW3" i="1" s="1"/>
  <c r="AX3" i="1" s="1"/>
  <c r="AY3" i="1" s="1"/>
  <c r="AZ3" i="1" s="1"/>
  <c r="AT3" i="1"/>
  <c r="AJ19" i="1"/>
  <c r="S154" i="1"/>
  <c r="R103" i="1"/>
  <c r="R102" i="1"/>
  <c r="R104" i="1" s="1"/>
  <c r="R101" i="1"/>
  <c r="S103" i="1"/>
  <c r="S102" i="1"/>
  <c r="S104" i="1" s="1"/>
  <c r="S101" i="1"/>
  <c r="S95" i="1"/>
  <c r="S97" i="1" s="1"/>
  <c r="S89" i="1"/>
  <c r="R89" i="1"/>
  <c r="R95" i="1" s="1"/>
  <c r="R97" i="1" s="1"/>
  <c r="S73" i="1"/>
  <c r="S105" i="1" s="1"/>
  <c r="R73" i="1"/>
  <c r="R79" i="1" s="1"/>
  <c r="S67" i="1"/>
  <c r="R67" i="1"/>
  <c r="S10" i="1"/>
  <c r="S63" i="1"/>
  <c r="S62" i="1"/>
  <c r="S61" i="1"/>
  <c r="R58" i="1"/>
  <c r="S57" i="1"/>
  <c r="R55" i="1"/>
  <c r="S51" i="1"/>
  <c r="S50" i="1"/>
  <c r="S49" i="1"/>
  <c r="S48" i="1"/>
  <c r="S47" i="1"/>
  <c r="S46" i="1"/>
  <c r="S45" i="1"/>
  <c r="S43" i="1"/>
  <c r="S42" i="1"/>
  <c r="R45" i="1"/>
  <c r="S26" i="1"/>
  <c r="S18" i="1"/>
  <c r="S56" i="1" s="1"/>
  <c r="AJ20" i="1"/>
  <c r="R9" i="1"/>
  <c r="R8" i="1"/>
  <c r="R7" i="1"/>
  <c r="R6" i="1"/>
  <c r="R5" i="1"/>
  <c r="R4" i="1"/>
  <c r="R33" i="1"/>
  <c r="R31" i="1"/>
  <c r="R29" i="1"/>
  <c r="R28" i="1"/>
  <c r="R25" i="1"/>
  <c r="R51" i="1" s="1"/>
  <c r="R24" i="1"/>
  <c r="R50" i="1" s="1"/>
  <c r="R23" i="1"/>
  <c r="R49" i="1" s="1"/>
  <c r="R22" i="1"/>
  <c r="R48" i="1" s="1"/>
  <c r="R21" i="1"/>
  <c r="R47" i="1" s="1"/>
  <c r="R20" i="1"/>
  <c r="R62" i="1" s="1"/>
  <c r="R19" i="1"/>
  <c r="R17" i="1"/>
  <c r="R43" i="1" s="1"/>
  <c r="R16" i="1"/>
  <c r="R18" i="1" s="1"/>
  <c r="AI26" i="1"/>
  <c r="AI18" i="1"/>
  <c r="AJ9" i="1"/>
  <c r="AK9" i="1" s="1"/>
  <c r="AL9" i="1" s="1"/>
  <c r="AM9" i="1" s="1"/>
  <c r="AN9" i="1" s="1"/>
  <c r="AO9" i="1" s="1"/>
  <c r="AP9" i="1" s="1"/>
  <c r="AQ9" i="1" s="1"/>
  <c r="AR9" i="1" s="1"/>
  <c r="AS9" i="1" s="1"/>
  <c r="AJ8" i="1"/>
  <c r="AK8" i="1" s="1"/>
  <c r="AL8" i="1" s="1"/>
  <c r="AM8" i="1" s="1"/>
  <c r="AN8" i="1" s="1"/>
  <c r="AO8" i="1" s="1"/>
  <c r="AP8" i="1" s="1"/>
  <c r="AQ8" i="1" s="1"/>
  <c r="AR8" i="1" s="1"/>
  <c r="AS8" i="1" s="1"/>
  <c r="AJ6" i="1"/>
  <c r="AK6" i="1" s="1"/>
  <c r="AL6" i="1" s="1"/>
  <c r="AM6" i="1" s="1"/>
  <c r="AN6" i="1" s="1"/>
  <c r="AO6" i="1" s="1"/>
  <c r="AP6" i="1" s="1"/>
  <c r="AQ6" i="1" s="1"/>
  <c r="AR6" i="1" s="1"/>
  <c r="AS6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J5" i="1"/>
  <c r="AK5" i="1" s="1"/>
  <c r="AL5" i="1" s="1"/>
  <c r="AM5" i="1" s="1"/>
  <c r="AN5" i="1" s="1"/>
  <c r="AO5" i="1" s="1"/>
  <c r="AP5" i="1" s="1"/>
  <c r="AQ5" i="1" s="1"/>
  <c r="AR5" i="1" s="1"/>
  <c r="AS5" i="1" s="1"/>
  <c r="AH51" i="1"/>
  <c r="AG51" i="1"/>
  <c r="AF51" i="1"/>
  <c r="AH50" i="1"/>
  <c r="AG50" i="1"/>
  <c r="AF50" i="1"/>
  <c r="AH49" i="1"/>
  <c r="AG49" i="1"/>
  <c r="AF49" i="1"/>
  <c r="AH48" i="1"/>
  <c r="AG48" i="1"/>
  <c r="AF48" i="1"/>
  <c r="AH47" i="1"/>
  <c r="AG47" i="1"/>
  <c r="AF47" i="1"/>
  <c r="AH46" i="1"/>
  <c r="AG46" i="1"/>
  <c r="AF46" i="1"/>
  <c r="AH45" i="1"/>
  <c r="AG45" i="1"/>
  <c r="AF45" i="1"/>
  <c r="Q51" i="1"/>
  <c r="P51" i="1"/>
  <c r="O51" i="1"/>
  <c r="M51" i="1"/>
  <c r="L51" i="1"/>
  <c r="K51" i="1"/>
  <c r="I51" i="1"/>
  <c r="H51" i="1"/>
  <c r="G51" i="1"/>
  <c r="Q50" i="1"/>
  <c r="P50" i="1"/>
  <c r="O50" i="1"/>
  <c r="M50" i="1"/>
  <c r="L50" i="1"/>
  <c r="K50" i="1"/>
  <c r="I50" i="1"/>
  <c r="H50" i="1"/>
  <c r="G50" i="1"/>
  <c r="Q49" i="1"/>
  <c r="P49" i="1"/>
  <c r="O49" i="1"/>
  <c r="M49" i="1"/>
  <c r="L49" i="1"/>
  <c r="K49" i="1"/>
  <c r="I49" i="1"/>
  <c r="H49" i="1"/>
  <c r="G49" i="1"/>
  <c r="Q48" i="1"/>
  <c r="P48" i="1"/>
  <c r="O48" i="1"/>
  <c r="M48" i="1"/>
  <c r="L48" i="1"/>
  <c r="K48" i="1"/>
  <c r="I48" i="1"/>
  <c r="H48" i="1"/>
  <c r="G48" i="1"/>
  <c r="Q47" i="1"/>
  <c r="P47" i="1"/>
  <c r="O47" i="1"/>
  <c r="M47" i="1"/>
  <c r="L47" i="1"/>
  <c r="K47" i="1"/>
  <c r="I47" i="1"/>
  <c r="H47" i="1"/>
  <c r="G47" i="1"/>
  <c r="Q46" i="1"/>
  <c r="P46" i="1"/>
  <c r="O46" i="1"/>
  <c r="M46" i="1"/>
  <c r="L46" i="1"/>
  <c r="K46" i="1"/>
  <c r="I46" i="1"/>
  <c r="H46" i="1"/>
  <c r="G46" i="1"/>
  <c r="Q45" i="1"/>
  <c r="P45" i="1"/>
  <c r="O45" i="1"/>
  <c r="M45" i="1"/>
  <c r="L45" i="1"/>
  <c r="K45" i="1"/>
  <c r="I45" i="1"/>
  <c r="H45" i="1"/>
  <c r="G45" i="1"/>
  <c r="Q168" i="1"/>
  <c r="Q166" i="1"/>
  <c r="Q167" i="1" s="1"/>
  <c r="AH147" i="1"/>
  <c r="AH137" i="1"/>
  <c r="AH130" i="1"/>
  <c r="AH154" i="1" s="1"/>
  <c r="P139" i="1"/>
  <c r="Q139" i="1" s="1"/>
  <c r="Q102" i="1" s="1"/>
  <c r="P146" i="1"/>
  <c r="Q146" i="1" s="1"/>
  <c r="P145" i="1"/>
  <c r="P143" i="1"/>
  <c r="P144" i="1"/>
  <c r="Q144" i="1" s="1"/>
  <c r="P142" i="1"/>
  <c r="Q142" i="1" s="1"/>
  <c r="P136" i="1"/>
  <c r="Q136" i="1" s="1"/>
  <c r="P135" i="1"/>
  <c r="P134" i="1"/>
  <c r="Q134" i="1" s="1"/>
  <c r="P133" i="1"/>
  <c r="Q133" i="1" s="1"/>
  <c r="P132" i="1"/>
  <c r="Q132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O147" i="1"/>
  <c r="O137" i="1"/>
  <c r="O130" i="1"/>
  <c r="O154" i="1" s="1"/>
  <c r="F154" i="1"/>
  <c r="E154" i="1"/>
  <c r="D154" i="1"/>
  <c r="C154" i="1"/>
  <c r="Q150" i="1"/>
  <c r="P150" i="1"/>
  <c r="O150" i="1"/>
  <c r="N150" i="1"/>
  <c r="Q143" i="1"/>
  <c r="E105" i="1"/>
  <c r="D105" i="1"/>
  <c r="C105" i="1"/>
  <c r="Q103" i="1"/>
  <c r="P103" i="1"/>
  <c r="O103" i="1"/>
  <c r="N103" i="1"/>
  <c r="O102" i="1"/>
  <c r="Q101" i="1"/>
  <c r="P101" i="1"/>
  <c r="O101" i="1"/>
  <c r="N101" i="1"/>
  <c r="O89" i="1"/>
  <c r="O95" i="1" s="1"/>
  <c r="O97" i="1" s="1"/>
  <c r="O73" i="1"/>
  <c r="O79" i="1" s="1"/>
  <c r="P89" i="1"/>
  <c r="P95" i="1" s="1"/>
  <c r="P97" i="1" s="1"/>
  <c r="P73" i="1"/>
  <c r="P79" i="1" s="1"/>
  <c r="N89" i="1"/>
  <c r="N95" i="1" s="1"/>
  <c r="N97" i="1" s="1"/>
  <c r="N73" i="1"/>
  <c r="N79" i="1" s="1"/>
  <c r="P67" i="1"/>
  <c r="Q67" i="1"/>
  <c r="Q89" i="1"/>
  <c r="Q95" i="1" s="1"/>
  <c r="Q97" i="1" s="1"/>
  <c r="Q73" i="1"/>
  <c r="Q79" i="1" s="1"/>
  <c r="N67" i="1"/>
  <c r="O67" i="1"/>
  <c r="M67" i="1"/>
  <c r="Q63" i="1"/>
  <c r="P63" i="1"/>
  <c r="O63" i="1"/>
  <c r="Q62" i="1"/>
  <c r="P62" i="1"/>
  <c r="O62" i="1"/>
  <c r="Q61" i="1"/>
  <c r="P61" i="1"/>
  <c r="O61" i="1"/>
  <c r="Q43" i="1"/>
  <c r="P43" i="1"/>
  <c r="O43" i="1"/>
  <c r="Q42" i="1"/>
  <c r="P42" i="1"/>
  <c r="O42" i="1"/>
  <c r="P10" i="1"/>
  <c r="P26" i="1"/>
  <c r="P18" i="1"/>
  <c r="P57" i="1" s="1"/>
  <c r="Q26" i="1"/>
  <c r="Q18" i="1"/>
  <c r="Q56" i="1" s="1"/>
  <c r="Q10" i="1"/>
  <c r="AH9" i="1"/>
  <c r="AH8" i="1"/>
  <c r="AH6" i="1"/>
  <c r="AE6" i="1" s="1"/>
  <c r="AH5" i="1"/>
  <c r="AE5" i="1" s="1"/>
  <c r="AH4" i="1"/>
  <c r="AE4" i="1" s="1"/>
  <c r="N33" i="1"/>
  <c r="N31" i="1"/>
  <c r="N29" i="1"/>
  <c r="N28" i="1"/>
  <c r="N25" i="1"/>
  <c r="N24" i="1"/>
  <c r="N23" i="1"/>
  <c r="N22" i="1"/>
  <c r="N21" i="1"/>
  <c r="N20" i="1"/>
  <c r="N19" i="1"/>
  <c r="R61" i="1" s="1"/>
  <c r="N17" i="1"/>
  <c r="N16" i="1"/>
  <c r="AH26" i="1"/>
  <c r="AH18" i="1"/>
  <c r="O26" i="1"/>
  <c r="O18" i="1"/>
  <c r="O57" i="1" s="1"/>
  <c r="O10" i="1"/>
  <c r="AV47" i="1"/>
  <c r="AV45" i="1"/>
  <c r="AG63" i="1"/>
  <c r="AF63" i="1"/>
  <c r="AG62" i="1"/>
  <c r="AF62" i="1"/>
  <c r="AG61" i="1"/>
  <c r="AF61" i="1"/>
  <c r="AG42" i="1"/>
  <c r="AF42" i="1"/>
  <c r="N35" i="1"/>
  <c r="M62" i="1"/>
  <c r="L62" i="1"/>
  <c r="K62" i="1"/>
  <c r="M61" i="1"/>
  <c r="L61" i="1"/>
  <c r="K61" i="1"/>
  <c r="L63" i="1"/>
  <c r="K63" i="1"/>
  <c r="I63" i="1"/>
  <c r="H63" i="1"/>
  <c r="G63" i="1"/>
  <c r="I62" i="1"/>
  <c r="H62" i="1"/>
  <c r="G62" i="1"/>
  <c r="I61" i="1"/>
  <c r="H61" i="1"/>
  <c r="G61" i="1"/>
  <c r="M63" i="1"/>
  <c r="AG9" i="1"/>
  <c r="AF9" i="1"/>
  <c r="AG8" i="1"/>
  <c r="AF8" i="1"/>
  <c r="AG6" i="1"/>
  <c r="AF6" i="1"/>
  <c r="AG5" i="1"/>
  <c r="AF5" i="1"/>
  <c r="AF4" i="1"/>
  <c r="AG4" i="1"/>
  <c r="L10" i="1"/>
  <c r="K10" i="1"/>
  <c r="J10" i="1"/>
  <c r="I10" i="1"/>
  <c r="H10" i="1"/>
  <c r="G10" i="1"/>
  <c r="F10" i="1"/>
  <c r="E10" i="1"/>
  <c r="D10" i="1"/>
  <c r="C10" i="1"/>
  <c r="M10" i="1"/>
  <c r="M103" i="1"/>
  <c r="L103" i="1"/>
  <c r="K103" i="1"/>
  <c r="J103" i="1"/>
  <c r="I103" i="1"/>
  <c r="H103" i="1"/>
  <c r="K102" i="1"/>
  <c r="G102" i="1"/>
  <c r="J101" i="1"/>
  <c r="I101" i="1"/>
  <c r="H101" i="1"/>
  <c r="G101" i="1"/>
  <c r="L101" i="1"/>
  <c r="K101" i="1"/>
  <c r="M101" i="1"/>
  <c r="J150" i="1"/>
  <c r="AG147" i="1"/>
  <c r="AF147" i="1"/>
  <c r="AE147" i="1"/>
  <c r="AG137" i="1"/>
  <c r="AE137" i="1"/>
  <c r="AF132" i="1"/>
  <c r="AF137" i="1" s="1"/>
  <c r="AG130" i="1"/>
  <c r="AG154" i="1" s="1"/>
  <c r="AF130" i="1"/>
  <c r="AE130" i="1"/>
  <c r="AE154" i="1" s="1"/>
  <c r="I150" i="1"/>
  <c r="H150" i="1"/>
  <c r="H139" i="1"/>
  <c r="H102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6" i="1"/>
  <c r="H135" i="1"/>
  <c r="I135" i="1" s="1"/>
  <c r="H134" i="1"/>
  <c r="I134" i="1" s="1"/>
  <c r="H133" i="1"/>
  <c r="I133" i="1" s="1"/>
  <c r="H132" i="1"/>
  <c r="I132" i="1" s="1"/>
  <c r="H129" i="1"/>
  <c r="I129" i="1" s="1"/>
  <c r="H128" i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H110" i="1"/>
  <c r="H109" i="1"/>
  <c r="M150" i="1"/>
  <c r="M136" i="1"/>
  <c r="N136" i="1" s="1"/>
  <c r="L150" i="1"/>
  <c r="L143" i="1"/>
  <c r="M143" i="1" s="1"/>
  <c r="L139" i="1"/>
  <c r="M139" i="1" s="1"/>
  <c r="M102" i="1" s="1"/>
  <c r="L146" i="1"/>
  <c r="M146" i="1" s="1"/>
  <c r="L145" i="1"/>
  <c r="M145" i="1" s="1"/>
  <c r="L144" i="1"/>
  <c r="M144" i="1" s="1"/>
  <c r="L142" i="1"/>
  <c r="M142" i="1" s="1"/>
  <c r="L141" i="1"/>
  <c r="M141" i="1" s="1"/>
  <c r="L140" i="1"/>
  <c r="M140" i="1" s="1"/>
  <c r="L135" i="1"/>
  <c r="M135" i="1" s="1"/>
  <c r="L134" i="1"/>
  <c r="M134" i="1" s="1"/>
  <c r="L133" i="1"/>
  <c r="M133" i="1" s="1"/>
  <c r="L132" i="1"/>
  <c r="M132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G150" i="1"/>
  <c r="G147" i="1"/>
  <c r="G137" i="1"/>
  <c r="G130" i="1"/>
  <c r="G154" i="1" s="1"/>
  <c r="K150" i="1"/>
  <c r="K147" i="1"/>
  <c r="K137" i="1"/>
  <c r="K130" i="1"/>
  <c r="K154" i="1" s="1"/>
  <c r="L67" i="1"/>
  <c r="K67" i="1"/>
  <c r="J67" i="1"/>
  <c r="I67" i="1"/>
  <c r="H67" i="1"/>
  <c r="G67" i="1"/>
  <c r="F67" i="1"/>
  <c r="G89" i="1"/>
  <c r="G95" i="1" s="1"/>
  <c r="G97" i="1" s="1"/>
  <c r="G73" i="1"/>
  <c r="G79" i="1" s="1"/>
  <c r="H89" i="1"/>
  <c r="H95" i="1" s="1"/>
  <c r="H97" i="1" s="1"/>
  <c r="H73" i="1"/>
  <c r="H79" i="1" s="1"/>
  <c r="E97" i="1"/>
  <c r="D97" i="1"/>
  <c r="C97" i="1"/>
  <c r="F89" i="1"/>
  <c r="F95" i="1" s="1"/>
  <c r="F97" i="1" s="1"/>
  <c r="F73" i="1"/>
  <c r="F79" i="1" s="1"/>
  <c r="I89" i="1"/>
  <c r="I95" i="1" s="1"/>
  <c r="I97" i="1" s="1"/>
  <c r="I73" i="1"/>
  <c r="I79" i="1" s="1"/>
  <c r="K89" i="1"/>
  <c r="K95" i="1" s="1"/>
  <c r="K97" i="1" s="1"/>
  <c r="K73" i="1"/>
  <c r="K79" i="1" s="1"/>
  <c r="L89" i="1"/>
  <c r="L95" i="1" s="1"/>
  <c r="L97" i="1" s="1"/>
  <c r="L73" i="1"/>
  <c r="L79" i="1" s="1"/>
  <c r="J89" i="1"/>
  <c r="J95" i="1" s="1"/>
  <c r="J97" i="1" s="1"/>
  <c r="M89" i="1"/>
  <c r="M95" i="1" s="1"/>
  <c r="M97" i="1" s="1"/>
  <c r="E79" i="1"/>
  <c r="D79" i="1"/>
  <c r="C79" i="1"/>
  <c r="J73" i="1"/>
  <c r="J79" i="1" s="1"/>
  <c r="M73" i="1"/>
  <c r="M79" i="1" s="1"/>
  <c r="F33" i="1"/>
  <c r="F31" i="1"/>
  <c r="F29" i="1"/>
  <c r="F28" i="1"/>
  <c r="F25" i="1"/>
  <c r="F24" i="1"/>
  <c r="F23" i="1"/>
  <c r="F22" i="1"/>
  <c r="F21" i="1"/>
  <c r="F20" i="1"/>
  <c r="F19" i="1"/>
  <c r="F17" i="1"/>
  <c r="F16" i="1"/>
  <c r="J33" i="1"/>
  <c r="J31" i="1"/>
  <c r="J29" i="1"/>
  <c r="J28" i="1"/>
  <c r="J25" i="1"/>
  <c r="J24" i="1"/>
  <c r="J23" i="1"/>
  <c r="J22" i="1"/>
  <c r="J21" i="1"/>
  <c r="J20" i="1"/>
  <c r="J19" i="1"/>
  <c r="J17" i="1"/>
  <c r="J16" i="1"/>
  <c r="AF43" i="1"/>
  <c r="AG43" i="1"/>
  <c r="AE26" i="1"/>
  <c r="AE18" i="1"/>
  <c r="AE57" i="1" s="1"/>
  <c r="AG26" i="1"/>
  <c r="AG18" i="1"/>
  <c r="AG57" i="1" s="1"/>
  <c r="AF26" i="1"/>
  <c r="AF18" i="1"/>
  <c r="AF58" i="1" s="1"/>
  <c r="AB3" i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H43" i="1"/>
  <c r="G43" i="1"/>
  <c r="H42" i="1"/>
  <c r="G42" i="1"/>
  <c r="C26" i="1"/>
  <c r="C18" i="1"/>
  <c r="C55" i="1" s="1"/>
  <c r="D26" i="1"/>
  <c r="D18" i="1"/>
  <c r="I43" i="1"/>
  <c r="I42" i="1"/>
  <c r="E26" i="1"/>
  <c r="E18" i="1"/>
  <c r="E58" i="1" s="1"/>
  <c r="G26" i="1"/>
  <c r="G18" i="1"/>
  <c r="K43" i="1"/>
  <c r="K42" i="1"/>
  <c r="K26" i="1"/>
  <c r="K18" i="1"/>
  <c r="K56" i="1" s="1"/>
  <c r="L43" i="1"/>
  <c r="L42" i="1"/>
  <c r="H26" i="1"/>
  <c r="H18" i="1"/>
  <c r="H55" i="1" s="1"/>
  <c r="L26" i="1"/>
  <c r="L18" i="1"/>
  <c r="M43" i="1"/>
  <c r="M42" i="1"/>
  <c r="I26" i="1"/>
  <c r="I18" i="1"/>
  <c r="I55" i="1" s="1"/>
  <c r="M26" i="1"/>
  <c r="M18" i="1"/>
  <c r="M55" i="1" s="1"/>
  <c r="H8" i="2"/>
  <c r="H11" i="2" s="1"/>
  <c r="I9" i="2"/>
  <c r="I10" i="2" s="1"/>
  <c r="R46" i="1" l="1"/>
  <c r="R57" i="1"/>
  <c r="R63" i="1"/>
  <c r="S58" i="1"/>
  <c r="AI27" i="1"/>
  <c r="S55" i="1"/>
  <c r="S12" i="1"/>
  <c r="R105" i="1"/>
  <c r="N48" i="1"/>
  <c r="R42" i="1"/>
  <c r="R56" i="1"/>
  <c r="S79" i="1"/>
  <c r="S44" i="1"/>
  <c r="S27" i="1"/>
  <c r="J47" i="1"/>
  <c r="J49" i="1"/>
  <c r="R26" i="1"/>
  <c r="J50" i="1"/>
  <c r="N51" i="1"/>
  <c r="J51" i="1"/>
  <c r="R27" i="1"/>
  <c r="AJ67" i="1"/>
  <c r="AK67" i="1" s="1"/>
  <c r="AL67" i="1" s="1"/>
  <c r="AM67" i="1" s="1"/>
  <c r="AN67" i="1" s="1"/>
  <c r="AO67" i="1" s="1"/>
  <c r="AP67" i="1" s="1"/>
  <c r="AQ67" i="1" s="1"/>
  <c r="AR67" i="1" s="1"/>
  <c r="AS28" i="1" s="1"/>
  <c r="AJ28" i="1"/>
  <c r="J48" i="1"/>
  <c r="N49" i="1"/>
  <c r="N50" i="1"/>
  <c r="R10" i="1"/>
  <c r="R12" i="1" s="1"/>
  <c r="J46" i="1"/>
  <c r="AS10" i="1"/>
  <c r="AI30" i="1"/>
  <c r="AI32" i="1" s="1"/>
  <c r="AI34" i="1" s="1"/>
  <c r="AI36" i="1" s="1"/>
  <c r="N47" i="1"/>
  <c r="N45" i="1"/>
  <c r="J45" i="1"/>
  <c r="N46" i="1"/>
  <c r="N144" i="1"/>
  <c r="N133" i="1"/>
  <c r="N123" i="1"/>
  <c r="N132" i="1"/>
  <c r="N145" i="1"/>
  <c r="N146" i="1"/>
  <c r="AF154" i="1"/>
  <c r="P102" i="1"/>
  <c r="P104" i="1" s="1"/>
  <c r="N114" i="1"/>
  <c r="N115" i="1"/>
  <c r="N122" i="1"/>
  <c r="N142" i="1"/>
  <c r="N143" i="1"/>
  <c r="N116" i="1"/>
  <c r="N124" i="1"/>
  <c r="N109" i="1"/>
  <c r="N117" i="1"/>
  <c r="N125" i="1"/>
  <c r="N135" i="1"/>
  <c r="N134" i="1"/>
  <c r="N118" i="1"/>
  <c r="N111" i="1"/>
  <c r="N119" i="1"/>
  <c r="N127" i="1"/>
  <c r="N139" i="1"/>
  <c r="N102" i="1" s="1"/>
  <c r="N104" i="1" s="1"/>
  <c r="N126" i="1"/>
  <c r="N128" i="1"/>
  <c r="N110" i="1"/>
  <c r="AH149" i="1"/>
  <c r="N112" i="1"/>
  <c r="N120" i="1"/>
  <c r="N140" i="1"/>
  <c r="N113" i="1"/>
  <c r="N121" i="1"/>
  <c r="N129" i="1"/>
  <c r="N141" i="1"/>
  <c r="O149" i="1"/>
  <c r="O151" i="1" s="1"/>
  <c r="P147" i="1"/>
  <c r="Q145" i="1"/>
  <c r="Q147" i="1" s="1"/>
  <c r="P137" i="1"/>
  <c r="Q135" i="1"/>
  <c r="Q137" i="1" s="1"/>
  <c r="Q130" i="1"/>
  <c r="Q154" i="1" s="1"/>
  <c r="P130" i="1"/>
  <c r="P105" i="1"/>
  <c r="F105" i="1"/>
  <c r="K105" i="1"/>
  <c r="N105" i="1"/>
  <c r="L105" i="1"/>
  <c r="M105" i="1"/>
  <c r="J105" i="1"/>
  <c r="G105" i="1"/>
  <c r="O105" i="1"/>
  <c r="H105" i="1"/>
  <c r="I105" i="1"/>
  <c r="Q105" i="1"/>
  <c r="Q55" i="1"/>
  <c r="N18" i="1"/>
  <c r="R44" i="1" s="1"/>
  <c r="P12" i="1"/>
  <c r="P14" i="1" s="1"/>
  <c r="O44" i="1"/>
  <c r="O58" i="1"/>
  <c r="Q12" i="1"/>
  <c r="Q14" i="1" s="1"/>
  <c r="Q44" i="1"/>
  <c r="Q57" i="1"/>
  <c r="O55" i="1"/>
  <c r="P44" i="1"/>
  <c r="P55" i="1"/>
  <c r="P58" i="1"/>
  <c r="O56" i="1"/>
  <c r="Q58" i="1"/>
  <c r="O104" i="1"/>
  <c r="N26" i="1"/>
  <c r="P56" i="1"/>
  <c r="Q104" i="1"/>
  <c r="P27" i="1"/>
  <c r="P52" i="1" s="1"/>
  <c r="Q27" i="1"/>
  <c r="Q52" i="1" s="1"/>
  <c r="AH27" i="1"/>
  <c r="AH52" i="1" s="1"/>
  <c r="O12" i="1"/>
  <c r="O14" i="1" s="1"/>
  <c r="O27" i="1"/>
  <c r="O52" i="1" s="1"/>
  <c r="J63" i="1"/>
  <c r="J62" i="1"/>
  <c r="AF55" i="1"/>
  <c r="AG56" i="1"/>
  <c r="AF57" i="1"/>
  <c r="L12" i="1"/>
  <c r="L14" i="1" s="1"/>
  <c r="D12" i="1"/>
  <c r="D14" i="1" s="1"/>
  <c r="J61" i="1"/>
  <c r="AE58" i="1"/>
  <c r="AE55" i="1"/>
  <c r="AF56" i="1"/>
  <c r="AG58" i="1"/>
  <c r="AG55" i="1"/>
  <c r="AE56" i="1"/>
  <c r="C57" i="1"/>
  <c r="K57" i="1"/>
  <c r="L57" i="1"/>
  <c r="L55" i="1"/>
  <c r="N10" i="1"/>
  <c r="AH10" i="1" s="1"/>
  <c r="I58" i="1"/>
  <c r="E56" i="1"/>
  <c r="K55" i="1"/>
  <c r="M56" i="1"/>
  <c r="D57" i="1"/>
  <c r="G44" i="1"/>
  <c r="C58" i="1"/>
  <c r="C56" i="1"/>
  <c r="D56" i="1"/>
  <c r="L56" i="1"/>
  <c r="H58" i="1"/>
  <c r="D55" i="1"/>
  <c r="G56" i="1"/>
  <c r="E57" i="1"/>
  <c r="M57" i="1"/>
  <c r="K58" i="1"/>
  <c r="E55" i="1"/>
  <c r="H56" i="1"/>
  <c r="D58" i="1"/>
  <c r="L58" i="1"/>
  <c r="I56" i="1"/>
  <c r="G57" i="1"/>
  <c r="M58" i="1"/>
  <c r="G55" i="1"/>
  <c r="H57" i="1"/>
  <c r="I57" i="1"/>
  <c r="G58" i="1"/>
  <c r="E12" i="1"/>
  <c r="E14" i="1" s="1"/>
  <c r="K12" i="1"/>
  <c r="K14" i="1" s="1"/>
  <c r="H12" i="1"/>
  <c r="H14" i="1" s="1"/>
  <c r="AF10" i="1"/>
  <c r="AF12" i="1" s="1"/>
  <c r="I12" i="1"/>
  <c r="I14" i="1" s="1"/>
  <c r="AG10" i="1"/>
  <c r="AG12" i="1" s="1"/>
  <c r="M12" i="1"/>
  <c r="M14" i="1" s="1"/>
  <c r="C12" i="1"/>
  <c r="C14" i="1" s="1"/>
  <c r="M104" i="1"/>
  <c r="G12" i="1"/>
  <c r="G14" i="1" s="1"/>
  <c r="K104" i="1"/>
  <c r="L102" i="1"/>
  <c r="L104" i="1" s="1"/>
  <c r="H104" i="1"/>
  <c r="J123" i="1"/>
  <c r="J124" i="1"/>
  <c r="J134" i="1"/>
  <c r="I128" i="1"/>
  <c r="J128" i="1" s="1"/>
  <c r="J133" i="1"/>
  <c r="I136" i="1"/>
  <c r="J136" i="1" s="1"/>
  <c r="J143" i="1"/>
  <c r="AE149" i="1"/>
  <c r="AE151" i="1" s="1"/>
  <c r="AF149" i="1"/>
  <c r="AF151" i="1" s="1"/>
  <c r="J115" i="1"/>
  <c r="J145" i="1"/>
  <c r="J144" i="1"/>
  <c r="AG149" i="1"/>
  <c r="AG151" i="1" s="1"/>
  <c r="AH150" i="1" s="1"/>
  <c r="J116" i="1"/>
  <c r="J142" i="1"/>
  <c r="J117" i="1"/>
  <c r="I110" i="1"/>
  <c r="J110" i="1" s="1"/>
  <c r="J118" i="1"/>
  <c r="J126" i="1"/>
  <c r="I111" i="1"/>
  <c r="J111" i="1" s="1"/>
  <c r="J119" i="1"/>
  <c r="J127" i="1"/>
  <c r="J146" i="1"/>
  <c r="M147" i="1"/>
  <c r="J135" i="1"/>
  <c r="J112" i="1"/>
  <c r="J113" i="1"/>
  <c r="J121" i="1"/>
  <c r="J129" i="1"/>
  <c r="J140" i="1"/>
  <c r="J125" i="1"/>
  <c r="J120" i="1"/>
  <c r="J114" i="1"/>
  <c r="J122" i="1"/>
  <c r="J141" i="1"/>
  <c r="M137" i="1"/>
  <c r="H137" i="1"/>
  <c r="L147" i="1"/>
  <c r="H130" i="1"/>
  <c r="H154" i="1" s="1"/>
  <c r="H147" i="1"/>
  <c r="I109" i="1"/>
  <c r="J109" i="1" s="1"/>
  <c r="M130" i="1"/>
  <c r="M154" i="1" s="1"/>
  <c r="L137" i="1"/>
  <c r="I139" i="1"/>
  <c r="AF44" i="1"/>
  <c r="L130" i="1"/>
  <c r="L154" i="1" s="1"/>
  <c r="G149" i="1"/>
  <c r="G151" i="1" s="1"/>
  <c r="K149" i="1"/>
  <c r="K151" i="1" s="1"/>
  <c r="L44" i="1"/>
  <c r="H44" i="1"/>
  <c r="J18" i="1"/>
  <c r="J58" i="1" s="1"/>
  <c r="J42" i="1"/>
  <c r="J43" i="1"/>
  <c r="J26" i="1"/>
  <c r="F18" i="1"/>
  <c r="I44" i="1"/>
  <c r="F26" i="1"/>
  <c r="AG44" i="1"/>
  <c r="M44" i="1"/>
  <c r="AE27" i="1"/>
  <c r="AG27" i="1"/>
  <c r="AG52" i="1" s="1"/>
  <c r="AF27" i="1"/>
  <c r="C27" i="1"/>
  <c r="D27" i="1"/>
  <c r="E27" i="1"/>
  <c r="G27" i="1"/>
  <c r="K44" i="1"/>
  <c r="K27" i="1"/>
  <c r="H27" i="1"/>
  <c r="L27" i="1"/>
  <c r="M27" i="1"/>
  <c r="I27" i="1"/>
  <c r="S13" i="1" l="1"/>
  <c r="S14" i="1"/>
  <c r="S30" i="1"/>
  <c r="S32" i="1" s="1"/>
  <c r="S34" i="1" s="1"/>
  <c r="S65" i="1"/>
  <c r="S52" i="1"/>
  <c r="S38" i="1"/>
  <c r="R14" i="1"/>
  <c r="R65" i="1"/>
  <c r="R52" i="1"/>
  <c r="AF38" i="1"/>
  <c r="AF52" i="1"/>
  <c r="K38" i="1"/>
  <c r="K52" i="1"/>
  <c r="L38" i="1"/>
  <c r="L52" i="1"/>
  <c r="H38" i="1"/>
  <c r="H52" i="1"/>
  <c r="G38" i="1"/>
  <c r="G52" i="1"/>
  <c r="M38" i="1"/>
  <c r="M52" i="1"/>
  <c r="C38" i="1"/>
  <c r="C52" i="1"/>
  <c r="E38" i="1"/>
  <c r="E52" i="1"/>
  <c r="R38" i="1"/>
  <c r="R30" i="1"/>
  <c r="R32" i="1" s="1"/>
  <c r="R34" i="1" s="1"/>
  <c r="I38" i="1"/>
  <c r="I52" i="1"/>
  <c r="D38" i="1"/>
  <c r="D52" i="1"/>
  <c r="N137" i="1"/>
  <c r="Q13" i="1"/>
  <c r="N130" i="1"/>
  <c r="AH151" i="1"/>
  <c r="N147" i="1"/>
  <c r="P149" i="1"/>
  <c r="P151" i="1" s="1"/>
  <c r="Q149" i="1"/>
  <c r="Q151" i="1" s="1"/>
  <c r="P154" i="1"/>
  <c r="S157" i="1" s="1"/>
  <c r="N27" i="1"/>
  <c r="N52" i="1" s="1"/>
  <c r="P13" i="1"/>
  <c r="Q30" i="1"/>
  <c r="Q32" i="1" s="1"/>
  <c r="Q34" i="1" s="1"/>
  <c r="Q155" i="1" s="1"/>
  <c r="Q38" i="1"/>
  <c r="Q65" i="1"/>
  <c r="P30" i="1"/>
  <c r="P32" i="1" s="1"/>
  <c r="P34" i="1" s="1"/>
  <c r="P38" i="1"/>
  <c r="P65" i="1"/>
  <c r="O30" i="1"/>
  <c r="O32" i="1" s="1"/>
  <c r="O34" i="1" s="1"/>
  <c r="O65" i="1"/>
  <c r="AE65" i="1"/>
  <c r="AE38" i="1"/>
  <c r="O13" i="1"/>
  <c r="AG65" i="1"/>
  <c r="AG38" i="1"/>
  <c r="AH38" i="1"/>
  <c r="AH30" i="1"/>
  <c r="AH32" i="1" s="1"/>
  <c r="AH34" i="1" s="1"/>
  <c r="O38" i="1"/>
  <c r="H13" i="1"/>
  <c r="M13" i="1"/>
  <c r="L13" i="1"/>
  <c r="K13" i="1"/>
  <c r="AI10" i="1"/>
  <c r="AF30" i="1"/>
  <c r="AF32" i="1" s="1"/>
  <c r="AF65" i="1"/>
  <c r="F12" i="1"/>
  <c r="F14" i="1" s="1"/>
  <c r="F56" i="1"/>
  <c r="F58" i="1"/>
  <c r="F57" i="1"/>
  <c r="J57" i="1"/>
  <c r="J55" i="1"/>
  <c r="I13" i="1"/>
  <c r="J56" i="1"/>
  <c r="F55" i="1"/>
  <c r="G13" i="1"/>
  <c r="J12" i="1"/>
  <c r="J14" i="1" s="1"/>
  <c r="I147" i="1"/>
  <c r="I102" i="1"/>
  <c r="I104" i="1" s="1"/>
  <c r="I137" i="1"/>
  <c r="H149" i="1"/>
  <c r="H151" i="1" s="1"/>
  <c r="J130" i="1"/>
  <c r="J132" i="1"/>
  <c r="J137" i="1" s="1"/>
  <c r="I130" i="1"/>
  <c r="I154" i="1" s="1"/>
  <c r="M149" i="1"/>
  <c r="M151" i="1" s="1"/>
  <c r="J139" i="1"/>
  <c r="J44" i="1"/>
  <c r="L149" i="1"/>
  <c r="L151" i="1" s="1"/>
  <c r="H30" i="1"/>
  <c r="H32" i="1" s="1"/>
  <c r="H34" i="1" s="1"/>
  <c r="H65" i="1"/>
  <c r="L30" i="1"/>
  <c r="L32" i="1" s="1"/>
  <c r="L34" i="1" s="1"/>
  <c r="L155" i="1" s="1"/>
  <c r="L65" i="1"/>
  <c r="K30" i="1"/>
  <c r="K32" i="1" s="1"/>
  <c r="K34" i="1" s="1"/>
  <c r="K155" i="1" s="1"/>
  <c r="K65" i="1"/>
  <c r="D30" i="1"/>
  <c r="D32" i="1" s="1"/>
  <c r="D34" i="1" s="1"/>
  <c r="D155" i="1" s="1"/>
  <c r="D65" i="1"/>
  <c r="F27" i="1"/>
  <c r="F52" i="1" s="1"/>
  <c r="AG30" i="1"/>
  <c r="J27" i="1"/>
  <c r="J52" i="1" s="1"/>
  <c r="AE30" i="1"/>
  <c r="AE32" i="1" s="1"/>
  <c r="AE34" i="1" s="1"/>
  <c r="G30" i="1"/>
  <c r="G32" i="1" s="1"/>
  <c r="G34" i="1" s="1"/>
  <c r="G65" i="1"/>
  <c r="E30" i="1"/>
  <c r="E32" i="1" s="1"/>
  <c r="E34" i="1" s="1"/>
  <c r="E155" i="1" s="1"/>
  <c r="E65" i="1"/>
  <c r="I30" i="1"/>
  <c r="I32" i="1" s="1"/>
  <c r="I34" i="1" s="1"/>
  <c r="I65" i="1"/>
  <c r="M30" i="1"/>
  <c r="M32" i="1" s="1"/>
  <c r="M34" i="1" s="1"/>
  <c r="M155" i="1" s="1"/>
  <c r="M65" i="1"/>
  <c r="C30" i="1"/>
  <c r="C32" i="1" s="1"/>
  <c r="C34" i="1" s="1"/>
  <c r="C155" i="1" s="1"/>
  <c r="C65" i="1"/>
  <c r="S36" i="1" l="1"/>
  <c r="S155" i="1"/>
  <c r="P155" i="1"/>
  <c r="S100" i="1"/>
  <c r="O155" i="1"/>
  <c r="R100" i="1"/>
  <c r="H108" i="1"/>
  <c r="H155" i="1"/>
  <c r="N149" i="1"/>
  <c r="N151" i="1" s="1"/>
  <c r="N154" i="1"/>
  <c r="G108" i="1"/>
  <c r="G155" i="1"/>
  <c r="AE36" i="1"/>
  <c r="AE155" i="1"/>
  <c r="J154" i="1"/>
  <c r="M157" i="1" s="1"/>
  <c r="I108" i="1"/>
  <c r="I155" i="1"/>
  <c r="AH36" i="1"/>
  <c r="AH155" i="1"/>
  <c r="O36" i="1"/>
  <c r="O108" i="1"/>
  <c r="P36" i="1"/>
  <c r="P108" i="1"/>
  <c r="Q36" i="1"/>
  <c r="Q108" i="1"/>
  <c r="J65" i="1"/>
  <c r="J38" i="1"/>
  <c r="F65" i="1"/>
  <c r="F38" i="1"/>
  <c r="N12" i="1"/>
  <c r="J13" i="1"/>
  <c r="AJ10" i="1"/>
  <c r="AJ11" i="1" s="1"/>
  <c r="I149" i="1"/>
  <c r="I151" i="1" s="1"/>
  <c r="J147" i="1"/>
  <c r="J149" i="1" s="1"/>
  <c r="J151" i="1" s="1"/>
  <c r="J102" i="1"/>
  <c r="J104" i="1" s="1"/>
  <c r="K36" i="1"/>
  <c r="K108" i="1"/>
  <c r="L36" i="1"/>
  <c r="L108" i="1"/>
  <c r="D36" i="1"/>
  <c r="D108" i="1"/>
  <c r="E36" i="1"/>
  <c r="E108" i="1"/>
  <c r="M36" i="1"/>
  <c r="M108" i="1"/>
  <c r="C36" i="1"/>
  <c r="C108" i="1"/>
  <c r="I36" i="1"/>
  <c r="G36" i="1"/>
  <c r="H36" i="1"/>
  <c r="AG32" i="1"/>
  <c r="J30" i="1"/>
  <c r="F30" i="1"/>
  <c r="AF34" i="1"/>
  <c r="AF155" i="1" s="1"/>
  <c r="F32" i="1"/>
  <c r="N14" i="1" l="1"/>
  <c r="R13" i="1"/>
  <c r="S158" i="1"/>
  <c r="R36" i="1"/>
  <c r="R35" i="1" s="1"/>
  <c r="K157" i="1"/>
  <c r="Q157" i="1"/>
  <c r="P157" i="1"/>
  <c r="O157" i="1"/>
  <c r="N157" i="1"/>
  <c r="L157" i="1"/>
  <c r="J157" i="1"/>
  <c r="AK10" i="1"/>
  <c r="AK11" i="1" s="1"/>
  <c r="N13" i="1"/>
  <c r="AF36" i="1"/>
  <c r="F36" i="1" s="1"/>
  <c r="F34" i="1"/>
  <c r="F155" i="1" s="1"/>
  <c r="AG34" i="1"/>
  <c r="AG155" i="1" s="1"/>
  <c r="J32" i="1"/>
  <c r="N44" i="1" l="1"/>
  <c r="AL10" i="1"/>
  <c r="AL11" i="1" s="1"/>
  <c r="F108" i="1"/>
  <c r="H100" i="1"/>
  <c r="F35" i="1"/>
  <c r="I100" i="1"/>
  <c r="AG36" i="1"/>
  <c r="J36" i="1" s="1"/>
  <c r="J34" i="1"/>
  <c r="J155" i="1" s="1"/>
  <c r="M158" i="1" l="1"/>
  <c r="K158" i="1"/>
  <c r="J158" i="1"/>
  <c r="L158" i="1"/>
  <c r="J108" i="1"/>
  <c r="M100" i="1"/>
  <c r="AM10" i="1"/>
  <c r="AM11" i="1" s="1"/>
  <c r="N62" i="1"/>
  <c r="AH56" i="1"/>
  <c r="N56" i="1"/>
  <c r="N43" i="1"/>
  <c r="AH43" i="1"/>
  <c r="AH44" i="1"/>
  <c r="AH12" i="1"/>
  <c r="N57" i="1"/>
  <c r="AH57" i="1"/>
  <c r="N63" i="1"/>
  <c r="N58" i="1"/>
  <c r="AH58" i="1"/>
  <c r="AH42" i="1"/>
  <c r="N42" i="1"/>
  <c r="N61" i="1"/>
  <c r="AH55" i="1"/>
  <c r="N55" i="1"/>
  <c r="J35" i="1"/>
  <c r="J100" i="1"/>
  <c r="L100" i="1"/>
  <c r="K100" i="1"/>
  <c r="N38" i="1" l="1"/>
  <c r="AN10" i="1"/>
  <c r="AN11" i="1" s="1"/>
  <c r="AO10" i="1" l="1"/>
  <c r="AO11" i="1" s="1"/>
  <c r="AH65" i="1"/>
  <c r="N65" i="1"/>
  <c r="N30" i="1" l="1"/>
  <c r="AP10" i="1"/>
  <c r="AQ10" i="1" l="1"/>
  <c r="AR10" i="1"/>
  <c r="N32" i="1"/>
  <c r="N34" i="1" s="1"/>
  <c r="N155" i="1" s="1"/>
  <c r="Q158" i="1" l="1"/>
  <c r="N158" i="1"/>
  <c r="O158" i="1"/>
  <c r="P158" i="1"/>
  <c r="N36" i="1"/>
  <c r="N108" i="1"/>
  <c r="Q100" i="1"/>
  <c r="P100" i="1"/>
  <c r="O100" i="1"/>
  <c r="N100" i="1"/>
  <c r="AJ33" i="1"/>
  <c r="AK33" i="1" s="1"/>
  <c r="AL33" i="1" s="1"/>
  <c r="AM33" i="1" s="1"/>
  <c r="AN33" i="1" s="1"/>
  <c r="AO33" i="1" s="1"/>
  <c r="AP33" i="1" s="1"/>
  <c r="AQ33" i="1" s="1"/>
  <c r="AR33" i="1" s="1"/>
  <c r="AS33" i="1" s="1"/>
  <c r="AJ35" i="1" l="1"/>
  <c r="AK35" i="1" s="1"/>
  <c r="AL35" i="1" s="1"/>
  <c r="AM35" i="1" s="1"/>
  <c r="AN35" i="1" s="1"/>
  <c r="AO35" i="1" s="1"/>
  <c r="AP35" i="1" s="1"/>
  <c r="AQ35" i="1" s="1"/>
  <c r="AR35" i="1" s="1"/>
  <c r="AS35" i="1" s="1"/>
  <c r="AI42" i="1" l="1"/>
  <c r="AI43" i="1"/>
  <c r="AI51" i="1"/>
  <c r="AI57" i="1"/>
  <c r="AI47" i="1"/>
  <c r="AI46" i="1"/>
  <c r="AI56" i="1"/>
  <c r="AI45" i="1"/>
  <c r="AI55" i="1"/>
  <c r="AI50" i="1"/>
  <c r="AI49" i="1"/>
  <c r="AI58" i="1"/>
  <c r="AI48" i="1"/>
  <c r="AI44" i="1"/>
  <c r="AI12" i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S18" i="1" s="1"/>
  <c r="AS19" i="1" l="1"/>
  <c r="AS20" i="1"/>
  <c r="AJ18" i="1"/>
  <c r="AK18" i="1"/>
  <c r="AK19" i="1" s="1"/>
  <c r="AJ44" i="1" l="1"/>
  <c r="AJ21" i="1"/>
  <c r="AJ57" i="1" s="1"/>
  <c r="AJ23" i="1"/>
  <c r="AJ49" i="1" s="1"/>
  <c r="AJ17" i="1"/>
  <c r="AJ43" i="1" s="1"/>
  <c r="AJ25" i="1"/>
  <c r="AJ51" i="1" s="1"/>
  <c r="AJ56" i="1"/>
  <c r="AJ22" i="1"/>
  <c r="AJ48" i="1" s="1"/>
  <c r="AJ24" i="1"/>
  <c r="AJ50" i="1" s="1"/>
  <c r="AJ16" i="1"/>
  <c r="AJ42" i="1" s="1"/>
  <c r="AI52" i="1"/>
  <c r="AI38" i="1"/>
  <c r="AI65" i="1"/>
  <c r="AL18" i="1"/>
  <c r="AJ45" i="1"/>
  <c r="AJ55" i="1"/>
  <c r="AK44" i="1"/>
  <c r="AJ47" i="1" l="1"/>
  <c r="AK21" i="1"/>
  <c r="AL21" i="1"/>
  <c r="AJ46" i="1"/>
  <c r="AK16" i="1"/>
  <c r="AK42" i="1" s="1"/>
  <c r="AK17" i="1"/>
  <c r="AK43" i="1" s="1"/>
  <c r="AL20" i="1"/>
  <c r="AL19" i="1"/>
  <c r="AL55" i="1" s="1"/>
  <c r="AK23" i="1"/>
  <c r="AK49" i="1" s="1"/>
  <c r="AJ26" i="1"/>
  <c r="AJ27" i="1" s="1"/>
  <c r="AJ38" i="1" s="1"/>
  <c r="AK20" i="1"/>
  <c r="AK56" i="1" s="1"/>
  <c r="AK22" i="1"/>
  <c r="AL22" i="1" s="1"/>
  <c r="AK24" i="1"/>
  <c r="AK50" i="1" s="1"/>
  <c r="AJ58" i="1"/>
  <c r="AK25" i="1"/>
  <c r="AK51" i="1" s="1"/>
  <c r="AK45" i="1"/>
  <c r="AK55" i="1"/>
  <c r="AL44" i="1"/>
  <c r="AM18" i="1"/>
  <c r="AK57" i="1"/>
  <c r="AK47" i="1"/>
  <c r="AL23" i="1" l="1"/>
  <c r="AL49" i="1" s="1"/>
  <c r="AM21" i="1"/>
  <c r="AL17" i="1"/>
  <c r="AL43" i="1" s="1"/>
  <c r="AL16" i="1"/>
  <c r="AL42" i="1" s="1"/>
  <c r="AM20" i="1"/>
  <c r="AM56" i="1" s="1"/>
  <c r="AM19" i="1"/>
  <c r="AM55" i="1" s="1"/>
  <c r="AK48" i="1"/>
  <c r="AJ65" i="1"/>
  <c r="AJ29" i="1"/>
  <c r="AJ30" i="1" s="1"/>
  <c r="AJ31" i="1" s="1"/>
  <c r="AJ52" i="1"/>
  <c r="AK58" i="1"/>
  <c r="AL24" i="1"/>
  <c r="AL50" i="1" s="1"/>
  <c r="AK46" i="1"/>
  <c r="AK26" i="1"/>
  <c r="AK27" i="1" s="1"/>
  <c r="AK65" i="1" s="1"/>
  <c r="AL25" i="1"/>
  <c r="AL51" i="1" s="1"/>
  <c r="AL48" i="1"/>
  <c r="AL58" i="1"/>
  <c r="AL45" i="1"/>
  <c r="AL46" i="1"/>
  <c r="AL56" i="1"/>
  <c r="AN18" i="1"/>
  <c r="AN21" i="1" s="1"/>
  <c r="AM16" i="1"/>
  <c r="AM42" i="1" s="1"/>
  <c r="AM22" i="1"/>
  <c r="AM17" i="1"/>
  <c r="AM43" i="1" s="1"/>
  <c r="AM23" i="1"/>
  <c r="AM49" i="1" s="1"/>
  <c r="AM44" i="1"/>
  <c r="AL57" i="1"/>
  <c r="AL47" i="1"/>
  <c r="AJ32" i="1" l="1"/>
  <c r="AJ34" i="1" s="1"/>
  <c r="AJ36" i="1" s="1"/>
  <c r="AK52" i="1"/>
  <c r="AN20" i="1"/>
  <c r="AN56" i="1" s="1"/>
  <c r="AN19" i="1"/>
  <c r="AN55" i="1" s="1"/>
  <c r="AK29" i="1"/>
  <c r="AM24" i="1"/>
  <c r="AM50" i="1" s="1"/>
  <c r="AK38" i="1"/>
  <c r="AM25" i="1"/>
  <c r="AM51" i="1" s="1"/>
  <c r="AL26" i="1"/>
  <c r="AL27" i="1" s="1"/>
  <c r="AL65" i="1" s="1"/>
  <c r="AK28" i="1"/>
  <c r="AO18" i="1"/>
  <c r="AO21" i="1" s="1"/>
  <c r="AM57" i="1"/>
  <c r="AM47" i="1"/>
  <c r="AM46" i="1"/>
  <c r="AM45" i="1"/>
  <c r="AM58" i="1"/>
  <c r="AM48" i="1"/>
  <c r="AN16" i="1"/>
  <c r="AN42" i="1" s="1"/>
  <c r="AN17" i="1"/>
  <c r="AN43" i="1" s="1"/>
  <c r="AN44" i="1"/>
  <c r="AN23" i="1"/>
  <c r="AN49" i="1" s="1"/>
  <c r="AN22" i="1"/>
  <c r="AN24" i="1" l="1"/>
  <c r="AN50" i="1" s="1"/>
  <c r="AO19" i="1"/>
  <c r="AO55" i="1" s="1"/>
  <c r="AO20" i="1"/>
  <c r="AO56" i="1" s="1"/>
  <c r="AK30" i="1"/>
  <c r="AL29" i="1"/>
  <c r="AL38" i="1"/>
  <c r="AL52" i="1"/>
  <c r="AM26" i="1"/>
  <c r="AM27" i="1" s="1"/>
  <c r="AM65" i="1" s="1"/>
  <c r="AN25" i="1"/>
  <c r="AN51" i="1" s="1"/>
  <c r="AL28" i="1"/>
  <c r="AP18" i="1"/>
  <c r="AP21" i="1" s="1"/>
  <c r="AN46" i="1"/>
  <c r="AO16" i="1"/>
  <c r="AO42" i="1" s="1"/>
  <c r="AO22" i="1"/>
  <c r="AO17" i="1"/>
  <c r="AO43" i="1" s="1"/>
  <c r="AO23" i="1"/>
  <c r="AO49" i="1" s="1"/>
  <c r="AO44" i="1"/>
  <c r="AN45" i="1"/>
  <c r="AN48" i="1"/>
  <c r="AN58" i="1"/>
  <c r="AN47" i="1"/>
  <c r="AN57" i="1"/>
  <c r="AO24" i="1" l="1"/>
  <c r="AO50" i="1" s="1"/>
  <c r="AK31" i="1"/>
  <c r="AK32" i="1" s="1"/>
  <c r="AK34" i="1" s="1"/>
  <c r="AK36" i="1" s="1"/>
  <c r="AP19" i="1"/>
  <c r="AP55" i="1" s="1"/>
  <c r="AP20" i="1"/>
  <c r="AP56" i="1" s="1"/>
  <c r="AM52" i="1"/>
  <c r="AM29" i="1"/>
  <c r="AO25" i="1"/>
  <c r="AO51" i="1" s="1"/>
  <c r="AL30" i="1"/>
  <c r="AL31" i="1" s="1"/>
  <c r="AL32" i="1" s="1"/>
  <c r="AL34" i="1" s="1"/>
  <c r="AL36" i="1" s="1"/>
  <c r="AM38" i="1"/>
  <c r="AN26" i="1"/>
  <c r="AN27" i="1" s="1"/>
  <c r="AN38" i="1" s="1"/>
  <c r="AM28" i="1"/>
  <c r="AO45" i="1"/>
  <c r="AO46" i="1"/>
  <c r="AO58" i="1"/>
  <c r="AO48" i="1"/>
  <c r="AO57" i="1"/>
  <c r="AO47" i="1"/>
  <c r="AR18" i="1"/>
  <c r="AS44" i="1" s="1"/>
  <c r="AQ18" i="1"/>
  <c r="AQ21" i="1" s="1"/>
  <c r="AR21" i="1" s="1"/>
  <c r="AS21" i="1" s="1"/>
  <c r="AP24" i="1"/>
  <c r="AP50" i="1" s="1"/>
  <c r="AP17" i="1"/>
  <c r="AP43" i="1" s="1"/>
  <c r="AP22" i="1"/>
  <c r="AP23" i="1"/>
  <c r="AP49" i="1" s="1"/>
  <c r="AP44" i="1"/>
  <c r="AP16" i="1"/>
  <c r="AP42" i="1" s="1"/>
  <c r="AS47" i="1" l="1"/>
  <c r="AQ19" i="1"/>
  <c r="AQ55" i="1" s="1"/>
  <c r="AQ20" i="1"/>
  <c r="AQ56" i="1" s="1"/>
  <c r="AR20" i="1"/>
  <c r="AR19" i="1"/>
  <c r="AN65" i="1"/>
  <c r="AO26" i="1"/>
  <c r="AO27" i="1" s="1"/>
  <c r="AP25" i="1"/>
  <c r="AP51" i="1" s="1"/>
  <c r="AN29" i="1"/>
  <c r="AN52" i="1"/>
  <c r="AM30" i="1"/>
  <c r="AM31" i="1" s="1"/>
  <c r="AM32" i="1" s="1"/>
  <c r="AM34" i="1" s="1"/>
  <c r="AM36" i="1" s="1"/>
  <c r="AN28" i="1"/>
  <c r="AP46" i="1"/>
  <c r="AP57" i="1"/>
  <c r="AP47" i="1"/>
  <c r="AP45" i="1"/>
  <c r="AQ22" i="1"/>
  <c r="AQ16" i="1"/>
  <c r="AQ42" i="1" s="1"/>
  <c r="AQ44" i="1"/>
  <c r="AQ23" i="1"/>
  <c r="AQ49" i="1" s="1"/>
  <c r="AQ24" i="1"/>
  <c r="AQ50" i="1" s="1"/>
  <c r="AQ17" i="1"/>
  <c r="AQ43" i="1" s="1"/>
  <c r="AR44" i="1"/>
  <c r="AP48" i="1"/>
  <c r="AP58" i="1"/>
  <c r="AN30" i="1" l="1"/>
  <c r="AR55" i="1"/>
  <c r="AS45" i="1"/>
  <c r="AR56" i="1"/>
  <c r="AS46" i="1"/>
  <c r="AN31" i="1"/>
  <c r="AN32" i="1" s="1"/>
  <c r="AN34" i="1" s="1"/>
  <c r="AO28" i="1" s="1"/>
  <c r="AP26" i="1"/>
  <c r="AP27" i="1" s="1"/>
  <c r="AP65" i="1" s="1"/>
  <c r="AQ25" i="1"/>
  <c r="AQ51" i="1" s="1"/>
  <c r="AO29" i="1"/>
  <c r="AO38" i="1"/>
  <c r="AO65" i="1"/>
  <c r="AO52" i="1"/>
  <c r="AR17" i="1"/>
  <c r="AR16" i="1"/>
  <c r="AR45" i="1"/>
  <c r="AQ48" i="1"/>
  <c r="AQ58" i="1"/>
  <c r="AR47" i="1"/>
  <c r="AR57" i="1"/>
  <c r="AR24" i="1"/>
  <c r="AR23" i="1"/>
  <c r="AQ47" i="1"/>
  <c r="AQ57" i="1"/>
  <c r="AR25" i="1"/>
  <c r="AR22" i="1"/>
  <c r="AS22" i="1" s="1"/>
  <c r="AQ46" i="1"/>
  <c r="AQ45" i="1"/>
  <c r="AR46" i="1"/>
  <c r="AO30" i="1" l="1"/>
  <c r="AO31" i="1" s="1"/>
  <c r="AO32" i="1" s="1"/>
  <c r="AO34" i="1" s="1"/>
  <c r="AP28" i="1" s="1"/>
  <c r="AR42" i="1"/>
  <c r="AS16" i="1"/>
  <c r="AS42" i="1" s="1"/>
  <c r="AR49" i="1"/>
  <c r="AS23" i="1"/>
  <c r="AS49" i="1" s="1"/>
  <c r="AS48" i="1"/>
  <c r="AR51" i="1"/>
  <c r="AS25" i="1"/>
  <c r="AS51" i="1" s="1"/>
  <c r="AR50" i="1"/>
  <c r="AS24" i="1"/>
  <c r="AS50" i="1" s="1"/>
  <c r="AR43" i="1"/>
  <c r="AS17" i="1"/>
  <c r="AS43" i="1" s="1"/>
  <c r="AP52" i="1"/>
  <c r="AN36" i="1"/>
  <c r="AP38" i="1"/>
  <c r="AP29" i="1"/>
  <c r="AP30" i="1" s="1"/>
  <c r="AP31" i="1" s="1"/>
  <c r="AP32" i="1" s="1"/>
  <c r="AP34" i="1" s="1"/>
  <c r="AP36" i="1" s="1"/>
  <c r="AQ26" i="1"/>
  <c r="AQ27" i="1" s="1"/>
  <c r="AQ65" i="1" s="1"/>
  <c r="AR58" i="1"/>
  <c r="AR48" i="1"/>
  <c r="AR26" i="1"/>
  <c r="AR27" i="1" s="1"/>
  <c r="AR65" i="1" s="1"/>
  <c r="AO36" i="1" l="1"/>
  <c r="AS26" i="1"/>
  <c r="AS27" i="1" s="1"/>
  <c r="AQ38" i="1"/>
  <c r="AQ52" i="1"/>
  <c r="AQ29" i="1"/>
  <c r="AR29" i="1" s="1"/>
  <c r="AQ28" i="1"/>
  <c r="AR38" i="1"/>
  <c r="AR52" i="1"/>
  <c r="AQ30" i="1" l="1"/>
  <c r="AQ31" i="1" s="1"/>
  <c r="AQ32" i="1" s="1"/>
  <c r="AQ34" i="1" s="1"/>
  <c r="AQ36" i="1" s="1"/>
  <c r="AS52" i="1"/>
  <c r="AS38" i="1"/>
  <c r="AS29" i="1"/>
  <c r="AS30" i="1" s="1"/>
  <c r="AR28" i="1"/>
  <c r="AR30" i="1" s="1"/>
  <c r="AR31" i="1" s="1"/>
  <c r="AS31" i="1" l="1"/>
  <c r="AS32" i="1" s="1"/>
  <c r="AS34" i="1" s="1"/>
  <c r="AS36" i="1" s="1"/>
  <c r="AR32" i="1"/>
  <c r="AR34" i="1" s="1"/>
  <c r="AR36" i="1" s="1"/>
  <c r="AT34" i="1" l="1"/>
  <c r="AU34" i="1" l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AV44" i="1" l="1"/>
  <c r="AV46" i="1" s="1"/>
  <c r="AV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C10" authorId="0" shapeId="0" xr:uid="{9AEE3D4D-D024-CE42-8570-BD3B9DF7776D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Kentucky Governor seeded Kent with $80K initially then invested more later.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Got new investors to launch Texas Roadhouse (3 doctors invested $300K)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Death by suicide 3/18/21 @ 65 yrs</t>
        </r>
      </text>
    </comment>
    <comment ref="C12" authorId="0" shapeId="0" xr:uid="{DBA685D2-1794-9341-AC93-798CD326AFB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Replaced Kent Taylor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tc={181FE2BF-5D97-9040-9A79-41DCD5D3431E}</author>
    <author>jameel</author>
    <author>tc={EEA51F64-BDD9-6140-84EC-2A7B3BC86000}</author>
    <author>tc={94EF839B-A07D-1346-8081-B728670734D3}</author>
    <author>tc={549443CF-B8A7-7445-A70B-59E8A18627BC}</author>
    <author>tc={6EB4B813-7C2E-B04F-AFEA-47A8048E783E}</author>
    <author>tc={1748FB86-3C2C-304B-852D-54B70EB5DDF0}</author>
    <author>tc={5B54C1E7-DE57-814C-A1C1-E49CBE92E23E}</author>
    <author>tc={726BF05F-BEEE-A64B-AA4B-764271C3FAD6}</author>
    <author>tc={7A522B55-9D23-2A45-ADDB-5BEDEA62F207}</author>
    <author>tc={E45D53CA-CB29-A546-80EC-B01E82EB41DB}</author>
  </authors>
  <commentList>
    <comment ref="AI4" authorId="0" shapeId="0" xr:uid="{18FFDCB4-BB8E-934E-AD5D-1978916CE67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 new openings</t>
        </r>
      </text>
    </comment>
    <comment ref="AJ12" authorId="1" shapeId="0" xr:uid="{181FE2BF-5D97-9040-9A79-41DCD5D3431E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Benefit from menu pricing actions</t>
        </r>
      </text>
    </comment>
    <comment ref="AJ19" authorId="2" shapeId="0" xr:uid="{1B5FBC84-C093-5548-9457-590552E6B77B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guide: comm inflation ~3%</t>
        </r>
      </text>
    </comment>
    <comment ref="AJ20" authorId="2" shapeId="0" xr:uid="{D63B6498-B7CC-5541-8283-0BC7E66FB31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guidance: 4-5%</t>
        </r>
      </text>
    </comment>
    <comment ref="AJ31" authorId="3" shapeId="0" xr:uid="{EEA51F64-BDD9-6140-84EC-2A7B3BC86000}">
      <text>
        <r>
          <rPr>
            <sz val="10"/>
            <color rgb="FF000000"/>
            <rFont val="IntelClear-Regular"/>
            <family val="2"/>
          </rPr>
          <t xml:space="preserve">    14% effective TR</t>
        </r>
      </text>
    </comment>
    <comment ref="AV42" authorId="2" shapeId="0" xr:uid="{886FD8BD-1902-674F-B806-7634FAEB1E8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assume: 1% growth until the world end</t>
        </r>
      </text>
    </comment>
    <comment ref="AK55" authorId="4" shapeId="0" xr:uid="{94EF839B-A07D-1346-8081-B728670734D3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Assuming Lower food/bev cost as food becomes easier to produce with new technology</t>
        </r>
      </text>
    </comment>
    <comment ref="AL56" authorId="5" shapeId="0" xr:uid="{549443CF-B8A7-7445-A70B-59E8A18627BC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M56" authorId="6" shapeId="0" xr:uid="{6EB4B813-7C2E-B04F-AFEA-47A8048E783E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N56" authorId="7" shapeId="0" xr:uid="{1748FB86-3C2C-304B-852D-54B70EB5DDF0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O56" authorId="8" shapeId="0" xr:uid="{5B54C1E7-DE57-814C-A1C1-E49CBE92E23E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P56" authorId="9" shapeId="0" xr:uid="{726BF05F-BEEE-A64B-AA4B-764271C3FAD6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Q56" authorId="10" shapeId="0" xr:uid="{7A522B55-9D23-2A45-ADDB-5BEDEA62F207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  <comment ref="AR56" authorId="11" shapeId="0" xr:uid="{E45D53CA-CB29-A546-80EC-B01E82EB41DB}">
      <text>
        <r>
          <rPr>
            <sz val="10"/>
            <color theme="1"/>
            <rFont val="IntelClear-Regular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  </r>
      </text>
    </comment>
  </commentList>
</comments>
</file>

<file path=xl/sharedStrings.xml><?xml version="1.0" encoding="utf-8"?>
<sst xmlns="http://schemas.openxmlformats.org/spreadsheetml/2006/main" count="207" uniqueCount="169">
  <si>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</si>
  <si>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</si>
  <si>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</si>
  <si>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</si>
  <si>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</si>
  <si>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</si>
  <si>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</si>
  <si>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</si>
  <si>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</si>
  <si>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</si>
  <si>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</si>
  <si>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</si>
  <si>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</si>
  <si>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</si>
  <si>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</si>
  <si>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</si>
  <si>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</si>
  <si>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</si>
  <si>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TC + E</t>
  </si>
  <si>
    <t xml:space="preserve">Restaurant </t>
  </si>
  <si>
    <t>Franchise royalties</t>
  </si>
  <si>
    <t>TR</t>
  </si>
  <si>
    <t>Food/Beverage</t>
  </si>
  <si>
    <t>Labor</t>
  </si>
  <si>
    <t>Rent</t>
  </si>
  <si>
    <t>Other op</t>
  </si>
  <si>
    <t>Pre-opening</t>
  </si>
  <si>
    <t>D&amp;A</t>
  </si>
  <si>
    <t>G&amp;A</t>
  </si>
  <si>
    <t>Op Income</t>
  </si>
  <si>
    <t>Interest E</t>
  </si>
  <si>
    <t>Equity income</t>
  </si>
  <si>
    <t>EBT</t>
  </si>
  <si>
    <t>Taxes</t>
  </si>
  <si>
    <t>Net Income</t>
  </si>
  <si>
    <t>Noncontrlling</t>
  </si>
  <si>
    <t>Net, Net</t>
  </si>
  <si>
    <t>Restaurant</t>
  </si>
  <si>
    <t>Franchise Royalties</t>
  </si>
  <si>
    <t xml:space="preserve">TR </t>
  </si>
  <si>
    <t>Rev-G y/y</t>
  </si>
  <si>
    <t>D. Eps</t>
  </si>
  <si>
    <t>OM%</t>
  </si>
  <si>
    <t xml:space="preserve">Cash </t>
  </si>
  <si>
    <t>Recievables</t>
  </si>
  <si>
    <t>Inventories</t>
  </si>
  <si>
    <t>Prepaid income Tx</t>
  </si>
  <si>
    <t>Prepaid E</t>
  </si>
  <si>
    <t>CA</t>
  </si>
  <si>
    <t>TA</t>
  </si>
  <si>
    <t>PPE</t>
  </si>
  <si>
    <t>Op Lease</t>
  </si>
  <si>
    <t>Goodwill</t>
  </si>
  <si>
    <t>Intangible</t>
  </si>
  <si>
    <t>OA</t>
  </si>
  <si>
    <t>CL</t>
  </si>
  <si>
    <t>A/P</t>
  </si>
  <si>
    <t>Deferred Rev</t>
  </si>
  <si>
    <t>Accrued Wages</t>
  </si>
  <si>
    <t>Income Tx Payable</t>
  </si>
  <si>
    <t>Accrued Tx</t>
  </si>
  <si>
    <t>Other</t>
  </si>
  <si>
    <t>TL</t>
  </si>
  <si>
    <t>LTD</t>
  </si>
  <si>
    <t>Restricted Stock</t>
  </si>
  <si>
    <t>Deferred Tx L</t>
  </si>
  <si>
    <t>Equity</t>
  </si>
  <si>
    <t>TL + E</t>
  </si>
  <si>
    <t>Current Debt</t>
  </si>
  <si>
    <t>ROE</t>
  </si>
  <si>
    <t xml:space="preserve">Net Cash </t>
  </si>
  <si>
    <t>Model NI</t>
  </si>
  <si>
    <t xml:space="preserve">NI </t>
  </si>
  <si>
    <t>Cash Increase</t>
  </si>
  <si>
    <t>CFFF</t>
  </si>
  <si>
    <t>CFFI</t>
  </si>
  <si>
    <t>CFFO</t>
  </si>
  <si>
    <t>Deferred</t>
  </si>
  <si>
    <t>Loss on assets</t>
  </si>
  <si>
    <t>Impairments</t>
  </si>
  <si>
    <t>Equity inv</t>
  </si>
  <si>
    <t>Distributions</t>
  </si>
  <si>
    <t>Doubtful Provision</t>
  </si>
  <si>
    <t>SBC</t>
  </si>
  <si>
    <t>Deferred revenue</t>
  </si>
  <si>
    <t>Accrued wages</t>
  </si>
  <si>
    <t>Prepaid Income Tx</t>
  </si>
  <si>
    <t>OL</t>
  </si>
  <si>
    <t>Other accrued</t>
  </si>
  <si>
    <t>CapEx</t>
  </si>
  <si>
    <t>Acquisitions</t>
  </si>
  <si>
    <t>Sales of PPE</t>
  </si>
  <si>
    <t>Sales leaseback T</t>
  </si>
  <si>
    <t xml:space="preserve">Restricted stock </t>
  </si>
  <si>
    <t>Indirect buybacks</t>
  </si>
  <si>
    <t>Buybacks</t>
  </si>
  <si>
    <t>Dividends</t>
  </si>
  <si>
    <t>Cash @ Begin</t>
  </si>
  <si>
    <t>Cash @ End</t>
  </si>
  <si>
    <t>Sales of Invest</t>
  </si>
  <si>
    <t>Revolving CF</t>
  </si>
  <si>
    <t>Debt Issuance</t>
  </si>
  <si>
    <t>Receivables</t>
  </si>
  <si>
    <t>Cash Change  q/q</t>
  </si>
  <si>
    <t>Debt Payments</t>
  </si>
  <si>
    <t>Debt Change</t>
  </si>
  <si>
    <t>Founded</t>
  </si>
  <si>
    <t>CEO</t>
  </si>
  <si>
    <t>PR</t>
  </si>
  <si>
    <t>q3'22</t>
  </si>
  <si>
    <t>TXHR</t>
  </si>
  <si>
    <t>Bubba's</t>
  </si>
  <si>
    <t>Jaggers</t>
  </si>
  <si>
    <t>Net Units</t>
  </si>
  <si>
    <t>TXHR US F</t>
  </si>
  <si>
    <t>TXHR Int'l F</t>
  </si>
  <si>
    <t>RPU</t>
  </si>
  <si>
    <t>q2'22</t>
  </si>
  <si>
    <t>q1'22</t>
  </si>
  <si>
    <t>Brands</t>
  </si>
  <si>
    <t>Bubba</t>
  </si>
  <si>
    <t>Jagger's</t>
  </si>
  <si>
    <t>Q123</t>
  </si>
  <si>
    <t>Q223</t>
  </si>
  <si>
    <t>Q323</t>
  </si>
  <si>
    <t>Q423</t>
  </si>
  <si>
    <t>% Rev</t>
  </si>
  <si>
    <t xml:space="preserve">% Total </t>
  </si>
  <si>
    <t>Terminal</t>
  </si>
  <si>
    <t>Discount</t>
  </si>
  <si>
    <t>NPV</t>
  </si>
  <si>
    <t>E</t>
  </si>
  <si>
    <t>Current</t>
  </si>
  <si>
    <t>Delta</t>
  </si>
  <si>
    <t>ebitda</t>
  </si>
  <si>
    <t>Jaggers US F</t>
  </si>
  <si>
    <t xml:space="preserve">Check </t>
  </si>
  <si>
    <t>WC</t>
  </si>
  <si>
    <t xml:space="preserve">Ratio Analysis </t>
  </si>
  <si>
    <t>Free Cash Flow</t>
  </si>
  <si>
    <t>4Q FCF</t>
  </si>
  <si>
    <t>4Q NI</t>
  </si>
  <si>
    <t>Buyback Program</t>
  </si>
  <si>
    <t>Repurchased Shares</t>
  </si>
  <si>
    <t>Amount</t>
  </si>
  <si>
    <t>Average Price</t>
  </si>
  <si>
    <t xml:space="preserve">Jerry Morgan </t>
  </si>
  <si>
    <t>HQ</t>
  </si>
  <si>
    <t>Louisville, KY</t>
  </si>
  <si>
    <t>W. Kent Taylor</t>
  </si>
  <si>
    <t xml:space="preserve">IPO </t>
  </si>
  <si>
    <t>Founder/1st CEO</t>
  </si>
  <si>
    <t>Texas Roadhouse History</t>
  </si>
  <si>
    <t>President</t>
  </si>
  <si>
    <t>Chief Legal &amp; Admin Officer</t>
  </si>
  <si>
    <t>CTO</t>
  </si>
  <si>
    <t>CFO</t>
  </si>
  <si>
    <t>CCO</t>
  </si>
  <si>
    <t>Regina Tobin</t>
  </si>
  <si>
    <t>Hernan Mujica</t>
  </si>
  <si>
    <t>D. Christopher Monroe</t>
  </si>
  <si>
    <t>Travis Doster</t>
  </si>
  <si>
    <t>Christopher Colson</t>
  </si>
  <si>
    <t xml:space="preserve">Vendor Management </t>
  </si>
  <si>
    <t>ROIC</t>
  </si>
  <si>
    <t>Q124</t>
  </si>
  <si>
    <t>Q424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</si>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</sst>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0"/>
      <color theme="1"/>
      <name val="IntelClear-Regular"/>
      <family val="2"/>
    </font>
    <font>
      <u/>
      <sz val="10"/>
      <color theme="10"/>
      <name val="IntelClear-Regul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IntelClear-Regular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3" fontId="1" fillId="0" borderId="0" xfId="1" applyNumberForma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3" fontId="4" fillId="2" borderId="0" xfId="0" applyNumberFormat="1" applyFont="1" applyFill="1"/>
    <xf numFmtId="3" fontId="4" fillId="0" borderId="0" xfId="0" applyNumberFormat="1" applyFont="1"/>
    <xf numFmtId="0" fontId="4" fillId="2" borderId="0" xfId="0" applyFont="1" applyFill="1"/>
    <xf numFmtId="3" fontId="5" fillId="0" borderId="0" xfId="0" applyNumberFormat="1" applyFont="1"/>
    <xf numFmtId="3" fontId="7" fillId="0" borderId="0" xfId="1" applyNumberFormat="1" applyFont="1"/>
    <xf numFmtId="1" fontId="4" fillId="0" borderId="0" xfId="0" applyNumberFormat="1" applyFont="1" applyAlignment="1">
      <alignment horizontal="left"/>
    </xf>
    <xf numFmtId="3" fontId="1" fillId="0" borderId="0" xfId="1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9" fontId="4" fillId="3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73026</xdr:colOff>
      <xdr:row>1</xdr:row>
      <xdr:rowOff>0</xdr:rowOff>
    </xdr:from>
    <xdr:to>
      <xdr:col>1</xdr:col>
      <xdr:colOff>1521792</xdr:colOff>
      <xdr:row>5</xdr:row>
      <xdr:rowOff>107925</xdr:rowOff>
    </xdr:to>
    <xdr:pic>
      <xdr:nvPicPr>
        <xdr:cNvPr id="2" name="Picture 1" descr="Texas Roadhouse">
          <a:extLst>
            <a:ext uri="{FF2B5EF4-FFF2-40B4-BE49-F238E27FC236}">
              <a16:creationId xmlns:a16="http://schemas.microsoft.com/office/drawing/2014/main" id="{39ACDBCB-B947-6245-B7E7-E692ACC4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26" y="0"/>
          <a:ext cx="1444624" cy="76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1353</xdr:colOff>
      <xdr:row>0</xdr:row>
      <xdr:rowOff>0</xdr:rowOff>
    </xdr:from>
    <xdr:to>
      <xdr:col>25</xdr:col>
      <xdr:colOff>20399</xdr:colOff>
      <xdr:row>183</xdr:row>
      <xdr:rowOff>143774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9ED8A1-B0A2-3EDA-2A76-F937958ECF24}"/>
            </a:ext>
          </a:extLst>
        </xdr:cNvPr>
        <xdr:cNvCxnSpPr/>
      </xdr:nvCxnSpPr>
      <xdr:spPr>
        <a:xfrm>
          <a:off x="12286007" y="0"/>
          <a:ext cx="19046" cy="30839434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734842</xdr:colOff>
      <xdr:row>0</xdr:row>
      <xdr:rowOff>0</xdr:rowOff>
    </xdr:from>
    <xdr:to>
      <xdr:col>34</xdr:col>
      <xdr:colOff>774778</xdr:colOff>
      <xdr:row>184</xdr:row>
      <xdr:rowOff>87861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E4AC477-90C4-F145-87BD-D65E94C9B94B}"/>
            </a:ext>
          </a:extLst>
        </xdr:cNvPr>
        <xdr:cNvCxnSpPr/>
      </xdr:nvCxnSpPr>
      <xdr:spPr>
        <a:xfrm flipH="1">
          <a:off x="17660188" y="0"/>
          <a:ext cx="39936" cy="3095125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0A3B2AA9-F539-9749-8B14-9ED9047ACB81}" userId="jameelbrann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2" dT="2024-01-18T04:19:32.94" personId="{0A3B2AA9-F539-9749-8B14-9ED9047ACB81}" id="{181FE2BF-5D97-9040-9A79-41DCD5D3431E}">
    <text>Benefit from menu pricing actions</text>
  </threadedComment>
  <threadedComment ref="AC31" dT="2024-01-18T04:20:01.59" personId="{0A3B2AA9-F539-9749-8B14-9ED9047ACB81}" id="{EEA51F64-BDD9-6140-84EC-2A7B3BC86000}">
    <text>14% effective TR</text>
  </threadedComment>
  <threadedComment ref="AD55" dT="2024-01-18T04:16:20.19" personId="{0A3B2AA9-F539-9749-8B14-9ED9047ACB81}" id="{94EF839B-A07D-1346-8081-B728670734D3}">
    <text>Assuming Lower food/bev cost as food becomes easier to produce with new technology</text>
  </threadedComment>
  <threadedComment ref="AE56" dT="2024-01-18T04:14:36.55" personId="{0A3B2AA9-F539-9749-8B14-9ED9047ACB81}" id="{549443CF-B8A7-7445-A70B-59E8A18627BC}">
    <text>Labor inflation back to 2021 levels</text>
  </threadedComment>
  <threadedComment ref="AF56" dT="2024-01-18T04:14:36.55" personId="{0A3B2AA9-F539-9749-8B14-9ED9047ACB81}" id="{6EB4B813-7C2E-B04F-AFEA-47A8048E783E}">
    <text>Labor inflation back to 2021 levels</text>
  </threadedComment>
  <threadedComment ref="AG56" dT="2024-01-18T04:14:36.55" personId="{0A3B2AA9-F539-9749-8B14-9ED9047ACB81}" id="{1748FB86-3C2C-304B-852D-54B70EB5DDF0}">
    <text>Labor inflation back to 2021 levels</text>
  </threadedComment>
  <threadedComment ref="AH56" dT="2024-01-18T04:14:36.55" personId="{0A3B2AA9-F539-9749-8B14-9ED9047ACB81}" id="{5B54C1E7-DE57-814C-A1C1-E49CBE92E23E}">
    <text>Labor inflation back to 2021 levels</text>
  </threadedComment>
  <threadedComment ref="AI56" dT="2024-01-18T04:14:36.55" personId="{0A3B2AA9-F539-9749-8B14-9ED9047ACB81}" id="{726BF05F-BEEE-A64B-AA4B-764271C3FAD6}">
    <text>Labor inflation back to 2021 levels</text>
  </threadedComment>
  <threadedComment ref="AJ56" dT="2024-01-18T04:14:36.55" personId="{0A3B2AA9-F539-9749-8B14-9ED9047ACB81}" id="{7A522B55-9D23-2A45-ADDB-5BEDEA62F207}">
    <text>Labor inflation back to 2021 levels</text>
  </threadedComment>
  <threadedComment ref="AK56" dT="2024-01-18T04:14:36.55" personId="{0A3B2AA9-F539-9749-8B14-9ED9047ACB81}" id="{E45D53CA-CB29-A546-80EC-B01E82EB41DB}">
    <text>Labor inflation back to 2021 levels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yne_Kent_Taylor" TargetMode="External"/><Relationship Id="rId13" Type="http://schemas.openxmlformats.org/officeDocument/2006/relationships/hyperlink" Target="https://s22.q4cdn.com/200744459/files/doc_financials/2023/q2/TXRH-2023-Q2-Earnings-Release-Final.pdf" TargetMode="External"/><Relationship Id="rId3" Type="http://schemas.openxmlformats.org/officeDocument/2006/relationships/hyperlink" Target="https://www.bubbas33.com/" TargetMode="External"/><Relationship Id="rId7" Type="http://schemas.openxmlformats.org/officeDocument/2006/relationships/hyperlink" Target="https://en.wikipedia.org/wiki/Texas_Roadhouse" TargetMode="External"/><Relationship Id="rId12" Type="http://schemas.openxmlformats.org/officeDocument/2006/relationships/hyperlink" Target="https://s22.q4cdn.com/200744459/files/doc_financials/2023/q3/TXRH-2023-Q3-Earnings-Release-10-26-23.pdf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texasroadhouse.com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s22.q4cdn.com/200744459/files/doc_financials/2022/q3/TXRH-Q3-2022-earnings-release.pdf" TargetMode="External"/><Relationship Id="rId6" Type="http://schemas.openxmlformats.org/officeDocument/2006/relationships/hyperlink" Target="https://s22.q4cdn.com/200744459/files/doc_financials/2022/q1/TXRH-Q1-2022-earnings-release-v4.pdf" TargetMode="External"/><Relationship Id="rId11" Type="http://schemas.openxmlformats.org/officeDocument/2006/relationships/hyperlink" Target="https://s22.q4cdn.com/200744459/files/doc_financials/2023/q4/TXRH-2023-Q4-Earnings-Release-Draft-2-15-24-Final.pdf" TargetMode="External"/><Relationship Id="rId5" Type="http://schemas.openxmlformats.org/officeDocument/2006/relationships/hyperlink" Target="https://s22.q4cdn.com/200744459/files/doc_financials/2022/q2/TXRH-Q2-2022-earnings-release.pdf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s22.q4cdn.com/200744459/files/doc_financials/2024/TXRH-2024-Q1-Earnings-Release-Draft-5-2-2024.pdf" TargetMode="External"/><Relationship Id="rId4" Type="http://schemas.openxmlformats.org/officeDocument/2006/relationships/hyperlink" Target="https://www.eatjaggers.com/" TargetMode="External"/><Relationship Id="rId9" Type="http://schemas.openxmlformats.org/officeDocument/2006/relationships/hyperlink" Target="https://s22.q4cdn.com/200744459/files/doc_downloads/2022/03/Texas-Roadhouse-Vendor-Partner-Expectations-(FINAL).pdf" TargetMode="External"/><Relationship Id="rId14" Type="http://schemas.openxmlformats.org/officeDocument/2006/relationships/hyperlink" Target="https://s22.q4cdn.com/200744459/files/doc_financials/2023/q1/TXRH-Q1-2023-earnings-relea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9BCC-6FC0-394B-9841-D4526B4EB1E7}">
  <dimension ref="B3:I22"/>
  <sheetViews>
    <sheetView tabSelected="1" zoomScale="170" zoomScaleNormal="170" workbookViewId="0">
      <selection activeCell="F29" sqref="F29"/>
    </sheetView>
  </sheetViews>
  <sheetFormatPr baseColWidth="10" defaultRowHeight="13"/>
  <cols>
    <col min="1" max="1" width="10.83203125" style="16"/>
    <col min="2" max="2" width="21.1640625" style="16" bestFit="1" customWidth="1"/>
    <col min="3" max="3" width="18.6640625" style="16" bestFit="1" customWidth="1"/>
    <col min="4" max="6" width="10.83203125" style="16"/>
    <col min="7" max="7" width="6.33203125" style="16" bestFit="1" customWidth="1"/>
    <col min="8" max="8" width="6.6640625" style="16" bestFit="1" customWidth="1"/>
    <col min="9" max="9" width="5.83203125" style="16" bestFit="1" customWidth="1"/>
    <col min="10" max="16384" width="10.83203125" style="16"/>
  </cols>
  <sheetData>
    <row r="3" spans="2:9">
      <c r="B3" s="15"/>
      <c r="C3" s="15"/>
    </row>
    <row r="4" spans="2:9">
      <c r="B4" s="15"/>
      <c r="C4" s="15"/>
    </row>
    <row r="5" spans="2:9">
      <c r="B5" s="17"/>
      <c r="C5" s="15"/>
    </row>
    <row r="6" spans="2:9">
      <c r="G6" s="16" t="s">
        <v>0</v>
      </c>
      <c r="H6" s="16">
        <v>169.64</v>
      </c>
    </row>
    <row r="7" spans="2:9" ht="14">
      <c r="B7" s="1" t="s">
        <v>152</v>
      </c>
      <c r="G7" s="16" t="s">
        <v>1</v>
      </c>
      <c r="H7" s="16">
        <v>66.828113000000002</v>
      </c>
      <c r="I7" s="16" t="s">
        <v>165</v>
      </c>
    </row>
    <row r="8" spans="2:9">
      <c r="B8" s="16" t="s">
        <v>147</v>
      </c>
      <c r="C8" s="2" t="s">
        <v>148</v>
      </c>
      <c r="G8" s="16" t="s">
        <v>2</v>
      </c>
      <c r="H8" s="16">
        <f>+H6*H7</f>
        <v>11336.721089319999</v>
      </c>
    </row>
    <row r="9" spans="2:9">
      <c r="B9" s="16" t="s">
        <v>150</v>
      </c>
      <c r="C9" s="20">
        <v>2004</v>
      </c>
      <c r="G9" s="16" t="s">
        <v>3</v>
      </c>
      <c r="H9" s="16">
        <v>104.246</v>
      </c>
      <c r="I9" s="16" t="str">
        <f>+I7</f>
        <v>Q124</v>
      </c>
    </row>
    <row r="10" spans="2:9" ht="14">
      <c r="B10" s="16" t="s">
        <v>151</v>
      </c>
      <c r="C10" s="21" t="s">
        <v>149</v>
      </c>
      <c r="G10" s="16" t="s">
        <v>4</v>
      </c>
      <c r="H10" s="16">
        <v>0</v>
      </c>
      <c r="I10" s="16" t="str">
        <f>+I9</f>
        <v>Q124</v>
      </c>
    </row>
    <row r="11" spans="2:9">
      <c r="B11" s="16" t="s">
        <v>106</v>
      </c>
      <c r="C11" s="20">
        <v>1993</v>
      </c>
      <c r="G11" s="16" t="s">
        <v>5</v>
      </c>
      <c r="H11" s="16">
        <f>+H8-H9+H10</f>
        <v>11232.47508932</v>
      </c>
    </row>
    <row r="12" spans="2:9">
      <c r="B12" s="16" t="s">
        <v>107</v>
      </c>
      <c r="C12" s="2" t="s">
        <v>146</v>
      </c>
    </row>
    <row r="13" spans="2:9">
      <c r="B13" s="16" t="s">
        <v>153</v>
      </c>
      <c r="C13" s="16" t="s">
        <v>158</v>
      </c>
    </row>
    <row r="14" spans="2:9">
      <c r="B14" s="16" t="s">
        <v>154</v>
      </c>
      <c r="C14" s="16" t="s">
        <v>162</v>
      </c>
      <c r="D14" s="18" t="s">
        <v>108</v>
      </c>
      <c r="F14" s="18" t="s">
        <v>119</v>
      </c>
    </row>
    <row r="15" spans="2:9" ht="14">
      <c r="B15" s="16" t="s">
        <v>155</v>
      </c>
      <c r="C15" s="16" t="s">
        <v>159</v>
      </c>
      <c r="D15" s="1" t="s">
        <v>165</v>
      </c>
      <c r="F15" s="19" t="s">
        <v>110</v>
      </c>
    </row>
    <row r="16" spans="2:9" ht="14">
      <c r="B16" s="16" t="s">
        <v>156</v>
      </c>
      <c r="C16" s="16" t="s">
        <v>160</v>
      </c>
      <c r="D16" s="1" t="s">
        <v>125</v>
      </c>
      <c r="F16" s="19" t="s">
        <v>120</v>
      </c>
    </row>
    <row r="17" spans="2:6" ht="14">
      <c r="B17" s="16" t="s">
        <v>157</v>
      </c>
      <c r="C17" s="16" t="s">
        <v>161</v>
      </c>
      <c r="D17" s="1" t="s">
        <v>124</v>
      </c>
      <c r="F17" s="19" t="s">
        <v>121</v>
      </c>
    </row>
    <row r="18" spans="2:6" ht="14">
      <c r="D18" s="1" t="s">
        <v>123</v>
      </c>
    </row>
    <row r="19" spans="2:6" ht="14">
      <c r="D19" s="1" t="s">
        <v>122</v>
      </c>
    </row>
    <row r="20" spans="2:6" ht="14">
      <c r="B20" s="1" t="s">
        <v>163</v>
      </c>
      <c r="D20" s="19" t="s">
        <v>109</v>
      </c>
    </row>
    <row r="21" spans="2:6">
      <c r="D21" s="19" t="s">
        <v>117</v>
      </c>
    </row>
    <row r="22" spans="2:6">
      <c r="D22" s="19" t="s">
        <v>118</v>
      </c>
    </row>
  </sheetData>
  <hyperlinks>
    <hyperlink ref="D20" r:id="rId1" xr:uid="{828C963E-D191-3646-926B-F8F0551962E3}"/>
    <hyperlink ref="F15" r:id="rId2" xr:uid="{ABB2C3D5-77D2-554F-862B-540A516CBCCF}"/>
    <hyperlink ref="F16" r:id="rId3" xr:uid="{C26A25A5-71D4-3A4C-8B84-7015C40558BE}"/>
    <hyperlink ref="F17" r:id="rId4" xr:uid="{2349594C-13C0-8841-A13F-355434D9C1FA}"/>
    <hyperlink ref="D21" r:id="rId5" xr:uid="{088C4BB8-3266-7F4E-9915-C66FDF5B765E}"/>
    <hyperlink ref="D22" r:id="rId6" xr:uid="{A0BF39F1-9A67-3D4A-A424-33CD1D6E237C}"/>
    <hyperlink ref="B7" r:id="rId7" xr:uid="{FF46BBA4-524E-7A48-A239-1B4E2D40DF76}"/>
    <hyperlink ref="C10" r:id="rId8" xr:uid="{BA520A2B-BC0E-004E-AD1F-CB31CD323593}"/>
    <hyperlink ref="B20" r:id="rId9" xr:uid="{1E9A17EA-D669-FF4F-B60C-04D0A93B1FD9}"/>
    <hyperlink ref="D15" r:id="rId10" xr:uid="{29521844-3CAA-2742-B74D-86CBE8E39EED}"/>
    <hyperlink ref="D16" r:id="rId11" display="Q424" xr:uid="{716A047C-9EA9-AD4F-8A68-4A72EFC20B59}"/>
    <hyperlink ref="D17" r:id="rId12" xr:uid="{361EA80B-B0D0-534A-8396-B2349740B35D}"/>
    <hyperlink ref="D18" r:id="rId13" xr:uid="{F029143C-B279-9D4E-A4D0-25EE44A5E48C}"/>
    <hyperlink ref="D19" r:id="rId14" xr:uid="{8B089D6F-0AB0-5246-A492-A882E3E55B55}"/>
  </hyperlinks>
  <pageMargins left="0.7" right="0.7" top="0.75" bottom="0.75" header="0.3" footer="0.3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B37F-8D48-164C-B6E6-F3701C6B9DAF}">
  <dimension ref="A1:IK168"/>
  <sheetViews>
    <sheetView zoomScale="110" zoomScaleNormal="11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AX57" sqref="AX57"/>
    </sheetView>
  </sheetViews>
  <sheetFormatPr baseColWidth="10" defaultRowHeight="13"/>
  <cols>
    <col min="1" max="1" width="2" style="2" customWidth="1"/>
    <col min="2" max="2" width="17.6640625" style="2" bestFit="1" customWidth="1"/>
    <col min="3" max="5" width="7.6640625" style="4" bestFit="1" customWidth="1"/>
    <col min="6" max="18" width="9.1640625" style="4" bestFit="1" customWidth="1"/>
    <col min="19" max="25" width="9.1640625" style="4" customWidth="1"/>
    <col min="26" max="26" width="3.6640625" style="4" customWidth="1"/>
    <col min="27" max="28" width="5.33203125" style="4" bestFit="1" customWidth="1"/>
    <col min="29" max="29" width="4.6640625" style="4" customWidth="1"/>
    <col min="30" max="30" width="5.33203125" style="4" bestFit="1" customWidth="1"/>
    <col min="31" max="34" width="9.1640625" style="4" bestFit="1" customWidth="1"/>
    <col min="35" max="35" width="10.1640625" style="4" bestFit="1" customWidth="1"/>
    <col min="36" max="42" width="9.1640625" style="4" bestFit="1" customWidth="1"/>
    <col min="43" max="45" width="10.1640625" style="4" bestFit="1" customWidth="1"/>
    <col min="46" max="46" width="8.1640625" style="4" bestFit="1" customWidth="1"/>
    <col min="47" max="47" width="9.1640625" style="4" bestFit="1" customWidth="1"/>
    <col min="48" max="48" width="10.1640625" style="4" bestFit="1" customWidth="1"/>
    <col min="49" max="104" width="7.6640625" style="4" bestFit="1" customWidth="1"/>
    <col min="105" max="16384" width="10.83203125" style="4"/>
  </cols>
  <sheetData>
    <row r="1" spans="1:245" s="2" customFormat="1"/>
    <row r="2" spans="1:245" s="3" customFormat="1">
      <c r="P2" s="3">
        <v>45104</v>
      </c>
    </row>
    <row r="3" spans="1:245" s="26" customFormat="1">
      <c r="C3" s="26" t="s">
        <v>6</v>
      </c>
      <c r="D3" s="26" t="s">
        <v>7</v>
      </c>
      <c r="E3" s="26" t="s">
        <v>8</v>
      </c>
      <c r="F3" s="26" t="s">
        <v>9</v>
      </c>
      <c r="G3" s="26" t="s">
        <v>10</v>
      </c>
      <c r="H3" s="26" t="s">
        <v>11</v>
      </c>
      <c r="I3" s="26" t="s">
        <v>12</v>
      </c>
      <c r="J3" s="26" t="s">
        <v>13</v>
      </c>
      <c r="K3" s="26" t="s">
        <v>14</v>
      </c>
      <c r="L3" s="26" t="s">
        <v>15</v>
      </c>
      <c r="M3" s="26" t="s">
        <v>16</v>
      </c>
      <c r="N3" s="26" t="s">
        <v>17</v>
      </c>
      <c r="O3" s="26" t="s">
        <v>122</v>
      </c>
      <c r="P3" s="26" t="s">
        <v>123</v>
      </c>
      <c r="Q3" s="26" t="s">
        <v>124</v>
      </c>
      <c r="R3" s="26" t="s">
        <v>125</v>
      </c>
      <c r="S3" s="26" t="s">
        <v>165</v>
      </c>
      <c r="T3" s="26" t="s">
        <v>167</v>
      </c>
      <c r="U3" s="26" t="s">
        <v>168</v>
      </c>
      <c r="V3" s="26" t="s">
        <v>166</v>
      </c>
      <c r="AA3" s="27">
        <v>2015</v>
      </c>
      <c r="AB3" s="27">
        <f>+AA3+1</f>
        <v>2016</v>
      </c>
      <c r="AC3" s="27">
        <f t="shared" ref="AC3:AS3" si="0">+AB3+1</f>
        <v>2017</v>
      </c>
      <c r="AD3" s="27">
        <f t="shared" si="0"/>
        <v>2018</v>
      </c>
      <c r="AE3" s="27">
        <f t="shared" si="0"/>
        <v>2019</v>
      </c>
      <c r="AF3" s="27">
        <f t="shared" si="0"/>
        <v>2020</v>
      </c>
      <c r="AG3" s="27">
        <f t="shared" si="0"/>
        <v>2021</v>
      </c>
      <c r="AH3" s="27">
        <f t="shared" si="0"/>
        <v>2022</v>
      </c>
      <c r="AI3" s="27">
        <f t="shared" si="0"/>
        <v>2023</v>
      </c>
      <c r="AJ3" s="27">
        <f t="shared" si="0"/>
        <v>2024</v>
      </c>
      <c r="AK3" s="27">
        <f t="shared" si="0"/>
        <v>2025</v>
      </c>
      <c r="AL3" s="27">
        <f t="shared" si="0"/>
        <v>2026</v>
      </c>
      <c r="AM3" s="27">
        <f t="shared" si="0"/>
        <v>2027</v>
      </c>
      <c r="AN3" s="27">
        <f t="shared" si="0"/>
        <v>2028</v>
      </c>
      <c r="AO3" s="27">
        <f t="shared" si="0"/>
        <v>2029</v>
      </c>
      <c r="AP3" s="27">
        <f t="shared" si="0"/>
        <v>2030</v>
      </c>
      <c r="AQ3" s="27">
        <f t="shared" si="0"/>
        <v>2031</v>
      </c>
      <c r="AR3" s="27">
        <f t="shared" si="0"/>
        <v>2032</v>
      </c>
      <c r="AS3" s="27">
        <f t="shared" si="0"/>
        <v>2033</v>
      </c>
      <c r="AT3" s="26">
        <f>+AS3+1</f>
        <v>2034</v>
      </c>
      <c r="AU3" s="26">
        <f t="shared" ref="AU3:CZ3" si="1">+AT3+1</f>
        <v>2035</v>
      </c>
      <c r="AV3" s="26">
        <f t="shared" si="1"/>
        <v>2036</v>
      </c>
      <c r="AW3" s="26">
        <f t="shared" si="1"/>
        <v>2037</v>
      </c>
      <c r="AX3" s="26">
        <f t="shared" si="1"/>
        <v>2038</v>
      </c>
      <c r="AY3" s="26">
        <f t="shared" si="1"/>
        <v>2039</v>
      </c>
      <c r="AZ3" s="26">
        <f t="shared" si="1"/>
        <v>2040</v>
      </c>
      <c r="BA3" s="26">
        <f t="shared" si="1"/>
        <v>2041</v>
      </c>
      <c r="BB3" s="26">
        <f t="shared" si="1"/>
        <v>2042</v>
      </c>
      <c r="BC3" s="26">
        <f t="shared" si="1"/>
        <v>2043</v>
      </c>
      <c r="BD3" s="26">
        <f t="shared" si="1"/>
        <v>2044</v>
      </c>
      <c r="BE3" s="26">
        <f t="shared" si="1"/>
        <v>2045</v>
      </c>
      <c r="BF3" s="26">
        <f t="shared" si="1"/>
        <v>2046</v>
      </c>
      <c r="BG3" s="26">
        <f t="shared" si="1"/>
        <v>2047</v>
      </c>
      <c r="BH3" s="26">
        <f t="shared" si="1"/>
        <v>2048</v>
      </c>
      <c r="BI3" s="26">
        <f t="shared" si="1"/>
        <v>2049</v>
      </c>
      <c r="BJ3" s="26">
        <f t="shared" si="1"/>
        <v>2050</v>
      </c>
      <c r="BK3" s="26">
        <f t="shared" si="1"/>
        <v>2051</v>
      </c>
      <c r="BL3" s="26">
        <f t="shared" si="1"/>
        <v>2052</v>
      </c>
      <c r="BM3" s="26">
        <f t="shared" si="1"/>
        <v>2053</v>
      </c>
      <c r="BN3" s="26">
        <f t="shared" si="1"/>
        <v>2054</v>
      </c>
      <c r="BO3" s="26">
        <f t="shared" si="1"/>
        <v>2055</v>
      </c>
      <c r="BP3" s="26">
        <f t="shared" si="1"/>
        <v>2056</v>
      </c>
      <c r="BQ3" s="26">
        <f t="shared" si="1"/>
        <v>2057</v>
      </c>
      <c r="BR3" s="26">
        <f t="shared" si="1"/>
        <v>2058</v>
      </c>
      <c r="BS3" s="26">
        <f t="shared" si="1"/>
        <v>2059</v>
      </c>
      <c r="BT3" s="26">
        <f t="shared" si="1"/>
        <v>2060</v>
      </c>
      <c r="BU3" s="26">
        <f t="shared" si="1"/>
        <v>2061</v>
      </c>
      <c r="BV3" s="26">
        <f t="shared" si="1"/>
        <v>2062</v>
      </c>
      <c r="BW3" s="26">
        <f t="shared" si="1"/>
        <v>2063</v>
      </c>
      <c r="BX3" s="26">
        <f t="shared" si="1"/>
        <v>2064</v>
      </c>
      <c r="BY3" s="26">
        <f t="shared" si="1"/>
        <v>2065</v>
      </c>
      <c r="BZ3" s="26">
        <f t="shared" si="1"/>
        <v>2066</v>
      </c>
      <c r="CA3" s="26">
        <f t="shared" si="1"/>
        <v>2067</v>
      </c>
      <c r="CB3" s="26">
        <f t="shared" si="1"/>
        <v>2068</v>
      </c>
      <c r="CC3" s="26">
        <f t="shared" si="1"/>
        <v>2069</v>
      </c>
      <c r="CD3" s="26">
        <f t="shared" si="1"/>
        <v>2070</v>
      </c>
      <c r="CE3" s="26">
        <f t="shared" si="1"/>
        <v>2071</v>
      </c>
      <c r="CF3" s="26">
        <f t="shared" si="1"/>
        <v>2072</v>
      </c>
      <c r="CG3" s="26">
        <f t="shared" si="1"/>
        <v>2073</v>
      </c>
      <c r="CH3" s="26">
        <f t="shared" si="1"/>
        <v>2074</v>
      </c>
      <c r="CI3" s="26">
        <f t="shared" si="1"/>
        <v>2075</v>
      </c>
      <c r="CJ3" s="26">
        <f t="shared" si="1"/>
        <v>2076</v>
      </c>
      <c r="CK3" s="26">
        <f t="shared" si="1"/>
        <v>2077</v>
      </c>
      <c r="CL3" s="26">
        <f t="shared" si="1"/>
        <v>2078</v>
      </c>
      <c r="CM3" s="26">
        <f t="shared" si="1"/>
        <v>2079</v>
      </c>
      <c r="CN3" s="26">
        <f t="shared" si="1"/>
        <v>2080</v>
      </c>
      <c r="CO3" s="26">
        <f t="shared" si="1"/>
        <v>2081</v>
      </c>
      <c r="CP3" s="26">
        <f t="shared" si="1"/>
        <v>2082</v>
      </c>
      <c r="CQ3" s="26">
        <f t="shared" si="1"/>
        <v>2083</v>
      </c>
      <c r="CR3" s="26">
        <f t="shared" si="1"/>
        <v>2084</v>
      </c>
      <c r="CS3" s="26">
        <f t="shared" si="1"/>
        <v>2085</v>
      </c>
      <c r="CT3" s="26">
        <f t="shared" si="1"/>
        <v>2086</v>
      </c>
      <c r="CU3" s="26">
        <f t="shared" si="1"/>
        <v>2087</v>
      </c>
      <c r="CV3" s="26">
        <f t="shared" si="1"/>
        <v>2088</v>
      </c>
      <c r="CW3" s="26">
        <f t="shared" si="1"/>
        <v>2089</v>
      </c>
      <c r="CX3" s="26">
        <f t="shared" si="1"/>
        <v>2090</v>
      </c>
      <c r="CY3" s="26">
        <f t="shared" si="1"/>
        <v>2091</v>
      </c>
      <c r="CZ3" s="26">
        <f t="shared" si="1"/>
        <v>2092</v>
      </c>
      <c r="DA3" s="26">
        <f t="shared" ref="DA3:FD3" si="2">+CZ3+1</f>
        <v>2093</v>
      </c>
      <c r="DB3" s="26">
        <f t="shared" si="2"/>
        <v>2094</v>
      </c>
      <c r="DC3" s="26">
        <f t="shared" si="2"/>
        <v>2095</v>
      </c>
      <c r="DD3" s="26">
        <f t="shared" si="2"/>
        <v>2096</v>
      </c>
      <c r="DE3" s="26">
        <f t="shared" si="2"/>
        <v>2097</v>
      </c>
      <c r="DF3" s="26">
        <f t="shared" si="2"/>
        <v>2098</v>
      </c>
      <c r="DG3" s="26">
        <f t="shared" si="2"/>
        <v>2099</v>
      </c>
      <c r="DH3" s="26">
        <f t="shared" si="2"/>
        <v>2100</v>
      </c>
      <c r="DI3" s="26">
        <f t="shared" si="2"/>
        <v>2101</v>
      </c>
      <c r="DJ3" s="26">
        <f t="shared" si="2"/>
        <v>2102</v>
      </c>
      <c r="DK3" s="26">
        <f t="shared" si="2"/>
        <v>2103</v>
      </c>
      <c r="DL3" s="26">
        <f t="shared" si="2"/>
        <v>2104</v>
      </c>
      <c r="DM3" s="26">
        <f t="shared" si="2"/>
        <v>2105</v>
      </c>
      <c r="DN3" s="26">
        <f t="shared" si="2"/>
        <v>2106</v>
      </c>
      <c r="DO3" s="26">
        <f t="shared" si="2"/>
        <v>2107</v>
      </c>
      <c r="DP3" s="26">
        <f t="shared" si="2"/>
        <v>2108</v>
      </c>
      <c r="DQ3" s="26">
        <f t="shared" si="2"/>
        <v>2109</v>
      </c>
      <c r="DR3" s="26">
        <f t="shared" si="2"/>
        <v>2110</v>
      </c>
      <c r="DS3" s="26">
        <f t="shared" si="2"/>
        <v>2111</v>
      </c>
      <c r="DT3" s="26">
        <f t="shared" si="2"/>
        <v>2112</v>
      </c>
      <c r="DU3" s="26">
        <f t="shared" si="2"/>
        <v>2113</v>
      </c>
      <c r="DV3" s="26">
        <f t="shared" si="2"/>
        <v>2114</v>
      </c>
      <c r="DW3" s="26">
        <f t="shared" si="2"/>
        <v>2115</v>
      </c>
      <c r="DX3" s="26">
        <f t="shared" si="2"/>
        <v>2116</v>
      </c>
      <c r="DY3" s="26">
        <f t="shared" si="2"/>
        <v>2117</v>
      </c>
      <c r="DZ3" s="26">
        <f t="shared" si="2"/>
        <v>2118</v>
      </c>
      <c r="EA3" s="26">
        <f t="shared" si="2"/>
        <v>2119</v>
      </c>
      <c r="EB3" s="26">
        <f t="shared" si="2"/>
        <v>2120</v>
      </c>
      <c r="EC3" s="26">
        <f t="shared" si="2"/>
        <v>2121</v>
      </c>
      <c r="ED3" s="26">
        <f t="shared" si="2"/>
        <v>2122</v>
      </c>
      <c r="EE3" s="26">
        <f t="shared" si="2"/>
        <v>2123</v>
      </c>
      <c r="EF3" s="26">
        <f t="shared" si="2"/>
        <v>2124</v>
      </c>
      <c r="EG3" s="26">
        <f t="shared" si="2"/>
        <v>2125</v>
      </c>
      <c r="EH3" s="26">
        <f t="shared" si="2"/>
        <v>2126</v>
      </c>
      <c r="EI3" s="26">
        <f t="shared" si="2"/>
        <v>2127</v>
      </c>
      <c r="EJ3" s="26">
        <f t="shared" si="2"/>
        <v>2128</v>
      </c>
      <c r="EK3" s="26">
        <f t="shared" si="2"/>
        <v>2129</v>
      </c>
      <c r="EL3" s="26">
        <f t="shared" si="2"/>
        <v>2130</v>
      </c>
      <c r="EM3" s="26">
        <f t="shared" si="2"/>
        <v>2131</v>
      </c>
      <c r="EN3" s="26">
        <f t="shared" si="2"/>
        <v>2132</v>
      </c>
      <c r="EO3" s="26">
        <f t="shared" si="2"/>
        <v>2133</v>
      </c>
      <c r="EP3" s="26">
        <f t="shared" si="2"/>
        <v>2134</v>
      </c>
      <c r="EQ3" s="26">
        <f t="shared" si="2"/>
        <v>2135</v>
      </c>
      <c r="ER3" s="26">
        <f t="shared" si="2"/>
        <v>2136</v>
      </c>
      <c r="ES3" s="26">
        <f t="shared" si="2"/>
        <v>2137</v>
      </c>
      <c r="ET3" s="26">
        <f t="shared" si="2"/>
        <v>2138</v>
      </c>
      <c r="EU3" s="26">
        <f t="shared" si="2"/>
        <v>2139</v>
      </c>
      <c r="EV3" s="26">
        <f t="shared" si="2"/>
        <v>2140</v>
      </c>
      <c r="EW3" s="26">
        <f t="shared" si="2"/>
        <v>2141</v>
      </c>
      <c r="EX3" s="26">
        <f t="shared" si="2"/>
        <v>2142</v>
      </c>
      <c r="EY3" s="26">
        <f t="shared" si="2"/>
        <v>2143</v>
      </c>
      <c r="EZ3" s="26">
        <f t="shared" si="2"/>
        <v>2144</v>
      </c>
      <c r="FA3" s="26">
        <f t="shared" si="2"/>
        <v>2145</v>
      </c>
      <c r="FB3" s="26">
        <f t="shared" si="2"/>
        <v>2146</v>
      </c>
      <c r="FC3" s="26">
        <f t="shared" si="2"/>
        <v>2147</v>
      </c>
      <c r="FD3" s="26">
        <f t="shared" si="2"/>
        <v>2148</v>
      </c>
      <c r="FE3" s="26">
        <f t="shared" ref="FE3:GX3" si="3">+FD3+1</f>
        <v>2149</v>
      </c>
      <c r="FF3" s="26">
        <f t="shared" si="3"/>
        <v>2150</v>
      </c>
      <c r="FG3" s="26">
        <f t="shared" si="3"/>
        <v>2151</v>
      </c>
      <c r="FH3" s="26">
        <f t="shared" si="3"/>
        <v>2152</v>
      </c>
      <c r="FI3" s="26">
        <f t="shared" si="3"/>
        <v>2153</v>
      </c>
      <c r="FJ3" s="26">
        <f t="shared" si="3"/>
        <v>2154</v>
      </c>
      <c r="FK3" s="26">
        <f t="shared" si="3"/>
        <v>2155</v>
      </c>
      <c r="FL3" s="26">
        <f t="shared" si="3"/>
        <v>2156</v>
      </c>
      <c r="FM3" s="26">
        <f t="shared" si="3"/>
        <v>2157</v>
      </c>
      <c r="FN3" s="26">
        <f t="shared" si="3"/>
        <v>2158</v>
      </c>
      <c r="FO3" s="26">
        <f t="shared" si="3"/>
        <v>2159</v>
      </c>
      <c r="FP3" s="26">
        <f t="shared" si="3"/>
        <v>2160</v>
      </c>
      <c r="FQ3" s="26">
        <f t="shared" si="3"/>
        <v>2161</v>
      </c>
      <c r="FR3" s="26">
        <f t="shared" si="3"/>
        <v>2162</v>
      </c>
      <c r="FS3" s="26">
        <f t="shared" si="3"/>
        <v>2163</v>
      </c>
      <c r="FT3" s="26">
        <f t="shared" si="3"/>
        <v>2164</v>
      </c>
      <c r="FU3" s="26">
        <f t="shared" si="3"/>
        <v>2165</v>
      </c>
      <c r="FV3" s="26">
        <f t="shared" si="3"/>
        <v>2166</v>
      </c>
      <c r="FW3" s="26">
        <f t="shared" si="3"/>
        <v>2167</v>
      </c>
      <c r="FX3" s="26">
        <f t="shared" si="3"/>
        <v>2168</v>
      </c>
      <c r="FY3" s="26">
        <f t="shared" si="3"/>
        <v>2169</v>
      </c>
      <c r="FZ3" s="26">
        <f t="shared" si="3"/>
        <v>2170</v>
      </c>
      <c r="GA3" s="26">
        <f t="shared" si="3"/>
        <v>2171</v>
      </c>
      <c r="GB3" s="26">
        <f t="shared" si="3"/>
        <v>2172</v>
      </c>
      <c r="GC3" s="26">
        <f t="shared" si="3"/>
        <v>2173</v>
      </c>
      <c r="GD3" s="26">
        <f t="shared" si="3"/>
        <v>2174</v>
      </c>
      <c r="GE3" s="26">
        <f t="shared" si="3"/>
        <v>2175</v>
      </c>
      <c r="GF3" s="26">
        <f t="shared" si="3"/>
        <v>2176</v>
      </c>
      <c r="GG3" s="26">
        <f t="shared" si="3"/>
        <v>2177</v>
      </c>
      <c r="GH3" s="26">
        <f t="shared" si="3"/>
        <v>2178</v>
      </c>
      <c r="GI3" s="26">
        <f t="shared" si="3"/>
        <v>2179</v>
      </c>
      <c r="GJ3" s="26">
        <f t="shared" si="3"/>
        <v>2180</v>
      </c>
      <c r="GK3" s="26">
        <f t="shared" si="3"/>
        <v>2181</v>
      </c>
      <c r="GL3" s="26">
        <f t="shared" si="3"/>
        <v>2182</v>
      </c>
      <c r="GM3" s="26">
        <f t="shared" si="3"/>
        <v>2183</v>
      </c>
      <c r="GN3" s="26">
        <f t="shared" si="3"/>
        <v>2184</v>
      </c>
      <c r="GO3" s="26">
        <f t="shared" si="3"/>
        <v>2185</v>
      </c>
      <c r="GP3" s="26">
        <f t="shared" si="3"/>
        <v>2186</v>
      </c>
      <c r="GQ3" s="26">
        <f t="shared" si="3"/>
        <v>2187</v>
      </c>
      <c r="GR3" s="26">
        <f t="shared" si="3"/>
        <v>2188</v>
      </c>
      <c r="GS3" s="26">
        <f t="shared" si="3"/>
        <v>2189</v>
      </c>
      <c r="GT3" s="26">
        <f t="shared" si="3"/>
        <v>2190</v>
      </c>
      <c r="GU3" s="26">
        <f t="shared" si="3"/>
        <v>2191</v>
      </c>
      <c r="GV3" s="26">
        <f t="shared" si="3"/>
        <v>2192</v>
      </c>
      <c r="GW3" s="26">
        <f t="shared" si="3"/>
        <v>2193</v>
      </c>
      <c r="GX3" s="26">
        <f t="shared" si="3"/>
        <v>2194</v>
      </c>
      <c r="GY3" s="26">
        <f t="shared" ref="GY3:IF3" si="4">+GX3+1</f>
        <v>2195</v>
      </c>
      <c r="GZ3" s="26">
        <f t="shared" si="4"/>
        <v>2196</v>
      </c>
      <c r="HA3" s="26">
        <f t="shared" si="4"/>
        <v>2197</v>
      </c>
      <c r="HB3" s="26">
        <f t="shared" si="4"/>
        <v>2198</v>
      </c>
      <c r="HC3" s="26">
        <f t="shared" si="4"/>
        <v>2199</v>
      </c>
      <c r="HD3" s="26">
        <f t="shared" si="4"/>
        <v>2200</v>
      </c>
      <c r="HE3" s="26">
        <f t="shared" si="4"/>
        <v>2201</v>
      </c>
      <c r="HF3" s="26">
        <f t="shared" si="4"/>
        <v>2202</v>
      </c>
      <c r="HG3" s="26">
        <f t="shared" si="4"/>
        <v>2203</v>
      </c>
      <c r="HH3" s="26">
        <f t="shared" si="4"/>
        <v>2204</v>
      </c>
      <c r="HI3" s="26">
        <f t="shared" si="4"/>
        <v>2205</v>
      </c>
      <c r="HJ3" s="26">
        <f t="shared" si="4"/>
        <v>2206</v>
      </c>
      <c r="HK3" s="26">
        <f t="shared" si="4"/>
        <v>2207</v>
      </c>
      <c r="HL3" s="26">
        <f t="shared" si="4"/>
        <v>2208</v>
      </c>
      <c r="HM3" s="26">
        <f t="shared" si="4"/>
        <v>2209</v>
      </c>
      <c r="HN3" s="26">
        <f t="shared" si="4"/>
        <v>2210</v>
      </c>
      <c r="HO3" s="26">
        <f t="shared" si="4"/>
        <v>2211</v>
      </c>
      <c r="HP3" s="26">
        <f t="shared" si="4"/>
        <v>2212</v>
      </c>
      <c r="HQ3" s="26">
        <f t="shared" si="4"/>
        <v>2213</v>
      </c>
      <c r="HR3" s="26">
        <f t="shared" si="4"/>
        <v>2214</v>
      </c>
      <c r="HS3" s="26">
        <f t="shared" si="4"/>
        <v>2215</v>
      </c>
      <c r="HT3" s="26">
        <f t="shared" si="4"/>
        <v>2216</v>
      </c>
      <c r="HU3" s="26">
        <f t="shared" si="4"/>
        <v>2217</v>
      </c>
      <c r="HV3" s="26">
        <f t="shared" si="4"/>
        <v>2218</v>
      </c>
      <c r="HW3" s="26">
        <f t="shared" si="4"/>
        <v>2219</v>
      </c>
      <c r="HX3" s="26">
        <f t="shared" si="4"/>
        <v>2220</v>
      </c>
      <c r="HY3" s="26">
        <f t="shared" si="4"/>
        <v>2221</v>
      </c>
      <c r="HZ3" s="26">
        <f t="shared" si="4"/>
        <v>2222</v>
      </c>
      <c r="IA3" s="26">
        <f t="shared" si="4"/>
        <v>2223</v>
      </c>
      <c r="IB3" s="26">
        <f t="shared" si="4"/>
        <v>2224</v>
      </c>
      <c r="IC3" s="26">
        <f t="shared" si="4"/>
        <v>2225</v>
      </c>
      <c r="ID3" s="26">
        <f t="shared" si="4"/>
        <v>2226</v>
      </c>
      <c r="IE3" s="26">
        <f t="shared" si="4"/>
        <v>2227</v>
      </c>
      <c r="IF3" s="26">
        <f t="shared" si="4"/>
        <v>2228</v>
      </c>
      <c r="IG3" s="26">
        <f t="shared" ref="IG3:IL3" si="5">+IF3+1</f>
        <v>2229</v>
      </c>
      <c r="IH3" s="26">
        <f t="shared" si="5"/>
        <v>2230</v>
      </c>
      <c r="II3" s="26">
        <f t="shared" si="5"/>
        <v>2231</v>
      </c>
      <c r="IJ3" s="26">
        <f t="shared" si="5"/>
        <v>2232</v>
      </c>
      <c r="IK3" s="26">
        <f t="shared" si="5"/>
        <v>2233</v>
      </c>
    </row>
    <row r="4" spans="1:245">
      <c r="B4" s="2" t="s">
        <v>110</v>
      </c>
      <c r="C4" s="4">
        <v>488</v>
      </c>
      <c r="D4" s="4">
        <v>489</v>
      </c>
      <c r="E4" s="4">
        <v>493</v>
      </c>
      <c r="F4" s="4">
        <v>503</v>
      </c>
      <c r="G4" s="4">
        <v>505</v>
      </c>
      <c r="H4" s="4">
        <v>511</v>
      </c>
      <c r="I4" s="4">
        <v>517</v>
      </c>
      <c r="J4" s="4">
        <v>526</v>
      </c>
      <c r="K4" s="4">
        <v>536</v>
      </c>
      <c r="L4" s="4">
        <v>541</v>
      </c>
      <c r="M4" s="4">
        <v>545</v>
      </c>
      <c r="N4" s="4">
        <v>552</v>
      </c>
      <c r="O4" s="4">
        <v>564</v>
      </c>
      <c r="P4" s="4">
        <v>566</v>
      </c>
      <c r="Q4" s="4">
        <v>573</v>
      </c>
      <c r="R4" s="4">
        <f>+AI4</f>
        <v>582</v>
      </c>
      <c r="S4" s="4">
        <v>591</v>
      </c>
      <c r="AA4" s="5"/>
      <c r="AB4" s="5"/>
      <c r="AC4" s="5"/>
      <c r="AD4" s="5"/>
      <c r="AE4" s="5">
        <f>+AH4-AI4</f>
        <v>-30</v>
      </c>
      <c r="AF4" s="5">
        <f>+F4</f>
        <v>503</v>
      </c>
      <c r="AG4" s="5">
        <f>+J4</f>
        <v>526</v>
      </c>
      <c r="AH4" s="5">
        <f>+N4</f>
        <v>552</v>
      </c>
      <c r="AI4" s="5">
        <v>582</v>
      </c>
      <c r="AJ4" s="5">
        <f>+AI4+27</f>
        <v>609</v>
      </c>
      <c r="AK4" s="5">
        <f t="shared" ref="AK4:AS4" si="6">+AJ4+27</f>
        <v>636</v>
      </c>
      <c r="AL4" s="5">
        <f t="shared" si="6"/>
        <v>663</v>
      </c>
      <c r="AM4" s="5">
        <f t="shared" si="6"/>
        <v>690</v>
      </c>
      <c r="AN4" s="5">
        <f t="shared" si="6"/>
        <v>717</v>
      </c>
      <c r="AO4" s="5">
        <f t="shared" si="6"/>
        <v>744</v>
      </c>
      <c r="AP4" s="5">
        <f t="shared" si="6"/>
        <v>771</v>
      </c>
      <c r="AQ4" s="5">
        <f t="shared" si="6"/>
        <v>798</v>
      </c>
      <c r="AR4" s="5">
        <f t="shared" si="6"/>
        <v>825</v>
      </c>
      <c r="AS4" s="5">
        <f t="shared" si="6"/>
        <v>852</v>
      </c>
    </row>
    <row r="5" spans="1:245">
      <c r="B5" s="2" t="s">
        <v>111</v>
      </c>
      <c r="C5" s="4">
        <v>29</v>
      </c>
      <c r="D5" s="4">
        <v>30</v>
      </c>
      <c r="E5" s="4">
        <v>31</v>
      </c>
      <c r="F5" s="4">
        <v>31</v>
      </c>
      <c r="G5" s="4">
        <v>32</v>
      </c>
      <c r="H5" s="4">
        <v>34</v>
      </c>
      <c r="I5" s="4">
        <v>35</v>
      </c>
      <c r="J5" s="4">
        <v>36</v>
      </c>
      <c r="K5" s="4">
        <v>36</v>
      </c>
      <c r="L5" s="4">
        <v>37</v>
      </c>
      <c r="M5" s="4">
        <v>38</v>
      </c>
      <c r="N5" s="4">
        <v>40</v>
      </c>
      <c r="O5" s="4">
        <v>40</v>
      </c>
      <c r="P5" s="4">
        <v>41</v>
      </c>
      <c r="Q5" s="4">
        <v>43</v>
      </c>
      <c r="R5" s="4">
        <f t="shared" ref="R5:R9" si="7">+AI5</f>
        <v>45</v>
      </c>
      <c r="S5" s="4">
        <v>45</v>
      </c>
      <c r="AA5" s="5"/>
      <c r="AB5" s="5"/>
      <c r="AC5" s="5"/>
      <c r="AD5" s="5"/>
      <c r="AE5" s="5">
        <f>+AH5-AI5</f>
        <v>-5</v>
      </c>
      <c r="AF5" s="5">
        <f>+F5</f>
        <v>31</v>
      </c>
      <c r="AG5" s="5">
        <f>+J5</f>
        <v>36</v>
      </c>
      <c r="AH5" s="5">
        <f>+N5</f>
        <v>40</v>
      </c>
      <c r="AI5" s="5">
        <v>45</v>
      </c>
      <c r="AJ5" s="5">
        <f>+AI5+33</f>
        <v>78</v>
      </c>
      <c r="AK5" s="5">
        <f t="shared" ref="AK5:AS5" si="8">+AJ5+33</f>
        <v>111</v>
      </c>
      <c r="AL5" s="5">
        <f t="shared" si="8"/>
        <v>144</v>
      </c>
      <c r="AM5" s="5">
        <f t="shared" si="8"/>
        <v>177</v>
      </c>
      <c r="AN5" s="5">
        <f t="shared" si="8"/>
        <v>210</v>
      </c>
      <c r="AO5" s="5">
        <f t="shared" si="8"/>
        <v>243</v>
      </c>
      <c r="AP5" s="5">
        <f t="shared" si="8"/>
        <v>276</v>
      </c>
      <c r="AQ5" s="5">
        <f t="shared" si="8"/>
        <v>309</v>
      </c>
      <c r="AR5" s="5">
        <f t="shared" si="8"/>
        <v>342</v>
      </c>
      <c r="AS5" s="5">
        <f t="shared" si="8"/>
        <v>375</v>
      </c>
    </row>
    <row r="6" spans="1:245">
      <c r="B6" s="2" t="s">
        <v>112</v>
      </c>
      <c r="C6" s="4">
        <v>2</v>
      </c>
      <c r="D6" s="4">
        <v>2</v>
      </c>
      <c r="E6" s="4">
        <v>2</v>
      </c>
      <c r="F6" s="4">
        <v>3</v>
      </c>
      <c r="G6" s="4">
        <v>3</v>
      </c>
      <c r="H6" s="4">
        <v>3</v>
      </c>
      <c r="I6" s="4">
        <v>3</v>
      </c>
      <c r="J6" s="4">
        <v>4</v>
      </c>
      <c r="K6" s="4">
        <v>4</v>
      </c>
      <c r="L6" s="4">
        <v>4</v>
      </c>
      <c r="M6" s="4">
        <v>4</v>
      </c>
      <c r="N6" s="4">
        <v>5</v>
      </c>
      <c r="O6" s="4">
        <v>7</v>
      </c>
      <c r="P6" s="4">
        <v>7</v>
      </c>
      <c r="Q6" s="4">
        <v>7</v>
      </c>
      <c r="R6" s="4">
        <f t="shared" si="7"/>
        <v>8</v>
      </c>
      <c r="S6" s="4">
        <v>8</v>
      </c>
      <c r="AA6" s="5"/>
      <c r="AB6" s="5"/>
      <c r="AC6" s="5"/>
      <c r="AD6" s="5"/>
      <c r="AE6" s="5">
        <f>+AH6-AI6</f>
        <v>-3</v>
      </c>
      <c r="AF6" s="5">
        <f>+F6</f>
        <v>3</v>
      </c>
      <c r="AG6" s="5">
        <f>+J6</f>
        <v>4</v>
      </c>
      <c r="AH6" s="5">
        <f>+N6</f>
        <v>5</v>
      </c>
      <c r="AI6" s="5">
        <v>8</v>
      </c>
      <c r="AJ6" s="5">
        <f>+AI6+1</f>
        <v>9</v>
      </c>
      <c r="AK6" s="5">
        <f t="shared" ref="AK6:AS6" si="9">+AJ6+1</f>
        <v>10</v>
      </c>
      <c r="AL6" s="5">
        <f t="shared" si="9"/>
        <v>11</v>
      </c>
      <c r="AM6" s="5">
        <f t="shared" si="9"/>
        <v>12</v>
      </c>
      <c r="AN6" s="5">
        <f t="shared" si="9"/>
        <v>13</v>
      </c>
      <c r="AO6" s="5">
        <f t="shared" si="9"/>
        <v>14</v>
      </c>
      <c r="AP6" s="5">
        <f t="shared" si="9"/>
        <v>15</v>
      </c>
      <c r="AQ6" s="5">
        <f t="shared" si="9"/>
        <v>16</v>
      </c>
      <c r="AR6" s="5">
        <f t="shared" si="9"/>
        <v>17</v>
      </c>
      <c r="AS6" s="5">
        <f t="shared" si="9"/>
        <v>18</v>
      </c>
    </row>
    <row r="7" spans="1:245">
      <c r="B7" s="2" t="s">
        <v>135</v>
      </c>
      <c r="P7" s="4">
        <v>0</v>
      </c>
      <c r="Q7" s="4">
        <v>1</v>
      </c>
      <c r="R7" s="4">
        <f t="shared" si="7"/>
        <v>2</v>
      </c>
      <c r="S7" s="4">
        <v>3</v>
      </c>
      <c r="AA7" s="5"/>
      <c r="AB7" s="5"/>
      <c r="AC7" s="5"/>
      <c r="AD7" s="5"/>
      <c r="AE7" s="5"/>
      <c r="AF7" s="5"/>
      <c r="AG7" s="5"/>
      <c r="AH7" s="5"/>
      <c r="AI7" s="5">
        <v>2</v>
      </c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245">
      <c r="B8" s="2" t="s">
        <v>114</v>
      </c>
      <c r="C8" s="4">
        <v>70</v>
      </c>
      <c r="D8" s="4">
        <v>70</v>
      </c>
      <c r="E8" s="4">
        <v>70</v>
      </c>
      <c r="F8" s="4">
        <v>69</v>
      </c>
      <c r="G8" s="4">
        <v>69</v>
      </c>
      <c r="H8" s="4">
        <v>69</v>
      </c>
      <c r="I8" s="4">
        <v>69</v>
      </c>
      <c r="J8" s="4">
        <v>70</v>
      </c>
      <c r="K8" s="4">
        <v>63</v>
      </c>
      <c r="L8" s="4">
        <v>62</v>
      </c>
      <c r="M8" s="4">
        <v>62</v>
      </c>
      <c r="N8" s="4">
        <v>62</v>
      </c>
      <c r="O8" s="4">
        <v>54</v>
      </c>
      <c r="P8" s="4">
        <v>54</v>
      </c>
      <c r="Q8" s="4">
        <v>54</v>
      </c>
      <c r="R8" s="4">
        <f t="shared" si="7"/>
        <v>56</v>
      </c>
      <c r="S8" s="4">
        <v>56</v>
      </c>
      <c r="AA8" s="5"/>
      <c r="AB8" s="5"/>
      <c r="AC8" s="5"/>
      <c r="AD8" s="5"/>
      <c r="AE8" s="5"/>
      <c r="AF8" s="5">
        <f>+F8</f>
        <v>69</v>
      </c>
      <c r="AG8" s="5">
        <f>+J8</f>
        <v>70</v>
      </c>
      <c r="AH8" s="5">
        <f>+N8</f>
        <v>62</v>
      </c>
      <c r="AI8" s="5">
        <v>56</v>
      </c>
      <c r="AJ8" s="5">
        <f>+AI8</f>
        <v>56</v>
      </c>
      <c r="AK8" s="5">
        <f t="shared" ref="AK8:AS8" si="10">+AJ8</f>
        <v>56</v>
      </c>
      <c r="AL8" s="5">
        <f t="shared" si="10"/>
        <v>56</v>
      </c>
      <c r="AM8" s="5">
        <f t="shared" si="10"/>
        <v>56</v>
      </c>
      <c r="AN8" s="5">
        <f t="shared" si="10"/>
        <v>56</v>
      </c>
      <c r="AO8" s="5">
        <f t="shared" si="10"/>
        <v>56</v>
      </c>
      <c r="AP8" s="5">
        <f t="shared" si="10"/>
        <v>56</v>
      </c>
      <c r="AQ8" s="5">
        <f t="shared" si="10"/>
        <v>56</v>
      </c>
      <c r="AR8" s="5">
        <f t="shared" si="10"/>
        <v>56</v>
      </c>
      <c r="AS8" s="5">
        <f t="shared" si="10"/>
        <v>56</v>
      </c>
    </row>
    <row r="9" spans="1:245">
      <c r="B9" s="2" t="s">
        <v>115</v>
      </c>
      <c r="C9" s="4">
        <v>28</v>
      </c>
      <c r="D9" s="4">
        <v>26</v>
      </c>
      <c r="E9" s="4">
        <v>27</v>
      </c>
      <c r="F9" s="4">
        <v>28</v>
      </c>
      <c r="G9" s="4">
        <v>28</v>
      </c>
      <c r="H9" s="4">
        <v>30</v>
      </c>
      <c r="I9" s="4">
        <v>30</v>
      </c>
      <c r="J9" s="4">
        <v>31</v>
      </c>
      <c r="K9" s="4">
        <v>33</v>
      </c>
      <c r="L9" s="4">
        <v>34</v>
      </c>
      <c r="M9" s="4">
        <v>36</v>
      </c>
      <c r="N9" s="4">
        <v>38</v>
      </c>
      <c r="O9" s="4">
        <v>39</v>
      </c>
      <c r="P9" s="4">
        <v>41</v>
      </c>
      <c r="Q9" s="4">
        <v>44</v>
      </c>
      <c r="R9" s="4">
        <f t="shared" si="7"/>
        <v>48</v>
      </c>
      <c r="S9" s="4">
        <v>50</v>
      </c>
      <c r="AA9" s="5"/>
      <c r="AB9" s="5"/>
      <c r="AC9" s="5"/>
      <c r="AD9" s="5"/>
      <c r="AE9" s="5"/>
      <c r="AF9" s="5">
        <f>+F9</f>
        <v>28</v>
      </c>
      <c r="AG9" s="5">
        <f>+J9</f>
        <v>31</v>
      </c>
      <c r="AH9" s="5">
        <f>+N9</f>
        <v>38</v>
      </c>
      <c r="AI9" s="5">
        <v>48</v>
      </c>
      <c r="AJ9" s="5">
        <f>+AI9</f>
        <v>48</v>
      </c>
      <c r="AK9" s="5">
        <f t="shared" ref="AK9:AS9" si="11">+AJ9</f>
        <v>48</v>
      </c>
      <c r="AL9" s="5">
        <f t="shared" si="11"/>
        <v>48</v>
      </c>
      <c r="AM9" s="5">
        <f t="shared" si="11"/>
        <v>48</v>
      </c>
      <c r="AN9" s="5">
        <f t="shared" si="11"/>
        <v>48</v>
      </c>
      <c r="AO9" s="5">
        <f t="shared" si="11"/>
        <v>48</v>
      </c>
      <c r="AP9" s="5">
        <f t="shared" si="11"/>
        <v>48</v>
      </c>
      <c r="AQ9" s="5">
        <f t="shared" si="11"/>
        <v>48</v>
      </c>
      <c r="AR9" s="5">
        <f t="shared" si="11"/>
        <v>48</v>
      </c>
      <c r="AS9" s="5">
        <f t="shared" si="11"/>
        <v>48</v>
      </c>
    </row>
    <row r="10" spans="1:245" s="7" customFormat="1">
      <c r="A10" s="6"/>
      <c r="B10" s="6" t="s">
        <v>113</v>
      </c>
      <c r="C10" s="7">
        <f t="shared" ref="C10:L10" si="12">+SUM(C4:C9)</f>
        <v>617</v>
      </c>
      <c r="D10" s="7">
        <f t="shared" si="12"/>
        <v>617</v>
      </c>
      <c r="E10" s="7">
        <f t="shared" si="12"/>
        <v>623</v>
      </c>
      <c r="F10" s="7">
        <f t="shared" si="12"/>
        <v>634</v>
      </c>
      <c r="G10" s="7">
        <f>+SUM(G4:G9)</f>
        <v>637</v>
      </c>
      <c r="H10" s="7">
        <f t="shared" si="12"/>
        <v>647</v>
      </c>
      <c r="I10" s="7">
        <f t="shared" si="12"/>
        <v>654</v>
      </c>
      <c r="J10" s="7">
        <f t="shared" si="12"/>
        <v>667</v>
      </c>
      <c r="K10" s="7">
        <f t="shared" si="12"/>
        <v>672</v>
      </c>
      <c r="L10" s="7">
        <f t="shared" si="12"/>
        <v>678</v>
      </c>
      <c r="M10" s="7">
        <f>+SUM(M4:M9)</f>
        <v>685</v>
      </c>
      <c r="N10" s="7">
        <f>+SUM(N4:N9)</f>
        <v>697</v>
      </c>
      <c r="O10" s="7">
        <f t="shared" ref="O10" si="13">+SUM(O4:O9)</f>
        <v>704</v>
      </c>
      <c r="P10" s="7">
        <f>+SUM(P4:P9)</f>
        <v>709</v>
      </c>
      <c r="Q10" s="7">
        <f>+SUM(Q4:Q9)</f>
        <v>722</v>
      </c>
      <c r="R10" s="7">
        <f>+SUM(R4:R9)</f>
        <v>741</v>
      </c>
      <c r="S10" s="7">
        <f t="shared" ref="S10" si="14">+SUM(S4:S9)</f>
        <v>753</v>
      </c>
      <c r="AA10" s="8"/>
      <c r="AB10" s="8"/>
      <c r="AC10" s="8"/>
      <c r="AD10" s="8"/>
      <c r="AE10" s="8"/>
      <c r="AF10" s="7">
        <f>+SUM(AF4:AF9)</f>
        <v>634</v>
      </c>
      <c r="AG10" s="7">
        <f t="shared" ref="AG10" si="15">+SUM(AG4:AG9)</f>
        <v>667</v>
      </c>
      <c r="AH10" s="8">
        <f>+N10</f>
        <v>697</v>
      </c>
      <c r="AI10" s="7">
        <f t="shared" ref="AI10" si="16">+SUM(AI4:AI9)</f>
        <v>741</v>
      </c>
      <c r="AJ10" s="7">
        <f t="shared" ref="AJ10" si="17">+SUM(AJ4:AJ9)</f>
        <v>800</v>
      </c>
      <c r="AK10" s="7">
        <f t="shared" ref="AK10" si="18">+SUM(AK4:AK9)</f>
        <v>861</v>
      </c>
      <c r="AL10" s="7">
        <f t="shared" ref="AL10" si="19">+SUM(AL4:AL9)</f>
        <v>922</v>
      </c>
      <c r="AM10" s="7">
        <f t="shared" ref="AM10" si="20">+SUM(AM4:AM9)</f>
        <v>983</v>
      </c>
      <c r="AN10" s="7">
        <f t="shared" ref="AN10" si="21">+SUM(AN4:AN9)</f>
        <v>1044</v>
      </c>
      <c r="AO10" s="7">
        <f t="shared" ref="AO10" si="22">+SUM(AO4:AO9)</f>
        <v>1105</v>
      </c>
      <c r="AP10" s="7">
        <f t="shared" ref="AP10" si="23">+SUM(AP4:AP9)</f>
        <v>1166</v>
      </c>
      <c r="AQ10" s="7">
        <f t="shared" ref="AQ10:AR10" si="24">+SUM(AQ4:AQ9)</f>
        <v>1227</v>
      </c>
      <c r="AR10" s="7">
        <f t="shared" si="24"/>
        <v>1288</v>
      </c>
      <c r="AS10" s="7">
        <f t="shared" ref="AS10" si="25">+SUM(AS4:AS9)</f>
        <v>1349</v>
      </c>
    </row>
    <row r="11" spans="1:245">
      <c r="AA11" s="5"/>
      <c r="AB11" s="5"/>
      <c r="AC11" s="5"/>
      <c r="AD11" s="5"/>
      <c r="AE11" s="5"/>
      <c r="AF11" s="5"/>
      <c r="AG11" s="5"/>
      <c r="AH11" s="5"/>
      <c r="AI11" s="5"/>
      <c r="AJ11" s="5">
        <f t="shared" ref="AJ11:AO11" si="26">+AJ10-AI10</f>
        <v>59</v>
      </c>
      <c r="AK11" s="5">
        <f t="shared" si="26"/>
        <v>61</v>
      </c>
      <c r="AL11" s="5">
        <f t="shared" si="26"/>
        <v>61</v>
      </c>
      <c r="AM11" s="5">
        <f t="shared" si="26"/>
        <v>61</v>
      </c>
      <c r="AN11" s="5">
        <f t="shared" si="26"/>
        <v>61</v>
      </c>
      <c r="AO11" s="5">
        <f t="shared" si="26"/>
        <v>61</v>
      </c>
      <c r="AP11" s="5"/>
      <c r="AQ11" s="5"/>
      <c r="AR11" s="5"/>
      <c r="AS11" s="5"/>
    </row>
    <row r="12" spans="1:245" s="7" customFormat="1">
      <c r="A12" s="6"/>
      <c r="B12" s="6" t="s">
        <v>116</v>
      </c>
      <c r="C12" s="7">
        <f t="shared" ref="C12:L12" si="27">+C18/C10</f>
        <v>1057.5753646677472</v>
      </c>
      <c r="D12" s="7">
        <f t="shared" si="27"/>
        <v>772.16369529983797</v>
      </c>
      <c r="E12" s="7">
        <f t="shared" si="27"/>
        <v>1013.1380417335473</v>
      </c>
      <c r="F12" s="7">
        <f t="shared" si="27"/>
        <v>1006.2917981072555</v>
      </c>
      <c r="G12" s="7">
        <f t="shared" si="27"/>
        <v>1256.8744113029827</v>
      </c>
      <c r="H12" s="7">
        <f t="shared" si="27"/>
        <v>1389.1622874806801</v>
      </c>
      <c r="I12" s="7">
        <f t="shared" si="27"/>
        <v>1328.6590214067278</v>
      </c>
      <c r="J12" s="7">
        <f t="shared" si="27"/>
        <v>1342.7076461769116</v>
      </c>
      <c r="K12" s="7">
        <f t="shared" si="27"/>
        <v>1469.4732142857142</v>
      </c>
      <c r="L12" s="7">
        <f t="shared" si="27"/>
        <v>1511.2182890855456</v>
      </c>
      <c r="M12" s="7">
        <f>+M18/M10</f>
        <v>1450.0700729927007</v>
      </c>
      <c r="N12" s="7">
        <f>+J12*1.04</f>
        <v>1396.415952023988</v>
      </c>
      <c r="O12" s="7">
        <f t="shared" ref="O12" si="28">+O18/O10</f>
        <v>1668.1193181818182</v>
      </c>
      <c r="P12" s="7">
        <f t="shared" ref="P12" si="29">+P18/P10</f>
        <v>1651.9083215796898</v>
      </c>
      <c r="Q12" s="7">
        <f t="shared" ref="Q12:S12" si="30">+Q18/Q10</f>
        <v>1553.6731301939058</v>
      </c>
      <c r="R12" s="7">
        <f t="shared" si="30"/>
        <v>1571.3373819163294</v>
      </c>
      <c r="S12" s="7">
        <f t="shared" si="30"/>
        <v>1754.6042496679947</v>
      </c>
      <c r="AF12" s="7">
        <f>+AF18/AF10</f>
        <v>3782.5283911671922</v>
      </c>
      <c r="AG12" s="7">
        <f>+AG18/AG10</f>
        <v>5193.3223388305851</v>
      </c>
      <c r="AH12" s="7">
        <f t="shared" ref="AH12:AI12" si="31">+AH18/AH10</f>
        <v>5760.2855093256812</v>
      </c>
      <c r="AI12" s="7">
        <f t="shared" si="31"/>
        <v>6250.5695006747637</v>
      </c>
      <c r="AJ12" s="7">
        <f>+AI12*1.1</f>
        <v>6875.6264507422411</v>
      </c>
      <c r="AK12" s="7">
        <f>+AJ12*1.02</f>
        <v>7013.1389797570864</v>
      </c>
      <c r="AL12" s="7">
        <f t="shared" ref="AL12:AS12" si="32">+AK12*1.02</f>
        <v>7153.4017593522285</v>
      </c>
      <c r="AM12" s="7">
        <f t="shared" si="32"/>
        <v>7296.4697945392736</v>
      </c>
      <c r="AN12" s="7">
        <f t="shared" si="32"/>
        <v>7442.3991904300592</v>
      </c>
      <c r="AO12" s="7">
        <f t="shared" si="32"/>
        <v>7591.2471742386606</v>
      </c>
      <c r="AP12" s="7">
        <f t="shared" si="32"/>
        <v>7743.0721177234336</v>
      </c>
      <c r="AQ12" s="7">
        <f t="shared" si="32"/>
        <v>7897.9335600779023</v>
      </c>
      <c r="AR12" s="7">
        <f t="shared" si="32"/>
        <v>8055.8922312794602</v>
      </c>
      <c r="AS12" s="7">
        <f t="shared" si="32"/>
        <v>8217.0100759050492</v>
      </c>
    </row>
    <row r="13" spans="1:245" s="10" customFormat="1">
      <c r="A13" s="9"/>
      <c r="B13" s="9"/>
      <c r="G13" s="10">
        <f t="shared" ref="G13:I13" si="33">+G12/C12-1</f>
        <v>0.18844902528326979</v>
      </c>
      <c r="H13" s="10">
        <f t="shared" si="33"/>
        <v>0.79905154300378767</v>
      </c>
      <c r="I13" s="10">
        <f t="shared" si="33"/>
        <v>0.31142940712531431</v>
      </c>
      <c r="J13" s="10">
        <f t="shared" ref="J13:S13" si="34">+J12/F12-1</f>
        <v>0.33431242180689935</v>
      </c>
      <c r="K13" s="10">
        <f t="shared" si="34"/>
        <v>0.16914880362814744</v>
      </c>
      <c r="L13" s="10">
        <f t="shared" si="34"/>
        <v>8.7863025583728271E-2</v>
      </c>
      <c r="M13" s="10">
        <f t="shared" si="34"/>
        <v>9.137863788214684E-2</v>
      </c>
      <c r="N13" s="10">
        <f t="shared" si="34"/>
        <v>4.0000000000000036E-2</v>
      </c>
      <c r="O13" s="10">
        <f t="shared" si="34"/>
        <v>0.13518184745726214</v>
      </c>
      <c r="P13" s="10">
        <f t="shared" si="34"/>
        <v>9.3097094913586087E-2</v>
      </c>
      <c r="Q13" s="10">
        <f t="shared" si="34"/>
        <v>7.1446931517858081E-2</v>
      </c>
      <c r="R13" s="10">
        <f t="shared" si="34"/>
        <v>0.12526456006092412</v>
      </c>
      <c r="S13" s="10">
        <f t="shared" si="34"/>
        <v>5.1845770589385332E-2</v>
      </c>
    </row>
    <row r="14" spans="1:245">
      <c r="C14" s="4">
        <f t="shared" ref="C14:P14" si="35">+C12*4</f>
        <v>4230.3014586709887</v>
      </c>
      <c r="D14" s="4">
        <f t="shared" si="35"/>
        <v>3088.6547811993519</v>
      </c>
      <c r="E14" s="4">
        <f t="shared" si="35"/>
        <v>4052.5521669341892</v>
      </c>
      <c r="F14" s="4">
        <f t="shared" si="35"/>
        <v>4025.1671924290222</v>
      </c>
      <c r="G14" s="4">
        <f t="shared" si="35"/>
        <v>5027.4976452119308</v>
      </c>
      <c r="H14" s="4">
        <f t="shared" si="35"/>
        <v>5556.6491499227204</v>
      </c>
      <c r="I14" s="4">
        <f t="shared" si="35"/>
        <v>5314.6360856269112</v>
      </c>
      <c r="J14" s="4">
        <f t="shared" si="35"/>
        <v>5370.8305847076463</v>
      </c>
      <c r="K14" s="4">
        <f t="shared" si="35"/>
        <v>5877.8928571428569</v>
      </c>
      <c r="L14" s="4">
        <f t="shared" si="35"/>
        <v>6044.8731563421825</v>
      </c>
      <c r="M14" s="4">
        <f t="shared" si="35"/>
        <v>5800.2802919708029</v>
      </c>
      <c r="N14" s="4">
        <f t="shared" si="35"/>
        <v>5585.6638080959519</v>
      </c>
      <c r="O14" s="4">
        <f t="shared" si="35"/>
        <v>6672.477272727273</v>
      </c>
      <c r="P14" s="4">
        <f t="shared" si="35"/>
        <v>6607.633286318759</v>
      </c>
      <c r="Q14" s="4">
        <f>+Q12*4</f>
        <v>6214.6925207756231</v>
      </c>
      <c r="R14" s="4">
        <f t="shared" ref="R14:S14" si="36">+R12*4</f>
        <v>6285.3495276653175</v>
      </c>
      <c r="S14" s="4">
        <f t="shared" si="36"/>
        <v>7018.4169986719789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245"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245">
      <c r="B16" s="2" t="s">
        <v>19</v>
      </c>
      <c r="C16" s="4">
        <v>647626</v>
      </c>
      <c r="D16" s="4">
        <v>473090</v>
      </c>
      <c r="E16" s="4">
        <v>626429</v>
      </c>
      <c r="F16" s="4">
        <f>+AF16-SUM(C16:E16)</f>
        <v>633032</v>
      </c>
      <c r="G16" s="4">
        <v>794923</v>
      </c>
      <c r="H16" s="4">
        <v>892444</v>
      </c>
      <c r="I16" s="4">
        <v>862757</v>
      </c>
      <c r="J16" s="4">
        <f>+AG16-SUM(G16:I16)</f>
        <v>889052</v>
      </c>
      <c r="K16" s="4">
        <v>980972</v>
      </c>
      <c r="L16" s="4">
        <v>1018057</v>
      </c>
      <c r="M16" s="4">
        <v>986999</v>
      </c>
      <c r="N16" s="4">
        <f>+AH16-SUM(K16:M16)</f>
        <v>1002763</v>
      </c>
      <c r="O16" s="4">
        <v>1167583</v>
      </c>
      <c r="P16" s="4">
        <v>1164385</v>
      </c>
      <c r="Q16" s="4">
        <v>1115224</v>
      </c>
      <c r="R16" s="4">
        <f>+AI16-SUM(O16:Q16)</f>
        <v>1157362</v>
      </c>
      <c r="S16" s="4">
        <v>1314152</v>
      </c>
      <c r="AD16" s="5"/>
      <c r="AE16" s="4">
        <v>2734177</v>
      </c>
      <c r="AF16" s="4">
        <v>2380177</v>
      </c>
      <c r="AG16" s="4">
        <v>3439176</v>
      </c>
      <c r="AH16" s="4">
        <v>3988791</v>
      </c>
      <c r="AI16" s="4">
        <v>4604554</v>
      </c>
      <c r="AJ16" s="4">
        <f t="shared" ref="AJ16:AS16" si="37">+AJ$18*(AI16/AI$18)</f>
        <v>5468296.2483130908</v>
      </c>
      <c r="AK16" s="4">
        <f t="shared" si="37"/>
        <v>6002958.9139919039</v>
      </c>
      <c r="AL16" s="4">
        <f t="shared" si="37"/>
        <v>6556820.7677985439</v>
      </c>
      <c r="AM16" s="4">
        <f t="shared" si="37"/>
        <v>7130435.912191852</v>
      </c>
      <c r="AN16" s="4">
        <f t="shared" si="37"/>
        <v>7724372.934053774</v>
      </c>
      <c r="AO16" s="4">
        <f t="shared" si="37"/>
        <v>8339215.2624252951</v>
      </c>
      <c r="AP16" s="4">
        <f t="shared" si="37"/>
        <v>8975561.5347580556</v>
      </c>
      <c r="AQ16" s="4">
        <f t="shared" si="37"/>
        <v>9634025.9718791582</v>
      </c>
      <c r="AR16" s="4">
        <f t="shared" si="37"/>
        <v>10315238.7618712</v>
      </c>
      <c r="AS16" s="4">
        <f t="shared" si="37"/>
        <v>11019846.45307417</v>
      </c>
    </row>
    <row r="17" spans="1:45">
      <c r="B17" s="2" t="s">
        <v>20</v>
      </c>
      <c r="C17" s="4">
        <v>4898</v>
      </c>
      <c r="D17" s="4">
        <v>3335</v>
      </c>
      <c r="E17" s="4">
        <v>4756</v>
      </c>
      <c r="F17" s="4">
        <f>+AF17-SUM(C17:E17)</f>
        <v>4957</v>
      </c>
      <c r="G17" s="4">
        <v>5706</v>
      </c>
      <c r="H17" s="4">
        <v>6344</v>
      </c>
      <c r="I17" s="4">
        <v>6186</v>
      </c>
      <c r="J17" s="4">
        <f>+AG17-SUM(G17:I17)</f>
        <v>6534</v>
      </c>
      <c r="K17" s="4">
        <v>6514</v>
      </c>
      <c r="L17" s="4">
        <v>6549</v>
      </c>
      <c r="M17" s="4">
        <v>6299</v>
      </c>
      <c r="N17" s="4">
        <f>+AH17-SUM(K17:M17)</f>
        <v>6766</v>
      </c>
      <c r="O17" s="4">
        <v>6773</v>
      </c>
      <c r="P17" s="4">
        <v>6818</v>
      </c>
      <c r="Q17" s="4">
        <v>6528</v>
      </c>
      <c r="R17" s="4">
        <f>+AI17-SUM(O17:Q17)</f>
        <v>6999</v>
      </c>
      <c r="S17" s="4">
        <v>7065</v>
      </c>
      <c r="AE17" s="4">
        <v>21986</v>
      </c>
      <c r="AF17" s="4">
        <v>17946</v>
      </c>
      <c r="AG17" s="4">
        <v>24770</v>
      </c>
      <c r="AH17" s="4">
        <v>26128</v>
      </c>
      <c r="AI17" s="4">
        <v>27118</v>
      </c>
      <c r="AJ17" s="4">
        <f t="shared" ref="AJ17:AS17" si="38">+AJ$18*(AI17/AI$18)</f>
        <v>32204.912280701759</v>
      </c>
      <c r="AK17" s="4">
        <f t="shared" si="38"/>
        <v>35353.747578947383</v>
      </c>
      <c r="AL17" s="4">
        <f t="shared" si="38"/>
        <v>38615.654324210547</v>
      </c>
      <c r="AM17" s="4">
        <f t="shared" si="38"/>
        <v>41993.895840252655</v>
      </c>
      <c r="AN17" s="4">
        <f t="shared" si="38"/>
        <v>45491.820755206762</v>
      </c>
      <c r="AO17" s="4">
        <f t="shared" si="38"/>
        <v>49112.865108422935</v>
      </c>
      <c r="AP17" s="4">
        <f t="shared" si="38"/>
        <v>52860.554507465669</v>
      </c>
      <c r="AQ17" s="4">
        <f t="shared" si="38"/>
        <v>56738.506336426741</v>
      </c>
      <c r="AR17" s="4">
        <f t="shared" si="38"/>
        <v>60750.432016743274</v>
      </c>
      <c r="AS17" s="4">
        <f t="shared" si="38"/>
        <v>64900.139321737894</v>
      </c>
    </row>
    <row r="18" spans="1:45" s="7" customFormat="1">
      <c r="A18" s="6"/>
      <c r="B18" s="6" t="s">
        <v>21</v>
      </c>
      <c r="C18" s="7">
        <f>SUM(C16:C17)</f>
        <v>652524</v>
      </c>
      <c r="D18" s="7">
        <f>SUM(D16:D17)</f>
        <v>476425</v>
      </c>
      <c r="E18" s="7">
        <f>SUM(E16:E17)</f>
        <v>631185</v>
      </c>
      <c r="F18" s="7">
        <f>+AF18-SUM(C18:E18)</f>
        <v>637989</v>
      </c>
      <c r="G18" s="7">
        <f>SUM(G16:G17)</f>
        <v>800629</v>
      </c>
      <c r="H18" s="7">
        <f>SUM(H16:H17)</f>
        <v>898788</v>
      </c>
      <c r="I18" s="7">
        <f>SUM(I16:I17)</f>
        <v>868943</v>
      </c>
      <c r="J18" s="7">
        <f>+AG18-SUM(G18:I18)</f>
        <v>895586</v>
      </c>
      <c r="K18" s="7">
        <f t="shared" ref="K18:R18" si="39">SUM(K16:K17)</f>
        <v>987486</v>
      </c>
      <c r="L18" s="7">
        <f t="shared" si="39"/>
        <v>1024606</v>
      </c>
      <c r="M18" s="7">
        <f t="shared" si="39"/>
        <v>993298</v>
      </c>
      <c r="N18" s="7">
        <f t="shared" si="39"/>
        <v>1009529</v>
      </c>
      <c r="O18" s="7">
        <f t="shared" si="39"/>
        <v>1174356</v>
      </c>
      <c r="P18" s="7">
        <f t="shared" si="39"/>
        <v>1171203</v>
      </c>
      <c r="Q18" s="7">
        <f t="shared" si="39"/>
        <v>1121752</v>
      </c>
      <c r="R18" s="7">
        <f t="shared" si="39"/>
        <v>1164361</v>
      </c>
      <c r="S18" s="7">
        <f t="shared" ref="S18" si="40">SUM(S16:S17)</f>
        <v>1321217</v>
      </c>
      <c r="AE18" s="7">
        <f>SUM(AE16:AE17)</f>
        <v>2756163</v>
      </c>
      <c r="AF18" s="7">
        <f>SUM(AF16:AF17)</f>
        <v>2398123</v>
      </c>
      <c r="AG18" s="7">
        <f>SUM(AG16:AG17)</f>
        <v>3463946</v>
      </c>
      <c r="AH18" s="7">
        <f>SUM(AH16:AH17)</f>
        <v>4014919</v>
      </c>
      <c r="AI18" s="7">
        <f>SUM(AI16:AI17)</f>
        <v>4631672</v>
      </c>
      <c r="AJ18" s="7">
        <f t="shared" ref="AJ18:AQ18" si="41">+AJ10*AJ12</f>
        <v>5500501.1605937928</v>
      </c>
      <c r="AK18" s="7">
        <f t="shared" si="41"/>
        <v>6038312.6615708517</v>
      </c>
      <c r="AL18" s="7">
        <f t="shared" si="41"/>
        <v>6595436.4221227551</v>
      </c>
      <c r="AM18" s="7">
        <f t="shared" si="41"/>
        <v>7172429.8080321057</v>
      </c>
      <c r="AN18" s="7">
        <f t="shared" si="41"/>
        <v>7769864.7548089819</v>
      </c>
      <c r="AO18" s="7">
        <f t="shared" si="41"/>
        <v>8388328.1275337199</v>
      </c>
      <c r="AP18" s="7">
        <f t="shared" si="41"/>
        <v>9028422.0892655235</v>
      </c>
      <c r="AQ18" s="7">
        <f t="shared" si="41"/>
        <v>9690764.4782155864</v>
      </c>
      <c r="AR18" s="7">
        <f t="shared" ref="AR18:AS18" si="42">+AR10*AR12</f>
        <v>10375989.193887945</v>
      </c>
      <c r="AS18" s="7">
        <f t="shared" si="42"/>
        <v>11084746.592395911</v>
      </c>
    </row>
    <row r="19" spans="1:45">
      <c r="B19" s="2" t="s">
        <v>22</v>
      </c>
      <c r="C19" s="4">
        <v>210180</v>
      </c>
      <c r="D19" s="4">
        <v>164041</v>
      </c>
      <c r="E19" s="4">
        <v>201308</v>
      </c>
      <c r="F19" s="4">
        <f>+AF19-SUM(C19:E19)</f>
        <v>205117</v>
      </c>
      <c r="G19" s="4">
        <v>251482</v>
      </c>
      <c r="H19" s="4">
        <v>295504</v>
      </c>
      <c r="I19" s="4">
        <v>298164</v>
      </c>
      <c r="J19" s="4">
        <f>+AG19-SUM(G19:I19)</f>
        <v>311478</v>
      </c>
      <c r="K19" s="4">
        <v>337396</v>
      </c>
      <c r="L19" s="4">
        <v>347041</v>
      </c>
      <c r="M19" s="4">
        <v>342032</v>
      </c>
      <c r="N19" s="4">
        <f>+AH19-SUM(K19:M19)</f>
        <v>351723</v>
      </c>
      <c r="O19" s="4">
        <v>410711</v>
      </c>
      <c r="P19" s="4">
        <v>401204</v>
      </c>
      <c r="Q19" s="4">
        <v>386184</v>
      </c>
      <c r="R19" s="4">
        <f>+AI19-SUM(O19:Q19)</f>
        <v>395753</v>
      </c>
      <c r="S19" s="4">
        <v>445091</v>
      </c>
      <c r="AE19" s="4">
        <v>883357</v>
      </c>
      <c r="AF19" s="4">
        <v>780646</v>
      </c>
      <c r="AG19" s="4">
        <v>1156628</v>
      </c>
      <c r="AH19" s="4">
        <v>1378192</v>
      </c>
      <c r="AI19" s="4">
        <v>1593852</v>
      </c>
      <c r="AJ19" s="4">
        <f>+AI19*1.03</f>
        <v>1641667.56</v>
      </c>
      <c r="AK19" s="4">
        <f>+AK18*0.34</f>
        <v>2053026.3049340898</v>
      </c>
      <c r="AL19" s="4">
        <f t="shared" ref="AL19:AR19" si="43">+AL18*0.34</f>
        <v>2242448.3835217371</v>
      </c>
      <c r="AM19" s="4">
        <f t="shared" si="43"/>
        <v>2438626.134730916</v>
      </c>
      <c r="AN19" s="4">
        <f t="shared" si="43"/>
        <v>2641754.0166350543</v>
      </c>
      <c r="AO19" s="4">
        <f t="shared" si="43"/>
        <v>2852031.563361465</v>
      </c>
      <c r="AP19" s="4">
        <f t="shared" si="43"/>
        <v>3069663.5103502781</v>
      </c>
      <c r="AQ19" s="4">
        <f t="shared" si="43"/>
        <v>3294859.9225932998</v>
      </c>
      <c r="AR19" s="4">
        <f t="shared" si="43"/>
        <v>3527836.3259219015</v>
      </c>
      <c r="AS19" s="4">
        <f t="shared" ref="AS19" si="44">+AS18*0.34</f>
        <v>3768813.8414146099</v>
      </c>
    </row>
    <row r="20" spans="1:45">
      <c r="B20" s="2" t="s">
        <v>23</v>
      </c>
      <c r="C20" s="4">
        <v>241079</v>
      </c>
      <c r="D20" s="4">
        <v>194622</v>
      </c>
      <c r="E20" s="4">
        <v>217275</v>
      </c>
      <c r="F20" s="4">
        <f>+AF20-SUM(C20:E20)</f>
        <v>222788</v>
      </c>
      <c r="G20" s="4">
        <v>258036</v>
      </c>
      <c r="H20" s="4">
        <v>288147</v>
      </c>
      <c r="I20" s="4">
        <v>286593</v>
      </c>
      <c r="J20" s="4">
        <f>+AG20-SUM(G20:I20)</f>
        <v>290227</v>
      </c>
      <c r="K20" s="4">
        <v>321871</v>
      </c>
      <c r="L20" s="4">
        <v>333042</v>
      </c>
      <c r="M20" s="4">
        <v>330219</v>
      </c>
      <c r="N20" s="4">
        <f>+AH20-SUM(K20:M20)</f>
        <v>334827</v>
      </c>
      <c r="O20" s="4">
        <v>385819</v>
      </c>
      <c r="P20" s="4">
        <v>391337</v>
      </c>
      <c r="Q20" s="4">
        <v>378814</v>
      </c>
      <c r="R20" s="4">
        <f>+AI20-SUM(O20:Q20)</f>
        <v>383154</v>
      </c>
      <c r="S20" s="4">
        <v>427547</v>
      </c>
      <c r="AE20" s="4">
        <v>905614</v>
      </c>
      <c r="AF20" s="4">
        <v>875764</v>
      </c>
      <c r="AG20" s="4">
        <v>1123003</v>
      </c>
      <c r="AH20" s="4">
        <v>1319959</v>
      </c>
      <c r="AI20" s="4">
        <v>1539124</v>
      </c>
      <c r="AJ20" s="4">
        <f>+AI20*1.04</f>
        <v>1600688.96</v>
      </c>
      <c r="AK20" s="4">
        <f t="shared" ref="AJ20:AS25" si="45">+AK$18*(AJ20/AJ$18)</f>
        <v>1757196.3230640001</v>
      </c>
      <c r="AL20" s="4">
        <f>+AL18*0.32</f>
        <v>2110539.6550792819</v>
      </c>
      <c r="AM20" s="4">
        <f t="shared" ref="AM20:AR20" si="46">+AM18*0.32</f>
        <v>2295177.5385702737</v>
      </c>
      <c r="AN20" s="4">
        <f t="shared" si="46"/>
        <v>2486356.7215388743</v>
      </c>
      <c r="AO20" s="4">
        <f t="shared" si="46"/>
        <v>2684265.0008107903</v>
      </c>
      <c r="AP20" s="4">
        <f t="shared" si="46"/>
        <v>2889095.0685649677</v>
      </c>
      <c r="AQ20" s="4">
        <f t="shared" si="46"/>
        <v>3101044.6330289878</v>
      </c>
      <c r="AR20" s="4">
        <f t="shared" si="46"/>
        <v>3320316.5420441427</v>
      </c>
      <c r="AS20" s="4">
        <f t="shared" ref="AS20" si="47">+AS18*0.32</f>
        <v>3547118.9095666916</v>
      </c>
    </row>
    <row r="21" spans="1:45">
      <c r="B21" s="2" t="s">
        <v>24</v>
      </c>
      <c r="C21" s="4">
        <v>13471</v>
      </c>
      <c r="D21" s="4">
        <v>13251</v>
      </c>
      <c r="E21" s="4">
        <v>13723</v>
      </c>
      <c r="F21" s="4">
        <f>+AF21-SUM(C21:E21)</f>
        <v>13956</v>
      </c>
      <c r="G21" s="4">
        <v>14452</v>
      </c>
      <c r="H21" s="4">
        <v>14956</v>
      </c>
      <c r="I21" s="4">
        <v>15089</v>
      </c>
      <c r="J21" s="4">
        <f>+AG21-SUM(G21:I21)</f>
        <v>15508</v>
      </c>
      <c r="K21" s="4">
        <v>16368</v>
      </c>
      <c r="L21" s="4">
        <v>16714</v>
      </c>
      <c r="M21" s="4">
        <v>16703</v>
      </c>
      <c r="N21" s="4">
        <f>+AH21-SUM(K21:M21)</f>
        <v>17049</v>
      </c>
      <c r="O21" s="4">
        <v>17828</v>
      </c>
      <c r="P21" s="4">
        <v>17996</v>
      </c>
      <c r="Q21" s="4">
        <v>18177</v>
      </c>
      <c r="R21" s="4">
        <f>+AI21-SUM(O21:Q21)</f>
        <v>18765</v>
      </c>
      <c r="S21" s="4">
        <v>19425</v>
      </c>
      <c r="AE21" s="4">
        <v>52531</v>
      </c>
      <c r="AF21" s="4">
        <v>54401</v>
      </c>
      <c r="AG21" s="4">
        <v>60005</v>
      </c>
      <c r="AH21" s="4">
        <v>66834</v>
      </c>
      <c r="AI21" s="4">
        <v>72766</v>
      </c>
      <c r="AJ21" s="4">
        <f t="shared" si="45"/>
        <v>86415.762483130908</v>
      </c>
      <c r="AK21" s="4">
        <f t="shared" si="45"/>
        <v>94865.063659919047</v>
      </c>
      <c r="AL21" s="4">
        <f t="shared" si="45"/>
        <v>103617.77057878545</v>
      </c>
      <c r="AM21" s="4">
        <f t="shared" ref="AM21" si="48">+AM$18*(AL21/AL$18)</f>
        <v>112682.63974894254</v>
      </c>
      <c r="AN21" s="4">
        <f t="shared" ref="AN21" si="49">+AN$18*(AM21/AM$18)</f>
        <v>122068.65657767441</v>
      </c>
      <c r="AO21" s="4">
        <f t="shared" ref="AO21" si="50">+AO$18*(AN21/AN$18)</f>
        <v>131785.04102365597</v>
      </c>
      <c r="AP21" s="4">
        <f t="shared" ref="AP21" si="51">+AP$18*(AO21/AO$18)</f>
        <v>141841.25338484571</v>
      </c>
      <c r="AQ21" s="4">
        <f t="shared" ref="AQ21" si="52">+AQ$18*(AP21/AP$18)</f>
        <v>152247.00022407359</v>
      </c>
      <c r="AR21" s="4">
        <f t="shared" ref="AR21:AS21" si="53">+AR$18*(AQ21/AQ$18)</f>
        <v>163012.24043551664</v>
      </c>
      <c r="AS21" s="4">
        <f t="shared" si="53"/>
        <v>174147.19145532776</v>
      </c>
    </row>
    <row r="22" spans="1:45">
      <c r="B22" s="2" t="s">
        <v>25</v>
      </c>
      <c r="C22" s="4">
        <v>104289</v>
      </c>
      <c r="D22" s="4">
        <v>89348</v>
      </c>
      <c r="E22" s="4">
        <v>102978</v>
      </c>
      <c r="F22" s="4">
        <f>+AF22-SUM(C22:E22)</f>
        <v>107111</v>
      </c>
      <c r="G22" s="4">
        <v>123379</v>
      </c>
      <c r="H22" s="4">
        <v>135606</v>
      </c>
      <c r="I22" s="4">
        <v>127769</v>
      </c>
      <c r="J22" s="4">
        <f>+AG22-SUM(G22:I22)</f>
        <v>131054</v>
      </c>
      <c r="K22" s="4">
        <v>144154</v>
      </c>
      <c r="L22" s="4">
        <v>152524</v>
      </c>
      <c r="M22" s="4">
        <v>146036</v>
      </c>
      <c r="N22" s="4">
        <f>+AH22-SUM(K22:M22)</f>
        <v>153591</v>
      </c>
      <c r="O22" s="4">
        <v>167529</v>
      </c>
      <c r="P22" s="4">
        <v>171092</v>
      </c>
      <c r="Q22" s="4">
        <v>169225</v>
      </c>
      <c r="R22" s="4">
        <f>+AI22-SUM(O22:Q22)</f>
        <v>183002</v>
      </c>
      <c r="S22" s="4">
        <v>193642</v>
      </c>
      <c r="AE22" s="4">
        <v>418448</v>
      </c>
      <c r="AF22" s="4">
        <v>403726</v>
      </c>
      <c r="AG22" s="4">
        <v>517808</v>
      </c>
      <c r="AH22" s="4">
        <v>596305</v>
      </c>
      <c r="AI22" s="4">
        <v>690848</v>
      </c>
      <c r="AJ22" s="4">
        <f t="shared" si="45"/>
        <v>820440.26990553318</v>
      </c>
      <c r="AK22" s="4">
        <f t="shared" si="45"/>
        <v>900658.81729554688</v>
      </c>
      <c r="AL22" s="4">
        <f t="shared" si="45"/>
        <v>983757.93047319876</v>
      </c>
      <c r="AM22" s="4">
        <f t="shared" si="45"/>
        <v>1069820.7446510384</v>
      </c>
      <c r="AN22" s="4">
        <f t="shared" si="45"/>
        <v>1158932.5682238026</v>
      </c>
      <c r="AO22" s="4">
        <f t="shared" si="45"/>
        <v>1251180.9364416166</v>
      </c>
      <c r="AP22" s="4">
        <f t="shared" si="45"/>
        <v>1346655.6663608539</v>
      </c>
      <c r="AQ22" s="4">
        <f t="shared" si="45"/>
        <v>1445448.9131022841</v>
      </c>
      <c r="AR22" s="4">
        <f t="shared" si="45"/>
        <v>1547655.2274468269</v>
      </c>
      <c r="AS22" s="4">
        <f t="shared" si="45"/>
        <v>1653371.6147999105</v>
      </c>
    </row>
    <row r="23" spans="1:45">
      <c r="B23" s="2" t="s">
        <v>26</v>
      </c>
      <c r="C23" s="4">
        <v>5112</v>
      </c>
      <c r="D23" s="4">
        <v>4290</v>
      </c>
      <c r="E23" s="4">
        <v>4894</v>
      </c>
      <c r="F23" s="4">
        <f>+AF23-SUM(C23:E23)</f>
        <v>5803</v>
      </c>
      <c r="G23" s="4">
        <v>4268</v>
      </c>
      <c r="H23" s="4">
        <v>6319</v>
      </c>
      <c r="I23" s="4">
        <v>6740</v>
      </c>
      <c r="J23" s="4">
        <f>+AG23-SUM(G23:I23)</f>
        <v>7008</v>
      </c>
      <c r="K23" s="4">
        <v>4291</v>
      </c>
      <c r="L23" s="4">
        <v>5323</v>
      </c>
      <c r="M23" s="4">
        <v>5701</v>
      </c>
      <c r="N23" s="4">
        <f>+AH23-SUM(K23:M23)</f>
        <v>6568</v>
      </c>
      <c r="O23" s="4">
        <v>5377</v>
      </c>
      <c r="P23" s="4">
        <v>5671</v>
      </c>
      <c r="Q23" s="4">
        <v>8663</v>
      </c>
      <c r="R23" s="4">
        <f>+AI23-SUM(O23:Q23)</f>
        <v>9523</v>
      </c>
      <c r="S23" s="4">
        <v>8095</v>
      </c>
      <c r="AE23" s="4">
        <v>20156</v>
      </c>
      <c r="AF23" s="4">
        <v>20099</v>
      </c>
      <c r="AG23" s="4">
        <v>24335</v>
      </c>
      <c r="AH23" s="4">
        <v>21883</v>
      </c>
      <c r="AI23" s="4">
        <v>29234</v>
      </c>
      <c r="AJ23" s="4">
        <f t="shared" si="45"/>
        <v>34717.840755735495</v>
      </c>
      <c r="AK23" s="4">
        <f t="shared" si="45"/>
        <v>38112.377635627541</v>
      </c>
      <c r="AL23" s="4">
        <f t="shared" si="45"/>
        <v>41628.808854412971</v>
      </c>
      <c r="AM23" s="4">
        <f t="shared" si="45"/>
        <v>45270.652370895557</v>
      </c>
      <c r="AN23" s="4">
        <f t="shared" si="45"/>
        <v>49041.518104495692</v>
      </c>
      <c r="AO23" s="4">
        <f t="shared" si="45"/>
        <v>52945.110206491474</v>
      </c>
      <c r="AP23" s="4">
        <f t="shared" si="45"/>
        <v>56985.229385325278</v>
      </c>
      <c r="AQ23" s="4">
        <f t="shared" si="45"/>
        <v>61165.775287229852</v>
      </c>
      <c r="AR23" s="4">
        <f t="shared" si="45"/>
        <v>65490.748933456467</v>
      </c>
      <c r="AS23" s="4">
        <f t="shared" si="45"/>
        <v>69964.255215417259</v>
      </c>
    </row>
    <row r="24" spans="1:45">
      <c r="B24" s="2" t="s">
        <v>27</v>
      </c>
      <c r="C24" s="4">
        <v>29054</v>
      </c>
      <c r="D24" s="4">
        <v>29016</v>
      </c>
      <c r="E24" s="4">
        <v>29364</v>
      </c>
      <c r="F24" s="4">
        <f>+AF24-SUM(C24:E24)</f>
        <v>30443</v>
      </c>
      <c r="G24" s="4">
        <v>30869</v>
      </c>
      <c r="H24" s="4">
        <v>31650</v>
      </c>
      <c r="I24" s="4">
        <v>31627</v>
      </c>
      <c r="J24" s="4">
        <f>+AG24-SUM(G24:I24)</f>
        <v>32615</v>
      </c>
      <c r="K24" s="4">
        <v>33620</v>
      </c>
      <c r="L24" s="4">
        <v>34420</v>
      </c>
      <c r="M24" s="4">
        <v>33735</v>
      </c>
      <c r="N24" s="4">
        <f>+AH24-SUM(K24:M24)</f>
        <v>35462</v>
      </c>
      <c r="O24" s="4">
        <v>36227</v>
      </c>
      <c r="P24" s="4">
        <v>37413</v>
      </c>
      <c r="Q24" s="4">
        <v>39124</v>
      </c>
      <c r="R24" s="4">
        <f>+AI24-SUM(O24:Q24)</f>
        <v>40438</v>
      </c>
      <c r="S24" s="4">
        <v>41493</v>
      </c>
      <c r="AE24" s="4">
        <v>115544</v>
      </c>
      <c r="AF24" s="4">
        <v>117877</v>
      </c>
      <c r="AG24" s="4">
        <v>126761</v>
      </c>
      <c r="AH24" s="4">
        <v>137237</v>
      </c>
      <c r="AI24" s="4">
        <v>153202</v>
      </c>
      <c r="AJ24" s="4">
        <f t="shared" si="45"/>
        <v>181940.29689608639</v>
      </c>
      <c r="AK24" s="4">
        <f t="shared" si="45"/>
        <v>199729.50942510128</v>
      </c>
      <c r="AL24" s="4">
        <f t="shared" si="45"/>
        <v>218157.5143365183</v>
      </c>
      <c r="AM24" s="4">
        <f t="shared" si="45"/>
        <v>237242.74764062194</v>
      </c>
      <c r="AN24" s="4">
        <f t="shared" si="45"/>
        <v>257004.12727115516</v>
      </c>
      <c r="AO24" s="4">
        <f t="shared" si="45"/>
        <v>277461.0649878534</v>
      </c>
      <c r="AP24" s="4">
        <f t="shared" si="45"/>
        <v>298633.47856231115</v>
      </c>
      <c r="AQ24" s="4">
        <f t="shared" si="45"/>
        <v>320541.80425375205</v>
      </c>
      <c r="AR24" s="4">
        <f t="shared" si="45"/>
        <v>343207.00958142569</v>
      </c>
      <c r="AS24" s="4">
        <f t="shared" si="45"/>
        <v>366650.60640050471</v>
      </c>
    </row>
    <row r="25" spans="1:45">
      <c r="B25" s="2" t="s">
        <v>28</v>
      </c>
      <c r="C25" s="4">
        <v>32954</v>
      </c>
      <c r="D25" s="4">
        <v>29615</v>
      </c>
      <c r="E25" s="4">
        <v>25951</v>
      </c>
      <c r="F25" s="4">
        <f>+AF25-SUM(C25:E25)</f>
        <v>30983</v>
      </c>
      <c r="G25" s="4">
        <v>36712</v>
      </c>
      <c r="H25" s="4">
        <v>36861</v>
      </c>
      <c r="I25" s="4">
        <v>41234</v>
      </c>
      <c r="J25" s="4">
        <f>+AG25-SUM(G25:I25)</f>
        <v>42673</v>
      </c>
      <c r="K25" s="4">
        <v>40294</v>
      </c>
      <c r="L25" s="4">
        <v>49213</v>
      </c>
      <c r="M25" s="4">
        <v>42812</v>
      </c>
      <c r="N25" s="4">
        <f>+AH25-SUM(K25:M25)</f>
        <v>40393</v>
      </c>
      <c r="O25" s="4">
        <v>49865</v>
      </c>
      <c r="P25" s="4">
        <v>51000</v>
      </c>
      <c r="Q25" s="4">
        <v>47708</v>
      </c>
      <c r="R25" s="4">
        <f>+AI25-SUM(O25:Q25)</f>
        <v>49809</v>
      </c>
      <c r="S25" s="4">
        <v>52595</v>
      </c>
      <c r="AE25" s="4">
        <v>149389</v>
      </c>
      <c r="AF25" s="4">
        <v>119503</v>
      </c>
      <c r="AG25" s="4">
        <v>157480</v>
      </c>
      <c r="AH25" s="4">
        <v>172712</v>
      </c>
      <c r="AI25" s="4">
        <v>198382</v>
      </c>
      <c r="AJ25" s="4">
        <f t="shared" si="45"/>
        <v>235595.35762483135</v>
      </c>
      <c r="AK25" s="4">
        <f t="shared" si="45"/>
        <v>258630.69371659926</v>
      </c>
      <c r="AL25" s="4">
        <f t="shared" si="45"/>
        <v>282493.20510898792</v>
      </c>
      <c r="AM25" s="4">
        <f t="shared" si="45"/>
        <v>307206.76467958553</v>
      </c>
      <c r="AN25" s="4">
        <f t="shared" si="45"/>
        <v>332795.86935096345</v>
      </c>
      <c r="AO25" s="4">
        <f t="shared" si="45"/>
        <v>359285.65550332464</v>
      </c>
      <c r="AP25" s="4">
        <f t="shared" si="45"/>
        <v>386701.9147540399</v>
      </c>
      <c r="AQ25" s="4">
        <f t="shared" si="45"/>
        <v>415071.11011258239</v>
      </c>
      <c r="AR25" s="4">
        <f t="shared" si="45"/>
        <v>444420.39251956501</v>
      </c>
      <c r="AS25" s="4">
        <f t="shared" si="45"/>
        <v>474777.6177787818</v>
      </c>
    </row>
    <row r="26" spans="1:45">
      <c r="B26" s="2" t="s">
        <v>18</v>
      </c>
      <c r="C26" s="4">
        <f>SUM(C19:C25)</f>
        <v>636139</v>
      </c>
      <c r="D26" s="4">
        <f>SUM(D19:D25)</f>
        <v>524183</v>
      </c>
      <c r="E26" s="4">
        <f>SUM(E19:E25)</f>
        <v>595493</v>
      </c>
      <c r="F26" s="4">
        <f>+AF26-SUM(C26:E26)</f>
        <v>616201</v>
      </c>
      <c r="G26" s="4">
        <f>SUM(G19:G25)</f>
        <v>719198</v>
      </c>
      <c r="H26" s="4">
        <f>SUM(H19:H25)</f>
        <v>809043</v>
      </c>
      <c r="I26" s="4">
        <f>SUM(I19:I25)</f>
        <v>807216</v>
      </c>
      <c r="J26" s="4">
        <f>+AG26-SUM(G26:I26)</f>
        <v>830563</v>
      </c>
      <c r="K26" s="4">
        <f t="shared" ref="K26:R26" si="54">SUM(K19:K25)</f>
        <v>897994</v>
      </c>
      <c r="L26" s="4">
        <f t="shared" si="54"/>
        <v>938277</v>
      </c>
      <c r="M26" s="4">
        <f t="shared" si="54"/>
        <v>917238</v>
      </c>
      <c r="N26" s="4">
        <f t="shared" si="54"/>
        <v>939613</v>
      </c>
      <c r="O26" s="4">
        <f t="shared" si="54"/>
        <v>1073356</v>
      </c>
      <c r="P26" s="4">
        <f t="shared" si="54"/>
        <v>1075713</v>
      </c>
      <c r="Q26" s="4">
        <f t="shared" si="54"/>
        <v>1047895</v>
      </c>
      <c r="R26" s="4">
        <f t="shared" si="54"/>
        <v>1080444</v>
      </c>
      <c r="S26" s="4">
        <f t="shared" ref="S26" si="55">SUM(S19:S25)</f>
        <v>1187888</v>
      </c>
      <c r="AE26" s="4">
        <f>SUM(AE19:AE25)</f>
        <v>2545039</v>
      </c>
      <c r="AF26" s="4">
        <f>SUM(AF19:AF25)</f>
        <v>2372016</v>
      </c>
      <c r="AG26" s="4">
        <f>SUM(AG19:AG25)</f>
        <v>3166020</v>
      </c>
      <c r="AH26" s="4">
        <f>SUM(AH19:AH25)</f>
        <v>3693122</v>
      </c>
      <c r="AI26" s="4">
        <f>SUM(AI19:AI25)</f>
        <v>4277408</v>
      </c>
      <c r="AJ26" s="4">
        <f t="shared" ref="AJ26:AS26" si="56">SUM(AJ19:AJ25)</f>
        <v>4601466.0476653175</v>
      </c>
      <c r="AK26" s="4">
        <f t="shared" si="56"/>
        <v>5302219.0897308839</v>
      </c>
      <c r="AL26" s="4">
        <f t="shared" si="56"/>
        <v>5982643.2679529227</v>
      </c>
      <c r="AM26" s="4">
        <f t="shared" si="56"/>
        <v>6506027.2223922731</v>
      </c>
      <c r="AN26" s="4">
        <f t="shared" si="56"/>
        <v>7047953.4777020188</v>
      </c>
      <c r="AO26" s="4">
        <f t="shared" si="56"/>
        <v>7608954.3723351955</v>
      </c>
      <c r="AP26" s="4">
        <f t="shared" si="56"/>
        <v>8189576.1213626219</v>
      </c>
      <c r="AQ26" s="4">
        <f t="shared" si="56"/>
        <v>8790379.1586022098</v>
      </c>
      <c r="AR26" s="4">
        <f t="shared" si="56"/>
        <v>9411938.4868828356</v>
      </c>
      <c r="AS26" s="4">
        <f t="shared" si="56"/>
        <v>10054844.036631243</v>
      </c>
    </row>
    <row r="27" spans="1:45">
      <c r="B27" s="2" t="s">
        <v>29</v>
      </c>
      <c r="C27" s="4">
        <f>+C18-C26</f>
        <v>16385</v>
      </c>
      <c r="D27" s="4">
        <f>+D18-D26</f>
        <v>-47758</v>
      </c>
      <c r="E27" s="4">
        <f>+E18-E26</f>
        <v>35692</v>
      </c>
      <c r="F27" s="4">
        <f>+AF27-SUM(C27:E27)</f>
        <v>21788</v>
      </c>
      <c r="G27" s="4">
        <f>+G18-G26</f>
        <v>81431</v>
      </c>
      <c r="H27" s="4">
        <f>+H18-H26</f>
        <v>89745</v>
      </c>
      <c r="I27" s="4">
        <f>+I18-I26</f>
        <v>61727</v>
      </c>
      <c r="J27" s="4">
        <f>+AG27-SUM(G27:I27)</f>
        <v>65023</v>
      </c>
      <c r="K27" s="4">
        <f t="shared" ref="K27:R27" si="57">+K18-K26</f>
        <v>89492</v>
      </c>
      <c r="L27" s="4">
        <f t="shared" si="57"/>
        <v>86329</v>
      </c>
      <c r="M27" s="4">
        <f t="shared" si="57"/>
        <v>76060</v>
      </c>
      <c r="N27" s="4">
        <f t="shared" si="57"/>
        <v>69916</v>
      </c>
      <c r="O27" s="4">
        <f t="shared" si="57"/>
        <v>101000</v>
      </c>
      <c r="P27" s="4">
        <f t="shared" si="57"/>
        <v>95490</v>
      </c>
      <c r="Q27" s="4">
        <f t="shared" si="57"/>
        <v>73857</v>
      </c>
      <c r="R27" s="4">
        <f t="shared" si="57"/>
        <v>83917</v>
      </c>
      <c r="S27" s="4">
        <f t="shared" ref="S27" si="58">+S18-S26</f>
        <v>133329</v>
      </c>
      <c r="AE27" s="4">
        <f>+AE18-AE26</f>
        <v>211124</v>
      </c>
      <c r="AF27" s="4">
        <f>+AF18-AF26</f>
        <v>26107</v>
      </c>
      <c r="AG27" s="4">
        <f>+AG18-AG26</f>
        <v>297926</v>
      </c>
      <c r="AH27" s="4">
        <f>+AH18-AH26</f>
        <v>321797</v>
      </c>
      <c r="AI27" s="4">
        <f>+AI18-AI26</f>
        <v>354264</v>
      </c>
      <c r="AJ27" s="4">
        <f t="shared" ref="AJ27:AS27" si="59">+AJ18-AJ26</f>
        <v>899035.11292847525</v>
      </c>
      <c r="AK27" s="4">
        <f t="shared" si="59"/>
        <v>736093.57183996774</v>
      </c>
      <c r="AL27" s="4">
        <f t="shared" si="59"/>
        <v>612793.15416983236</v>
      </c>
      <c r="AM27" s="4">
        <f t="shared" si="59"/>
        <v>666402.58563983254</v>
      </c>
      <c r="AN27" s="4">
        <f t="shared" si="59"/>
        <v>721911.2771069631</v>
      </c>
      <c r="AO27" s="4">
        <f t="shared" si="59"/>
        <v>779373.75519852433</v>
      </c>
      <c r="AP27" s="4">
        <f t="shared" si="59"/>
        <v>838845.96790290158</v>
      </c>
      <c r="AQ27" s="4">
        <f t="shared" si="59"/>
        <v>900385.31961337663</v>
      </c>
      <c r="AR27" s="4">
        <f t="shared" si="59"/>
        <v>964050.70700510964</v>
      </c>
      <c r="AS27" s="4">
        <f t="shared" si="59"/>
        <v>1029902.5557646677</v>
      </c>
    </row>
    <row r="28" spans="1:45">
      <c r="B28" s="2" t="s">
        <v>30</v>
      </c>
      <c r="C28" s="4">
        <v>69</v>
      </c>
      <c r="D28" s="4">
        <v>1030</v>
      </c>
      <c r="E28" s="4">
        <v>1502</v>
      </c>
      <c r="F28" s="4">
        <f>+AF28-SUM(C28:E28)</f>
        <v>1490</v>
      </c>
      <c r="G28" s="4">
        <v>1460</v>
      </c>
      <c r="H28" s="4">
        <v>975</v>
      </c>
      <c r="I28" s="4">
        <v>604</v>
      </c>
      <c r="J28" s="4">
        <f>+AG28-SUM(G28:I28)</f>
        <v>624</v>
      </c>
      <c r="K28" s="4">
        <v>397</v>
      </c>
      <c r="L28" s="4">
        <v>395</v>
      </c>
      <c r="M28" s="4">
        <v>85</v>
      </c>
      <c r="N28" s="4">
        <f>+AH28-SUM(K28:M28)</f>
        <v>-753</v>
      </c>
      <c r="O28" s="4">
        <v>1238</v>
      </c>
      <c r="P28" s="4">
        <v>996</v>
      </c>
      <c r="Q28" s="4">
        <v>496</v>
      </c>
      <c r="R28" s="4">
        <f>+AI28-SUM(O28:Q28)</f>
        <v>254</v>
      </c>
      <c r="S28" s="4">
        <v>1408</v>
      </c>
      <c r="AE28" s="4">
        <v>-1514</v>
      </c>
      <c r="AF28" s="4">
        <v>4091</v>
      </c>
      <c r="AG28" s="4">
        <v>3663</v>
      </c>
      <c r="AH28" s="4">
        <v>124</v>
      </c>
      <c r="AI28" s="4">
        <v>2984</v>
      </c>
      <c r="AJ28" s="4">
        <f t="shared" ref="AJ28:AS28" si="60">+AI67*$AV$41</f>
        <v>731.41</v>
      </c>
      <c r="AK28" s="4">
        <f t="shared" si="60"/>
        <v>767.98050000000001</v>
      </c>
      <c r="AL28" s="4">
        <f t="shared" si="60"/>
        <v>806.37952500000006</v>
      </c>
      <c r="AM28" s="4">
        <f t="shared" si="60"/>
        <v>846.69850124999994</v>
      </c>
      <c r="AN28" s="4">
        <f t="shared" si="60"/>
        <v>889.03342631249996</v>
      </c>
      <c r="AO28" s="4">
        <f t="shared" si="60"/>
        <v>933.485097628125</v>
      </c>
      <c r="AP28" s="4">
        <f t="shared" si="60"/>
        <v>980.15935250953123</v>
      </c>
      <c r="AQ28" s="4">
        <f t="shared" si="60"/>
        <v>1029.1673201350077</v>
      </c>
      <c r="AR28" s="4">
        <f t="shared" si="60"/>
        <v>1080.6256861417583</v>
      </c>
      <c r="AS28" s="4">
        <f t="shared" si="60"/>
        <v>1134.6569704488461</v>
      </c>
    </row>
    <row r="29" spans="1:45">
      <c r="B29" s="2" t="s">
        <v>31</v>
      </c>
      <c r="C29" s="4">
        <v>-508</v>
      </c>
      <c r="D29" s="4">
        <v>-90</v>
      </c>
      <c r="E29" s="4">
        <v>1</v>
      </c>
      <c r="F29" s="4">
        <f>+AF29-SUM(C29:E29)</f>
        <v>97</v>
      </c>
      <c r="G29" s="4">
        <v>-217</v>
      </c>
      <c r="H29" s="4">
        <v>239</v>
      </c>
      <c r="I29" s="4">
        <v>266</v>
      </c>
      <c r="J29" s="4">
        <f>+AG29-SUM(G29:I29)</f>
        <v>-925</v>
      </c>
      <c r="K29" s="4">
        <v>334</v>
      </c>
      <c r="L29" s="4">
        <v>545</v>
      </c>
      <c r="M29" s="4">
        <v>190</v>
      </c>
      <c r="N29" s="4">
        <f>+AH29-SUM(K29:M29)</f>
        <v>170</v>
      </c>
      <c r="O29" s="4">
        <v>755</v>
      </c>
      <c r="P29" s="4">
        <v>287</v>
      </c>
      <c r="Q29" s="4">
        <v>139</v>
      </c>
      <c r="R29" s="4">
        <f>+AI29-SUM(O29:Q29)</f>
        <v>170</v>
      </c>
      <c r="S29" s="4">
        <v>257</v>
      </c>
      <c r="AE29" s="4">
        <v>378</v>
      </c>
      <c r="AF29" s="4">
        <v>-500</v>
      </c>
      <c r="AG29" s="4">
        <v>-637</v>
      </c>
      <c r="AH29" s="4">
        <v>1239</v>
      </c>
      <c r="AI29" s="4">
        <v>1351</v>
      </c>
      <c r="AJ29" s="4">
        <f t="shared" ref="AJ29:AS29" si="61">+AJ$27*(AI29/AI$27)</f>
        <v>3428.5065306279221</v>
      </c>
      <c r="AK29" s="4">
        <f t="shared" si="61"/>
        <v>2807.1224159265312</v>
      </c>
      <c r="AL29" s="4">
        <f t="shared" si="61"/>
        <v>2336.9113183485865</v>
      </c>
      <c r="AM29" s="4">
        <f t="shared" si="61"/>
        <v>2541.3530395394787</v>
      </c>
      <c r="AN29" s="4">
        <f t="shared" si="61"/>
        <v>2753.037665050661</v>
      </c>
      <c r="AO29" s="4">
        <f t="shared" si="61"/>
        <v>2972.1731343664801</v>
      </c>
      <c r="AP29" s="4">
        <f t="shared" si="61"/>
        <v>3198.9728073888973</v>
      </c>
      <c r="AQ29" s="4">
        <f t="shared" si="61"/>
        <v>3433.6555980784728</v>
      </c>
      <c r="AR29" s="4">
        <f t="shared" si="61"/>
        <v>3676.4461112726763</v>
      </c>
      <c r="AS29" s="4">
        <f t="shared" si="61"/>
        <v>3927.5747827554205</v>
      </c>
    </row>
    <row r="30" spans="1:45">
      <c r="B30" s="2" t="s">
        <v>32</v>
      </c>
      <c r="C30" s="4">
        <f>+C27-C28+C29</f>
        <v>15808</v>
      </c>
      <c r="D30" s="4">
        <f>+D27-D28+D29</f>
        <v>-48878</v>
      </c>
      <c r="E30" s="4">
        <f>+E27-E28+E29</f>
        <v>34191</v>
      </c>
      <c r="F30" s="4">
        <f>+AF30-SUM(C30:E30)</f>
        <v>20395</v>
      </c>
      <c r="G30" s="4">
        <f>+G27-G28+G29</f>
        <v>79754</v>
      </c>
      <c r="H30" s="4">
        <f>+H27-H28+H29</f>
        <v>89009</v>
      </c>
      <c r="I30" s="4">
        <f>+I27-I28+I29</f>
        <v>61389</v>
      </c>
      <c r="J30" s="4">
        <f>+AG30-SUM(G30:I30)</f>
        <v>63474</v>
      </c>
      <c r="K30" s="4">
        <f>+K27-K28+K29</f>
        <v>89429</v>
      </c>
      <c r="L30" s="4">
        <f>+L27-L28+L29</f>
        <v>86479</v>
      </c>
      <c r="M30" s="4">
        <f>+M27-M28+M29</f>
        <v>76165</v>
      </c>
      <c r="N30" s="4">
        <f>+N27-N28+N29</f>
        <v>70839</v>
      </c>
      <c r="O30" s="4">
        <f>+O27+O28+O29</f>
        <v>102993</v>
      </c>
      <c r="P30" s="4">
        <f>+P27+P28+P29</f>
        <v>96773</v>
      </c>
      <c r="Q30" s="4">
        <f>+Q27+Q28+Q29</f>
        <v>74492</v>
      </c>
      <c r="R30" s="4">
        <f>+R27+R28+R29</f>
        <v>84341</v>
      </c>
      <c r="S30" s="4">
        <f>+S27+S28+S29</f>
        <v>134994</v>
      </c>
      <c r="AE30" s="4">
        <f>+AE27-AE28+AE29</f>
        <v>213016</v>
      </c>
      <c r="AF30" s="4">
        <f>+AF27-AF28+AF29</f>
        <v>21516</v>
      </c>
      <c r="AG30" s="4">
        <f>+AG27-AG28+AG29</f>
        <v>293626</v>
      </c>
      <c r="AH30" s="4">
        <f>+AH27-AH28+AH29</f>
        <v>322912</v>
      </c>
      <c r="AI30" s="4">
        <f>+AI27-AI28+AI29</f>
        <v>352631</v>
      </c>
      <c r="AJ30" s="4">
        <f t="shared" ref="AJ30:AQ30" si="62">+AJ27-AJ28+AJ29</f>
        <v>901732.20945910318</v>
      </c>
      <c r="AK30" s="4">
        <f t="shared" si="62"/>
        <v>738132.71375589434</v>
      </c>
      <c r="AL30" s="4">
        <f t="shared" si="62"/>
        <v>614323.68596318096</v>
      </c>
      <c r="AM30" s="4">
        <f t="shared" si="62"/>
        <v>668097.24017812207</v>
      </c>
      <c r="AN30" s="4">
        <f t="shared" si="62"/>
        <v>723775.28134570131</v>
      </c>
      <c r="AO30" s="4">
        <f t="shared" si="62"/>
        <v>781412.44323526276</v>
      </c>
      <c r="AP30" s="4">
        <f t="shared" si="62"/>
        <v>841064.78135778091</v>
      </c>
      <c r="AQ30" s="4">
        <f t="shared" si="62"/>
        <v>902789.80789132009</v>
      </c>
      <c r="AR30" s="4">
        <f t="shared" ref="AR30:AS30" si="63">+AR27-AR28+AR29</f>
        <v>966646.52743024053</v>
      </c>
      <c r="AS30" s="4">
        <f t="shared" si="63"/>
        <v>1032695.4735769744</v>
      </c>
    </row>
    <row r="31" spans="1:45">
      <c r="B31" s="2" t="s">
        <v>33</v>
      </c>
      <c r="C31" s="4">
        <v>-1939</v>
      </c>
      <c r="D31" s="4">
        <v>-15132</v>
      </c>
      <c r="E31" s="4">
        <v>3072</v>
      </c>
      <c r="F31" s="4">
        <f>+AF31-SUM(C31:E31)</f>
        <v>-1673</v>
      </c>
      <c r="G31" s="4">
        <v>12820</v>
      </c>
      <c r="H31" s="4">
        <v>11067</v>
      </c>
      <c r="I31" s="4">
        <v>7144</v>
      </c>
      <c r="J31" s="4">
        <f>+AG31-SUM(G31:I31)</f>
        <v>8547</v>
      </c>
      <c r="K31" s="4">
        <v>12747</v>
      </c>
      <c r="L31" s="4">
        <v>11531</v>
      </c>
      <c r="M31" s="4">
        <v>11430</v>
      </c>
      <c r="N31" s="4">
        <f>+AH31-SUM(K31:M31)</f>
        <v>8007</v>
      </c>
      <c r="O31" s="4">
        <v>14334</v>
      </c>
      <c r="P31" s="4">
        <v>12270</v>
      </c>
      <c r="Q31" s="4">
        <v>8870</v>
      </c>
      <c r="R31" s="4">
        <f>+AI31-SUM(O31:Q31)</f>
        <v>9175</v>
      </c>
      <c r="S31" s="4">
        <v>18803</v>
      </c>
      <c r="AE31" s="4">
        <v>32397</v>
      </c>
      <c r="AF31" s="4">
        <v>-15672</v>
      </c>
      <c r="AG31" s="4">
        <v>39578</v>
      </c>
      <c r="AH31" s="4">
        <v>43715</v>
      </c>
      <c r="AI31" s="4">
        <v>44649</v>
      </c>
      <c r="AJ31" s="4">
        <f>+AJ30*0.14</f>
        <v>126242.50932427446</v>
      </c>
      <c r="AK31" s="4">
        <f>+AK30*(AJ31/AJ30)</f>
        <v>103338.57992582522</v>
      </c>
      <c r="AL31" s="4">
        <f t="shared" ref="AL31:AS31" si="64">+AL30*(AK31/AK30)</f>
        <v>86005.316034845338</v>
      </c>
      <c r="AM31" s="4">
        <f t="shared" si="64"/>
        <v>93533.613624937105</v>
      </c>
      <c r="AN31" s="4">
        <f t="shared" si="64"/>
        <v>101328.53938839819</v>
      </c>
      <c r="AO31" s="4">
        <f t="shared" si="64"/>
        <v>109397.7420529368</v>
      </c>
      <c r="AP31" s="4">
        <f t="shared" si="64"/>
        <v>117749.06939008934</v>
      </c>
      <c r="AQ31" s="4">
        <f t="shared" si="64"/>
        <v>126390.57310478482</v>
      </c>
      <c r="AR31" s="4">
        <f t="shared" si="64"/>
        <v>135330.51384023367</v>
      </c>
      <c r="AS31" s="4">
        <f t="shared" si="64"/>
        <v>144577.36630077643</v>
      </c>
    </row>
    <row r="32" spans="1:45">
      <c r="B32" s="2" t="s">
        <v>34</v>
      </c>
      <c r="C32" s="4">
        <f>+C30-C31</f>
        <v>17747</v>
      </c>
      <c r="D32" s="4">
        <f>+D30-D31</f>
        <v>-33746</v>
      </c>
      <c r="E32" s="4">
        <f>+E30-E31</f>
        <v>31119</v>
      </c>
      <c r="F32" s="4">
        <f>+AF32-SUM(C32:E32)</f>
        <v>22068</v>
      </c>
      <c r="G32" s="4">
        <f>+G30-G31</f>
        <v>66934</v>
      </c>
      <c r="H32" s="4">
        <f>+H30-H31</f>
        <v>77942</v>
      </c>
      <c r="I32" s="4">
        <f>+I30-I31</f>
        <v>54245</v>
      </c>
      <c r="J32" s="4">
        <f>+AG32-SUM(G32:I32)</f>
        <v>54927</v>
      </c>
      <c r="K32" s="4">
        <f t="shared" ref="K32:R32" si="65">+K30-K31</f>
        <v>76682</v>
      </c>
      <c r="L32" s="4">
        <f t="shared" si="65"/>
        <v>74948</v>
      </c>
      <c r="M32" s="4">
        <f t="shared" si="65"/>
        <v>64735</v>
      </c>
      <c r="N32" s="4">
        <f t="shared" si="65"/>
        <v>62832</v>
      </c>
      <c r="O32" s="4">
        <f t="shared" si="65"/>
        <v>88659</v>
      </c>
      <c r="P32" s="4">
        <f t="shared" si="65"/>
        <v>84503</v>
      </c>
      <c r="Q32" s="4">
        <f t="shared" si="65"/>
        <v>65622</v>
      </c>
      <c r="R32" s="4">
        <f t="shared" si="65"/>
        <v>75166</v>
      </c>
      <c r="S32" s="4">
        <f t="shared" ref="S32" si="66">+S30-S31</f>
        <v>116191</v>
      </c>
      <c r="AE32" s="4">
        <f>+AE30-AE31</f>
        <v>180619</v>
      </c>
      <c r="AF32" s="4">
        <f>+AF30-AF31</f>
        <v>37188</v>
      </c>
      <c r="AG32" s="4">
        <f>+AG30-AG31</f>
        <v>254048</v>
      </c>
      <c r="AH32" s="4">
        <f>+AH30-AH31</f>
        <v>279197</v>
      </c>
      <c r="AI32" s="4">
        <f>+AI30-AI31</f>
        <v>307982</v>
      </c>
      <c r="AJ32" s="4">
        <f t="shared" ref="AJ32:AQ32" si="67">+AJ30-AJ31</f>
        <v>775489.70013482869</v>
      </c>
      <c r="AK32" s="4">
        <f t="shared" si="67"/>
        <v>634794.1338300691</v>
      </c>
      <c r="AL32" s="4">
        <f t="shared" si="67"/>
        <v>528318.36992833565</v>
      </c>
      <c r="AM32" s="4">
        <f t="shared" si="67"/>
        <v>574563.62655318493</v>
      </c>
      <c r="AN32" s="4">
        <f t="shared" si="67"/>
        <v>622446.74195730314</v>
      </c>
      <c r="AO32" s="4">
        <f t="shared" si="67"/>
        <v>672014.70118232595</v>
      </c>
      <c r="AP32" s="4">
        <f t="shared" si="67"/>
        <v>723315.71196769155</v>
      </c>
      <c r="AQ32" s="4">
        <f t="shared" si="67"/>
        <v>776399.23478653526</v>
      </c>
      <c r="AR32" s="4">
        <f t="shared" ref="AR32:AS32" si="68">+AR30-AR31</f>
        <v>831316.01359000686</v>
      </c>
      <c r="AS32" s="4">
        <f t="shared" si="68"/>
        <v>888118.10727619799</v>
      </c>
    </row>
    <row r="33" spans="1:245">
      <c r="B33" s="2" t="s">
        <v>35</v>
      </c>
      <c r="C33" s="4">
        <v>1123</v>
      </c>
      <c r="D33" s="4">
        <v>247</v>
      </c>
      <c r="E33" s="4">
        <v>1173</v>
      </c>
      <c r="F33" s="4">
        <f>+AF33-SUM(C33:E33)</f>
        <v>1127</v>
      </c>
      <c r="G33" s="4">
        <v>2280</v>
      </c>
      <c r="H33" s="4">
        <v>2445</v>
      </c>
      <c r="I33" s="4">
        <v>1610</v>
      </c>
      <c r="J33" s="4">
        <f>+AG33-SUM(G33:I33)</f>
        <v>1685</v>
      </c>
      <c r="K33" s="4">
        <v>2126</v>
      </c>
      <c r="L33" s="4">
        <v>2118</v>
      </c>
      <c r="M33" s="4">
        <v>1635</v>
      </c>
      <c r="N33" s="4">
        <f>+AH33-SUM(K33:M33)</f>
        <v>1900</v>
      </c>
      <c r="O33" s="4">
        <v>2217</v>
      </c>
      <c r="P33" s="4">
        <v>2154</v>
      </c>
      <c r="Q33" s="4">
        <v>1836</v>
      </c>
      <c r="R33" s="4">
        <f>+AI33-SUM(O33:Q33)</f>
        <v>2592</v>
      </c>
      <c r="S33" s="4">
        <v>2784</v>
      </c>
      <c r="AE33" s="4">
        <v>7066</v>
      </c>
      <c r="AF33" s="4">
        <v>3670</v>
      </c>
      <c r="AG33" s="4">
        <v>8020</v>
      </c>
      <c r="AH33" s="4">
        <v>7779</v>
      </c>
      <c r="AI33" s="4">
        <v>8799</v>
      </c>
      <c r="AJ33" s="4">
        <f t="shared" ref="AJ33:AS33" si="69">+AI33</f>
        <v>8799</v>
      </c>
      <c r="AK33" s="4">
        <f t="shared" si="69"/>
        <v>8799</v>
      </c>
      <c r="AL33" s="4">
        <f t="shared" si="69"/>
        <v>8799</v>
      </c>
      <c r="AM33" s="4">
        <f t="shared" si="69"/>
        <v>8799</v>
      </c>
      <c r="AN33" s="4">
        <f t="shared" si="69"/>
        <v>8799</v>
      </c>
      <c r="AO33" s="4">
        <f t="shared" si="69"/>
        <v>8799</v>
      </c>
      <c r="AP33" s="4">
        <f t="shared" si="69"/>
        <v>8799</v>
      </c>
      <c r="AQ33" s="4">
        <f t="shared" si="69"/>
        <v>8799</v>
      </c>
      <c r="AR33" s="4">
        <f t="shared" si="69"/>
        <v>8799</v>
      </c>
      <c r="AS33" s="4">
        <f t="shared" si="69"/>
        <v>8799</v>
      </c>
    </row>
    <row r="34" spans="1:245" s="7" customFormat="1">
      <c r="A34" s="6"/>
      <c r="B34" s="6" t="s">
        <v>36</v>
      </c>
      <c r="C34" s="7">
        <f>+C32-C33</f>
        <v>16624</v>
      </c>
      <c r="D34" s="7">
        <f>+D32-D33</f>
        <v>-33993</v>
      </c>
      <c r="E34" s="7">
        <f>+E32-E33</f>
        <v>29946</v>
      </c>
      <c r="F34" s="7">
        <f>+AF34-SUM(C34:E34)</f>
        <v>20941</v>
      </c>
      <c r="G34" s="7">
        <f>+G32-G33</f>
        <v>64654</v>
      </c>
      <c r="H34" s="7">
        <f>+H32-H33</f>
        <v>75497</v>
      </c>
      <c r="I34" s="7">
        <f>+I32-I33</f>
        <v>52635</v>
      </c>
      <c r="J34" s="7">
        <f>+AG34-SUM(G34:I34)</f>
        <v>53242</v>
      </c>
      <c r="K34" s="7">
        <f t="shared" ref="K34:R34" si="70">+K32-K33</f>
        <v>74556</v>
      </c>
      <c r="L34" s="7">
        <f t="shared" si="70"/>
        <v>72830</v>
      </c>
      <c r="M34" s="7">
        <f t="shared" si="70"/>
        <v>63100</v>
      </c>
      <c r="N34" s="7">
        <f t="shared" si="70"/>
        <v>60932</v>
      </c>
      <c r="O34" s="7">
        <f t="shared" si="70"/>
        <v>86442</v>
      </c>
      <c r="P34" s="7">
        <f t="shared" si="70"/>
        <v>82349</v>
      </c>
      <c r="Q34" s="7">
        <f t="shared" si="70"/>
        <v>63786</v>
      </c>
      <c r="R34" s="7">
        <f t="shared" si="70"/>
        <v>72574</v>
      </c>
      <c r="S34" s="7">
        <f t="shared" ref="S34" si="71">+S32-S33</f>
        <v>113407</v>
      </c>
      <c r="AE34" s="7">
        <f>+AE32-AE33</f>
        <v>173553</v>
      </c>
      <c r="AF34" s="7">
        <f>+AF32-AF33</f>
        <v>33518</v>
      </c>
      <c r="AG34" s="7">
        <f>+AG32-AG33</f>
        <v>246028</v>
      </c>
      <c r="AH34" s="7">
        <f>+AH32-AH33</f>
        <v>271418</v>
      </c>
      <c r="AI34" s="7">
        <f>+AI32-AI33</f>
        <v>299183</v>
      </c>
      <c r="AJ34" s="7">
        <f t="shared" ref="AJ34:AQ34" si="72">+AJ32-AJ33</f>
        <v>766690.70013482869</v>
      </c>
      <c r="AK34" s="7">
        <f t="shared" si="72"/>
        <v>625995.1338300691</v>
      </c>
      <c r="AL34" s="7">
        <f t="shared" si="72"/>
        <v>519519.36992833565</v>
      </c>
      <c r="AM34" s="7">
        <f t="shared" si="72"/>
        <v>565764.62655318493</v>
      </c>
      <c r="AN34" s="7">
        <f t="shared" si="72"/>
        <v>613647.74195730314</v>
      </c>
      <c r="AO34" s="7">
        <f t="shared" si="72"/>
        <v>663215.70118232595</v>
      </c>
      <c r="AP34" s="7">
        <f t="shared" si="72"/>
        <v>714516.71196769155</v>
      </c>
      <c r="AQ34" s="7">
        <f t="shared" si="72"/>
        <v>767600.23478653526</v>
      </c>
      <c r="AR34" s="7">
        <f t="shared" ref="AR34:AS34" si="73">+AR32-AR33</f>
        <v>822517.01359000686</v>
      </c>
      <c r="AS34" s="7">
        <f t="shared" si="73"/>
        <v>879319.10727619799</v>
      </c>
      <c r="AT34" s="7">
        <f t="shared" ref="AT34:BY34" si="74">+AS34*(1+$AV$42)</f>
        <v>888112.29834896</v>
      </c>
      <c r="AU34" s="7">
        <f t="shared" si="74"/>
        <v>896993.42133244965</v>
      </c>
      <c r="AV34" s="7">
        <f t="shared" si="74"/>
        <v>905963.3555457741</v>
      </c>
      <c r="AW34" s="7">
        <f t="shared" si="74"/>
        <v>915022.9891012318</v>
      </c>
      <c r="AX34" s="7">
        <f t="shared" si="74"/>
        <v>924173.2189922441</v>
      </c>
      <c r="AY34" s="7">
        <f t="shared" si="74"/>
        <v>933414.95118216658</v>
      </c>
      <c r="AZ34" s="7">
        <f t="shared" si="74"/>
        <v>942749.10069398826</v>
      </c>
      <c r="BA34" s="7">
        <f t="shared" si="74"/>
        <v>952176.59170092817</v>
      </c>
      <c r="BB34" s="7">
        <f t="shared" si="74"/>
        <v>961698.35761793749</v>
      </c>
      <c r="BC34" s="7">
        <f t="shared" si="74"/>
        <v>971315.34119411686</v>
      </c>
      <c r="BD34" s="7">
        <f t="shared" si="74"/>
        <v>981028.494606058</v>
      </c>
      <c r="BE34" s="7">
        <f t="shared" si="74"/>
        <v>990838.77955211862</v>
      </c>
      <c r="BF34" s="7">
        <f t="shared" si="74"/>
        <v>1000747.1673476398</v>
      </c>
      <c r="BG34" s="7">
        <f t="shared" si="74"/>
        <v>1010754.6390211162</v>
      </c>
      <c r="BH34" s="7">
        <f t="shared" si="74"/>
        <v>1020862.1854113274</v>
      </c>
      <c r="BI34" s="7">
        <f t="shared" si="74"/>
        <v>1031070.8072654407</v>
      </c>
      <c r="BJ34" s="7">
        <f t="shared" si="74"/>
        <v>1041381.5153380951</v>
      </c>
      <c r="BK34" s="7">
        <f t="shared" si="74"/>
        <v>1051795.330491476</v>
      </c>
      <c r="BL34" s="7">
        <f t="shared" si="74"/>
        <v>1062313.2837963908</v>
      </c>
      <c r="BM34" s="7">
        <f t="shared" si="74"/>
        <v>1072936.4166343547</v>
      </c>
      <c r="BN34" s="7">
        <f t="shared" si="74"/>
        <v>1083665.7808006983</v>
      </c>
      <c r="BO34" s="7">
        <f t="shared" si="74"/>
        <v>1094502.4386087053</v>
      </c>
      <c r="BP34" s="7">
        <f t="shared" si="74"/>
        <v>1105447.4629947923</v>
      </c>
      <c r="BQ34" s="7">
        <f t="shared" si="74"/>
        <v>1116501.9376247402</v>
      </c>
      <c r="BR34" s="7">
        <f t="shared" si="74"/>
        <v>1127666.9570009876</v>
      </c>
      <c r="BS34" s="7">
        <f t="shared" si="74"/>
        <v>1138943.6265709975</v>
      </c>
      <c r="BT34" s="7">
        <f t="shared" si="74"/>
        <v>1150333.0628367076</v>
      </c>
      <c r="BU34" s="7">
        <f t="shared" si="74"/>
        <v>1161836.3934650747</v>
      </c>
      <c r="BV34" s="7">
        <f t="shared" si="74"/>
        <v>1173454.7573997255</v>
      </c>
      <c r="BW34" s="7">
        <f t="shared" si="74"/>
        <v>1185189.3049737227</v>
      </c>
      <c r="BX34" s="7">
        <f t="shared" si="74"/>
        <v>1197041.1980234599</v>
      </c>
      <c r="BY34" s="7">
        <f t="shared" si="74"/>
        <v>1209011.6100036944</v>
      </c>
      <c r="BZ34" s="7">
        <f t="shared" ref="BZ34:CZ34" si="75">+BY34*(1+$AV$42)</f>
        <v>1221101.7261037314</v>
      </c>
      <c r="CA34" s="7">
        <f t="shared" si="75"/>
        <v>1233312.7433647688</v>
      </c>
      <c r="CB34" s="7">
        <f t="shared" si="75"/>
        <v>1245645.8707984164</v>
      </c>
      <c r="CC34" s="7">
        <f t="shared" si="75"/>
        <v>1258102.3295064005</v>
      </c>
      <c r="CD34" s="7">
        <f t="shared" si="75"/>
        <v>1270683.3528014645</v>
      </c>
      <c r="CE34" s="7">
        <f t="shared" si="75"/>
        <v>1283390.1863294791</v>
      </c>
      <c r="CF34" s="7">
        <f t="shared" si="75"/>
        <v>1296224.088192774</v>
      </c>
      <c r="CG34" s="7">
        <f t="shared" si="75"/>
        <v>1309186.3290747018</v>
      </c>
      <c r="CH34" s="7">
        <f t="shared" si="75"/>
        <v>1322278.1923654487</v>
      </c>
      <c r="CI34" s="7">
        <f t="shared" si="75"/>
        <v>1335500.9742891032</v>
      </c>
      <c r="CJ34" s="7">
        <f t="shared" si="75"/>
        <v>1348855.9840319941</v>
      </c>
      <c r="CK34" s="7">
        <f t="shared" si="75"/>
        <v>1362344.543872314</v>
      </c>
      <c r="CL34" s="7">
        <f t="shared" si="75"/>
        <v>1375967.9893110371</v>
      </c>
      <c r="CM34" s="7">
        <f t="shared" si="75"/>
        <v>1389727.6692041475</v>
      </c>
      <c r="CN34" s="7">
        <f t="shared" si="75"/>
        <v>1403624.945896189</v>
      </c>
      <c r="CO34" s="7">
        <f t="shared" si="75"/>
        <v>1417661.1953551508</v>
      </c>
      <c r="CP34" s="7">
        <f t="shared" si="75"/>
        <v>1431837.8073087023</v>
      </c>
      <c r="CQ34" s="7">
        <f t="shared" si="75"/>
        <v>1446156.1853817892</v>
      </c>
      <c r="CR34" s="7">
        <f t="shared" si="75"/>
        <v>1460617.7472356071</v>
      </c>
      <c r="CS34" s="7">
        <f t="shared" si="75"/>
        <v>1475223.9247079631</v>
      </c>
      <c r="CT34" s="7">
        <f t="shared" si="75"/>
        <v>1489976.1639550428</v>
      </c>
      <c r="CU34" s="7">
        <f t="shared" si="75"/>
        <v>1504875.9255945932</v>
      </c>
      <c r="CV34" s="7">
        <f t="shared" si="75"/>
        <v>1519924.6848505391</v>
      </c>
      <c r="CW34" s="7">
        <f t="shared" si="75"/>
        <v>1535123.9316990445</v>
      </c>
      <c r="CX34" s="7">
        <f t="shared" si="75"/>
        <v>1550475.1710160349</v>
      </c>
      <c r="CY34" s="7">
        <f t="shared" si="75"/>
        <v>1565979.9227261953</v>
      </c>
      <c r="CZ34" s="7">
        <f t="shared" si="75"/>
        <v>1581639.7219534572</v>
      </c>
      <c r="DA34" s="7">
        <f t="shared" ref="DA34:FD34" si="76">+CZ34*(1+$AV$42)</f>
        <v>1597456.1191729917</v>
      </c>
      <c r="DB34" s="7">
        <f t="shared" si="76"/>
        <v>1613430.6803647217</v>
      </c>
      <c r="DC34" s="7">
        <f t="shared" si="76"/>
        <v>1629564.9871683689</v>
      </c>
      <c r="DD34" s="7">
        <f t="shared" si="76"/>
        <v>1645860.6370400526</v>
      </c>
      <c r="DE34" s="7">
        <f t="shared" si="76"/>
        <v>1662319.2434104532</v>
      </c>
      <c r="DF34" s="7">
        <f t="shared" si="76"/>
        <v>1678942.4358445578</v>
      </c>
      <c r="DG34" s="7">
        <f t="shared" si="76"/>
        <v>1695731.8602030035</v>
      </c>
      <c r="DH34" s="7">
        <f t="shared" si="76"/>
        <v>1712689.1788050337</v>
      </c>
      <c r="DI34" s="7">
        <f t="shared" si="76"/>
        <v>1729816.070593084</v>
      </c>
      <c r="DJ34" s="7">
        <f t="shared" si="76"/>
        <v>1747114.2312990148</v>
      </c>
      <c r="DK34" s="7">
        <f t="shared" si="76"/>
        <v>1764585.373612005</v>
      </c>
      <c r="DL34" s="7">
        <f t="shared" si="76"/>
        <v>1782231.2273481251</v>
      </c>
      <c r="DM34" s="7">
        <f t="shared" si="76"/>
        <v>1800053.5396216062</v>
      </c>
      <c r="DN34" s="7">
        <f t="shared" si="76"/>
        <v>1818054.0750178222</v>
      </c>
      <c r="DO34" s="7">
        <f t="shared" si="76"/>
        <v>1836234.6157680005</v>
      </c>
      <c r="DP34" s="7">
        <f t="shared" si="76"/>
        <v>1854596.9619256805</v>
      </c>
      <c r="DQ34" s="7">
        <f t="shared" si="76"/>
        <v>1873142.9315449374</v>
      </c>
      <c r="DR34" s="7">
        <f t="shared" si="76"/>
        <v>1891874.3608603869</v>
      </c>
      <c r="DS34" s="7">
        <f t="shared" si="76"/>
        <v>1910793.1044689908</v>
      </c>
      <c r="DT34" s="7">
        <f t="shared" si="76"/>
        <v>1929901.0355136807</v>
      </c>
      <c r="DU34" s="7">
        <f t="shared" si="76"/>
        <v>1949200.0458688175</v>
      </c>
      <c r="DV34" s="7">
        <f t="shared" si="76"/>
        <v>1968692.0463275057</v>
      </c>
      <c r="DW34" s="7">
        <f t="shared" si="76"/>
        <v>1988378.9667907809</v>
      </c>
      <c r="DX34" s="7">
        <f t="shared" si="76"/>
        <v>2008262.7564586888</v>
      </c>
      <c r="DY34" s="7">
        <f t="shared" si="76"/>
        <v>2028345.3840232757</v>
      </c>
      <c r="DZ34" s="7">
        <f t="shared" si="76"/>
        <v>2048628.8378635084</v>
      </c>
      <c r="EA34" s="7">
        <f t="shared" si="76"/>
        <v>2069115.1262421436</v>
      </c>
      <c r="EB34" s="7">
        <f t="shared" si="76"/>
        <v>2089806.277504565</v>
      </c>
      <c r="EC34" s="7">
        <f t="shared" si="76"/>
        <v>2110704.3402796108</v>
      </c>
      <c r="ED34" s="7">
        <f t="shared" si="76"/>
        <v>2131811.383682407</v>
      </c>
      <c r="EE34" s="7">
        <f t="shared" si="76"/>
        <v>2153129.4975192309</v>
      </c>
      <c r="EF34" s="7">
        <f t="shared" si="76"/>
        <v>2174660.7924944232</v>
      </c>
      <c r="EG34" s="7">
        <f t="shared" si="76"/>
        <v>2196407.4004193675</v>
      </c>
      <c r="EH34" s="7">
        <f t="shared" si="76"/>
        <v>2218371.4744235612</v>
      </c>
      <c r="EI34" s="7">
        <f t="shared" si="76"/>
        <v>2240555.1891677971</v>
      </c>
      <c r="EJ34" s="7">
        <f t="shared" si="76"/>
        <v>2262960.7410594751</v>
      </c>
      <c r="EK34" s="7">
        <f t="shared" si="76"/>
        <v>2285590.3484700699</v>
      </c>
      <c r="EL34" s="7">
        <f t="shared" si="76"/>
        <v>2308446.2519547706</v>
      </c>
      <c r="EM34" s="7">
        <f t="shared" si="76"/>
        <v>2331530.7144743185</v>
      </c>
      <c r="EN34" s="7">
        <f t="shared" si="76"/>
        <v>2354846.0216190619</v>
      </c>
      <c r="EO34" s="7">
        <f t="shared" si="76"/>
        <v>2378394.4818352526</v>
      </c>
      <c r="EP34" s="7">
        <f t="shared" si="76"/>
        <v>2402178.426653605</v>
      </c>
      <c r="EQ34" s="7">
        <f t="shared" si="76"/>
        <v>2426200.2109201411</v>
      </c>
      <c r="ER34" s="7">
        <f t="shared" si="76"/>
        <v>2450462.2130293427</v>
      </c>
      <c r="ES34" s="7">
        <f t="shared" si="76"/>
        <v>2474966.8351596361</v>
      </c>
      <c r="ET34" s="7">
        <f t="shared" si="76"/>
        <v>2499716.5035112323</v>
      </c>
      <c r="EU34" s="7">
        <f t="shared" si="76"/>
        <v>2524713.6685463446</v>
      </c>
      <c r="EV34" s="7">
        <f t="shared" si="76"/>
        <v>2549960.8052318082</v>
      </c>
      <c r="EW34" s="7">
        <f t="shared" si="76"/>
        <v>2575460.4132841262</v>
      </c>
      <c r="EX34" s="7">
        <f t="shared" si="76"/>
        <v>2601215.0174169675</v>
      </c>
      <c r="EY34" s="7">
        <f t="shared" si="76"/>
        <v>2627227.1675911373</v>
      </c>
      <c r="EZ34" s="7">
        <f t="shared" si="76"/>
        <v>2653499.4392670486</v>
      </c>
      <c r="FA34" s="7">
        <f t="shared" si="76"/>
        <v>2680034.4336597193</v>
      </c>
      <c r="FB34" s="7">
        <f t="shared" si="76"/>
        <v>2706834.7779963166</v>
      </c>
      <c r="FC34" s="7">
        <f t="shared" si="76"/>
        <v>2733903.1257762797</v>
      </c>
      <c r="FD34" s="7">
        <f t="shared" si="76"/>
        <v>2761242.1570340428</v>
      </c>
      <c r="FE34" s="7">
        <f t="shared" ref="FE34:GX34" si="77">+FD34*(1+$AV$42)</f>
        <v>2788854.5786043834</v>
      </c>
      <c r="FF34" s="7">
        <f t="shared" si="77"/>
        <v>2816743.124390427</v>
      </c>
      <c r="FG34" s="7">
        <f t="shared" si="77"/>
        <v>2844910.5556343314</v>
      </c>
      <c r="FH34" s="7">
        <f t="shared" si="77"/>
        <v>2873359.6611906746</v>
      </c>
      <c r="FI34" s="7">
        <f t="shared" si="77"/>
        <v>2902093.2578025814</v>
      </c>
      <c r="FJ34" s="7">
        <f t="shared" si="77"/>
        <v>2931114.1903806073</v>
      </c>
      <c r="FK34" s="7">
        <f t="shared" si="77"/>
        <v>2960425.3322844133</v>
      </c>
      <c r="FL34" s="7">
        <f t="shared" si="77"/>
        <v>2990029.5856072572</v>
      </c>
      <c r="FM34" s="7">
        <f t="shared" si="77"/>
        <v>3019929.8814633298</v>
      </c>
      <c r="FN34" s="7">
        <f t="shared" si="77"/>
        <v>3050129.1802779632</v>
      </c>
      <c r="FO34" s="7">
        <f t="shared" si="77"/>
        <v>3080630.4720807429</v>
      </c>
      <c r="FP34" s="7">
        <f t="shared" si="77"/>
        <v>3111436.7768015503</v>
      </c>
      <c r="FQ34" s="7">
        <f t="shared" si="77"/>
        <v>3142551.144569566</v>
      </c>
      <c r="FR34" s="7">
        <f t="shared" si="77"/>
        <v>3173976.6560152615</v>
      </c>
      <c r="FS34" s="7">
        <f t="shared" si="77"/>
        <v>3205716.4225754142</v>
      </c>
      <c r="FT34" s="7">
        <f t="shared" si="77"/>
        <v>3237773.5868011685</v>
      </c>
      <c r="FU34" s="7">
        <f t="shared" si="77"/>
        <v>3270151.3226691801</v>
      </c>
      <c r="FV34" s="7">
        <f t="shared" si="77"/>
        <v>3302852.8358958717</v>
      </c>
      <c r="FW34" s="7">
        <f t="shared" si="77"/>
        <v>3335881.3642548304</v>
      </c>
      <c r="FX34" s="7">
        <f t="shared" si="77"/>
        <v>3369240.1778973788</v>
      </c>
      <c r="FY34" s="7">
        <f t="shared" si="77"/>
        <v>3402932.5796763524</v>
      </c>
      <c r="FZ34" s="7">
        <f t="shared" si="77"/>
        <v>3436961.9054731159</v>
      </c>
      <c r="GA34" s="7">
        <f t="shared" si="77"/>
        <v>3471331.5245278468</v>
      </c>
      <c r="GB34" s="7">
        <f t="shared" si="77"/>
        <v>3506044.8397731255</v>
      </c>
      <c r="GC34" s="7">
        <f t="shared" si="77"/>
        <v>3541105.2881708569</v>
      </c>
      <c r="GD34" s="7">
        <f t="shared" si="77"/>
        <v>3576516.3410525653</v>
      </c>
      <c r="GE34" s="7">
        <f t="shared" si="77"/>
        <v>3612281.504463091</v>
      </c>
      <c r="GF34" s="7">
        <f t="shared" si="77"/>
        <v>3648404.3195077218</v>
      </c>
      <c r="GG34" s="7">
        <f t="shared" si="77"/>
        <v>3684888.362702799</v>
      </c>
      <c r="GH34" s="7">
        <f t="shared" si="77"/>
        <v>3721737.2463298272</v>
      </c>
      <c r="GI34" s="7">
        <f t="shared" si="77"/>
        <v>3758954.6187931257</v>
      </c>
      <c r="GJ34" s="7">
        <f t="shared" si="77"/>
        <v>3796544.1649810569</v>
      </c>
      <c r="GK34" s="7">
        <f t="shared" si="77"/>
        <v>3834509.6066308673</v>
      </c>
      <c r="GL34" s="7">
        <f t="shared" si="77"/>
        <v>3872854.702697176</v>
      </c>
      <c r="GM34" s="7">
        <f t="shared" si="77"/>
        <v>3911583.2497241478</v>
      </c>
      <c r="GN34" s="7">
        <f t="shared" si="77"/>
        <v>3950699.0822213893</v>
      </c>
      <c r="GO34" s="7">
        <f t="shared" si="77"/>
        <v>3990206.073043603</v>
      </c>
      <c r="GP34" s="7">
        <f t="shared" si="77"/>
        <v>4030108.1337740389</v>
      </c>
      <c r="GQ34" s="7">
        <f t="shared" si="77"/>
        <v>4070409.2151117795</v>
      </c>
      <c r="GR34" s="7">
        <f t="shared" si="77"/>
        <v>4111113.3072628975</v>
      </c>
      <c r="GS34" s="7">
        <f t="shared" si="77"/>
        <v>4152224.4403355266</v>
      </c>
      <c r="GT34" s="7">
        <f t="shared" si="77"/>
        <v>4193746.6847388819</v>
      </c>
      <c r="GU34" s="7">
        <f t="shared" si="77"/>
        <v>4235684.1515862709</v>
      </c>
      <c r="GV34" s="7">
        <f t="shared" si="77"/>
        <v>4278040.9931021333</v>
      </c>
      <c r="GW34" s="7">
        <f t="shared" si="77"/>
        <v>4320821.403033155</v>
      </c>
      <c r="GX34" s="7">
        <f t="shared" si="77"/>
        <v>4364029.6170634869</v>
      </c>
      <c r="GY34" s="7">
        <f t="shared" ref="GY34:IF34" si="78">+GX34*(1+$AV$42)</f>
        <v>4407669.9132341221</v>
      </c>
      <c r="GZ34" s="7">
        <f t="shared" si="78"/>
        <v>4451746.6123664631</v>
      </c>
      <c r="HA34" s="7">
        <f t="shared" si="78"/>
        <v>4496264.0784901278</v>
      </c>
      <c r="HB34" s="7">
        <f t="shared" si="78"/>
        <v>4541226.7192750294</v>
      </c>
      <c r="HC34" s="7">
        <f t="shared" si="78"/>
        <v>4586638.9864677796</v>
      </c>
      <c r="HD34" s="7">
        <f t="shared" si="78"/>
        <v>4632505.3763324572</v>
      </c>
      <c r="HE34" s="7">
        <f t="shared" si="78"/>
        <v>4678830.4300957816</v>
      </c>
      <c r="HF34" s="7">
        <f t="shared" si="78"/>
        <v>4725618.7343967399</v>
      </c>
      <c r="HG34" s="7">
        <f t="shared" si="78"/>
        <v>4772874.921740707</v>
      </c>
      <c r="HH34" s="7">
        <f t="shared" si="78"/>
        <v>4820603.6709581139</v>
      </c>
      <c r="HI34" s="7">
        <f t="shared" si="78"/>
        <v>4868809.7076676954</v>
      </c>
      <c r="HJ34" s="7">
        <f t="shared" si="78"/>
        <v>4917497.8047443721</v>
      </c>
      <c r="HK34" s="7">
        <f t="shared" si="78"/>
        <v>4966672.7827918157</v>
      </c>
      <c r="HL34" s="7">
        <f t="shared" si="78"/>
        <v>5016339.5106197335</v>
      </c>
      <c r="HM34" s="7">
        <f t="shared" si="78"/>
        <v>5066502.9057259308</v>
      </c>
      <c r="HN34" s="7">
        <f t="shared" si="78"/>
        <v>5117167.9347831905</v>
      </c>
      <c r="HO34" s="7">
        <f t="shared" si="78"/>
        <v>5168339.6141310222</v>
      </c>
      <c r="HP34" s="7">
        <f t="shared" si="78"/>
        <v>5220023.0102723325</v>
      </c>
      <c r="HQ34" s="7">
        <f t="shared" si="78"/>
        <v>5272223.2403750559</v>
      </c>
      <c r="HR34" s="7">
        <f t="shared" si="78"/>
        <v>5324945.4727788065</v>
      </c>
      <c r="HS34" s="7">
        <f t="shared" si="78"/>
        <v>5378194.9275065949</v>
      </c>
      <c r="HT34" s="7">
        <f t="shared" si="78"/>
        <v>5431976.8767816611</v>
      </c>
      <c r="HU34" s="7">
        <f t="shared" si="78"/>
        <v>5486296.645549478</v>
      </c>
      <c r="HV34" s="7">
        <f t="shared" si="78"/>
        <v>5541159.612004973</v>
      </c>
      <c r="HW34" s="7">
        <f t="shared" si="78"/>
        <v>5596571.2081250232</v>
      </c>
      <c r="HX34" s="7">
        <f t="shared" si="78"/>
        <v>5652536.9202062739</v>
      </c>
      <c r="HY34" s="7">
        <f t="shared" si="78"/>
        <v>5709062.2894083364</v>
      </c>
      <c r="HZ34" s="7">
        <f t="shared" si="78"/>
        <v>5766152.9123024195</v>
      </c>
      <c r="IA34" s="7">
        <f t="shared" si="78"/>
        <v>5823814.4414254436</v>
      </c>
      <c r="IB34" s="7">
        <f t="shared" si="78"/>
        <v>5882052.5858396981</v>
      </c>
      <c r="IC34" s="7">
        <f t="shared" si="78"/>
        <v>5940873.1116980948</v>
      </c>
      <c r="ID34" s="7">
        <f t="shared" si="78"/>
        <v>6000281.842815076</v>
      </c>
      <c r="IE34" s="7">
        <f t="shared" si="78"/>
        <v>6060284.6612432264</v>
      </c>
      <c r="IF34" s="7">
        <f t="shared" si="78"/>
        <v>6120887.5078556584</v>
      </c>
      <c r="IG34" s="7">
        <f t="shared" ref="IG34:IL34" si="79">+IF34*(1+$AV$42)</f>
        <v>6182096.3829342155</v>
      </c>
      <c r="IH34" s="7">
        <f t="shared" si="79"/>
        <v>6243917.3467635578</v>
      </c>
      <c r="II34" s="7">
        <f t="shared" si="79"/>
        <v>6306356.5202311929</v>
      </c>
      <c r="IJ34" s="7">
        <f t="shared" si="79"/>
        <v>6369420.0854335045</v>
      </c>
      <c r="IK34" s="7">
        <f t="shared" si="79"/>
        <v>6433114.2862878395</v>
      </c>
    </row>
    <row r="35" spans="1:245">
      <c r="B35" s="2" t="s">
        <v>1</v>
      </c>
      <c r="C35" s="4">
        <v>69852</v>
      </c>
      <c r="D35" s="4">
        <v>69361</v>
      </c>
      <c r="E35" s="4">
        <v>69898</v>
      </c>
      <c r="F35" s="4">
        <f>+F34/F36</f>
        <v>69058.300325463249</v>
      </c>
      <c r="G35" s="4">
        <v>70137</v>
      </c>
      <c r="H35" s="4">
        <v>70161</v>
      </c>
      <c r="I35" s="4">
        <v>70146</v>
      </c>
      <c r="J35" s="4">
        <f>+J34/J36</f>
        <v>69914.474855571039</v>
      </c>
      <c r="K35" s="4">
        <v>69373</v>
      </c>
      <c r="L35" s="4">
        <v>67890</v>
      </c>
      <c r="M35" s="4">
        <v>67159</v>
      </c>
      <c r="N35" s="4">
        <f>+M35</f>
        <v>67159</v>
      </c>
      <c r="O35" s="4">
        <v>67293</v>
      </c>
      <c r="P35" s="4">
        <v>67229</v>
      </c>
      <c r="Q35" s="4">
        <v>67014</v>
      </c>
      <c r="R35" s="4">
        <f>+R34/R36</f>
        <v>72996.361259589714</v>
      </c>
      <c r="S35" s="4">
        <v>67293</v>
      </c>
      <c r="AE35" s="4">
        <v>70916</v>
      </c>
      <c r="AF35" s="4">
        <v>69893</v>
      </c>
      <c r="AG35" s="4">
        <v>70098</v>
      </c>
      <c r="AH35" s="4">
        <v>67920</v>
      </c>
      <c r="AI35" s="4">
        <v>67149</v>
      </c>
      <c r="AJ35" s="4">
        <f t="shared" ref="AJ35:AS35" si="80">+AI35</f>
        <v>67149</v>
      </c>
      <c r="AK35" s="4">
        <f t="shared" si="80"/>
        <v>67149</v>
      </c>
      <c r="AL35" s="4">
        <f t="shared" si="80"/>
        <v>67149</v>
      </c>
      <c r="AM35" s="4">
        <f t="shared" si="80"/>
        <v>67149</v>
      </c>
      <c r="AN35" s="4">
        <f t="shared" si="80"/>
        <v>67149</v>
      </c>
      <c r="AO35" s="4">
        <f t="shared" si="80"/>
        <v>67149</v>
      </c>
      <c r="AP35" s="4">
        <f t="shared" si="80"/>
        <v>67149</v>
      </c>
      <c r="AQ35" s="4">
        <f t="shared" si="80"/>
        <v>67149</v>
      </c>
      <c r="AR35" s="4">
        <f t="shared" si="80"/>
        <v>67149</v>
      </c>
      <c r="AS35" s="4">
        <f t="shared" si="80"/>
        <v>67149</v>
      </c>
    </row>
    <row r="36" spans="1:245" s="23" customFormat="1">
      <c r="A36" s="22"/>
      <c r="B36" s="22" t="s">
        <v>41</v>
      </c>
      <c r="C36" s="23">
        <f>+C34/C35</f>
        <v>0.23798889079768654</v>
      </c>
      <c r="D36" s="23">
        <f>+D34/D35</f>
        <v>-0.49008808984876229</v>
      </c>
      <c r="E36" s="23">
        <f>+E34/E35</f>
        <v>0.4284242753726859</v>
      </c>
      <c r="F36" s="23">
        <f>+AF36-SUM(C36:E36)</f>
        <v>0.303236539290826</v>
      </c>
      <c r="G36" s="23">
        <f>+G34/G35</f>
        <v>0.92182442933116615</v>
      </c>
      <c r="H36" s="23">
        <f>+H34/H35</f>
        <v>1.0760536480380838</v>
      </c>
      <c r="I36" s="23">
        <f>+I34/I35</f>
        <v>0.75036352749978619</v>
      </c>
      <c r="J36" s="23">
        <f>+AG36-SUM(G36:I36)</f>
        <v>0.76153042856986408</v>
      </c>
      <c r="K36" s="23">
        <f t="shared" ref="K36:Q36" si="81">+K34/K35</f>
        <v>1.0747120637712078</v>
      </c>
      <c r="L36" s="23">
        <f t="shared" si="81"/>
        <v>1.0727647665340994</v>
      </c>
      <c r="M36" s="23">
        <f t="shared" si="81"/>
        <v>0.93956133950773535</v>
      </c>
      <c r="N36" s="23">
        <f t="shared" si="81"/>
        <v>0.90727973912655047</v>
      </c>
      <c r="O36" s="23">
        <f t="shared" si="81"/>
        <v>1.2845615442913825</v>
      </c>
      <c r="P36" s="23">
        <f t="shared" si="81"/>
        <v>1.2249029436701424</v>
      </c>
      <c r="Q36" s="23">
        <f t="shared" si="81"/>
        <v>0.95183096069478024</v>
      </c>
      <c r="R36" s="23">
        <f>+AI36-SUM(O36:Q36)</f>
        <v>0.99421394091018156</v>
      </c>
      <c r="S36" s="23">
        <f t="shared" ref="S36" si="82">+S34/S35</f>
        <v>1.6852718707740775</v>
      </c>
      <c r="AE36" s="23">
        <f t="shared" ref="AE36:AJ36" si="83">+AE34/AE35</f>
        <v>2.4473038524451463</v>
      </c>
      <c r="AF36" s="23">
        <f t="shared" si="83"/>
        <v>0.47956161561243615</v>
      </c>
      <c r="AG36" s="23">
        <f t="shared" si="83"/>
        <v>3.5097720334389</v>
      </c>
      <c r="AH36" s="23">
        <f t="shared" si="83"/>
        <v>3.9961425206124854</v>
      </c>
      <c r="AI36" s="23">
        <f t="shared" si="83"/>
        <v>4.4555093895664868</v>
      </c>
      <c r="AJ36" s="23">
        <f t="shared" si="83"/>
        <v>11.417753058643147</v>
      </c>
      <c r="AK36" s="23">
        <f t="shared" ref="AK36:AQ36" si="84">+AK34/AK35</f>
        <v>9.3224788728062826</v>
      </c>
      <c r="AL36" s="23">
        <f t="shared" si="84"/>
        <v>7.7368146946095351</v>
      </c>
      <c r="AM36" s="23">
        <f t="shared" si="84"/>
        <v>8.4255108274610926</v>
      </c>
      <c r="AN36" s="23">
        <f t="shared" si="84"/>
        <v>9.1385983701515006</v>
      </c>
      <c r="AO36" s="23">
        <f t="shared" si="84"/>
        <v>9.8767770358802949</v>
      </c>
      <c r="AP36" s="23">
        <f t="shared" si="84"/>
        <v>10.640764746573911</v>
      </c>
      <c r="AQ36" s="23">
        <f t="shared" si="84"/>
        <v>11.431298080187871</v>
      </c>
      <c r="AR36" s="23">
        <f t="shared" ref="AR36:AS36" si="85">+AR34/AR35</f>
        <v>12.249132728558978</v>
      </c>
      <c r="AS36" s="23">
        <f t="shared" si="85"/>
        <v>13.095043966048609</v>
      </c>
    </row>
    <row r="38" spans="1:245">
      <c r="B38" s="2" t="s">
        <v>134</v>
      </c>
      <c r="C38" s="4">
        <f t="shared" ref="C38:S38" si="86">+C27+C24</f>
        <v>45439</v>
      </c>
      <c r="D38" s="4">
        <f t="shared" si="86"/>
        <v>-18742</v>
      </c>
      <c r="E38" s="4">
        <f t="shared" si="86"/>
        <v>65056</v>
      </c>
      <c r="F38" s="4">
        <f t="shared" si="86"/>
        <v>52231</v>
      </c>
      <c r="G38" s="4">
        <f t="shared" si="86"/>
        <v>112300</v>
      </c>
      <c r="H38" s="4">
        <f t="shared" si="86"/>
        <v>121395</v>
      </c>
      <c r="I38" s="4">
        <f t="shared" si="86"/>
        <v>93354</v>
      </c>
      <c r="J38" s="4">
        <f t="shared" si="86"/>
        <v>97638</v>
      </c>
      <c r="K38" s="4">
        <f t="shared" si="86"/>
        <v>123112</v>
      </c>
      <c r="L38" s="4">
        <f t="shared" si="86"/>
        <v>120749</v>
      </c>
      <c r="M38" s="4">
        <f t="shared" si="86"/>
        <v>109795</v>
      </c>
      <c r="N38" s="4">
        <f t="shared" si="86"/>
        <v>105378</v>
      </c>
      <c r="O38" s="4">
        <f t="shared" si="86"/>
        <v>137227</v>
      </c>
      <c r="P38" s="4">
        <f t="shared" si="86"/>
        <v>132903</v>
      </c>
      <c r="Q38" s="4">
        <f t="shared" si="86"/>
        <v>112981</v>
      </c>
      <c r="R38" s="4">
        <f t="shared" si="86"/>
        <v>124355</v>
      </c>
      <c r="S38" s="4">
        <f t="shared" si="86"/>
        <v>174822</v>
      </c>
      <c r="AE38" s="4">
        <f t="shared" ref="AE38:AR38" si="87">+AE27+AE24</f>
        <v>326668</v>
      </c>
      <c r="AF38" s="4">
        <f t="shared" si="87"/>
        <v>143984</v>
      </c>
      <c r="AG38" s="4">
        <f t="shared" si="87"/>
        <v>424687</v>
      </c>
      <c r="AH38" s="4">
        <f t="shared" si="87"/>
        <v>459034</v>
      </c>
      <c r="AI38" s="4">
        <f t="shared" si="87"/>
        <v>507466</v>
      </c>
      <c r="AJ38" s="4">
        <f t="shared" si="87"/>
        <v>1080975.4098245616</v>
      </c>
      <c r="AK38" s="4">
        <f t="shared" si="87"/>
        <v>935823.08126506908</v>
      </c>
      <c r="AL38" s="4">
        <f t="shared" si="87"/>
        <v>830950.6685063506</v>
      </c>
      <c r="AM38" s="4">
        <f t="shared" si="87"/>
        <v>903645.33328045451</v>
      </c>
      <c r="AN38" s="4">
        <f t="shared" si="87"/>
        <v>978915.40437811823</v>
      </c>
      <c r="AO38" s="4">
        <f t="shared" si="87"/>
        <v>1056834.8201863777</v>
      </c>
      <c r="AP38" s="4">
        <f t="shared" si="87"/>
        <v>1137479.4464652129</v>
      </c>
      <c r="AQ38" s="4">
        <f t="shared" si="87"/>
        <v>1220927.1238671287</v>
      </c>
      <c r="AR38" s="4">
        <f t="shared" si="87"/>
        <v>1307257.7165865353</v>
      </c>
      <c r="AS38" s="4">
        <f t="shared" ref="AS38" si="88">+AS27+AS24</f>
        <v>1396553.1621651724</v>
      </c>
    </row>
    <row r="41" spans="1:245">
      <c r="B41" s="6" t="s">
        <v>40</v>
      </c>
      <c r="AU41" s="2" t="s">
        <v>164</v>
      </c>
      <c r="AV41" s="10">
        <v>0.01</v>
      </c>
    </row>
    <row r="42" spans="1:245" s="10" customFormat="1">
      <c r="A42" s="9"/>
      <c r="B42" s="9" t="s">
        <v>37</v>
      </c>
      <c r="G42" s="10">
        <f t="shared" ref="G42:G51" si="89">+G16/C16-1</f>
        <v>0.22744145540790517</v>
      </c>
      <c r="H42" s="10">
        <f t="shared" ref="H42:H51" si="90">+H16/D16-1</f>
        <v>0.8864148470692681</v>
      </c>
      <c r="I42" s="10">
        <f t="shared" ref="I42:I51" si="91">+I16/E16-1</f>
        <v>0.37726222764271777</v>
      </c>
      <c r="J42" s="10">
        <f t="shared" ref="J42:J51" si="92">+J16/F16-1</f>
        <v>0.40443453095578108</v>
      </c>
      <c r="K42" s="10">
        <f t="shared" ref="K42:K51" si="93">+K16/G16-1</f>
        <v>0.23404656803237556</v>
      </c>
      <c r="L42" s="10">
        <f t="shared" ref="L42:L51" si="94">+L16/H16-1</f>
        <v>0.14075168862135889</v>
      </c>
      <c r="M42" s="10">
        <f t="shared" ref="M42:M51" si="95">+M16/I16-1</f>
        <v>0.14400578610199632</v>
      </c>
      <c r="N42" s="10">
        <f t="shared" ref="N42:N51" si="96">+N16/J16-1</f>
        <v>0.12790140509216563</v>
      </c>
      <c r="O42" s="10">
        <f t="shared" ref="O42:O51" si="97">+O16/K16-1</f>
        <v>0.19023070994890778</v>
      </c>
      <c r="P42" s="10">
        <f t="shared" ref="P42:P51" si="98">+P16/L16-1</f>
        <v>0.14373262007922927</v>
      </c>
      <c r="Q42" s="10">
        <f t="shared" ref="Q42:S51" si="99">+Q16/M16-1</f>
        <v>0.12991401207093412</v>
      </c>
      <c r="R42" s="10">
        <f t="shared" si="99"/>
        <v>0.1541730199458895</v>
      </c>
      <c r="S42" s="10">
        <f t="shared" si="99"/>
        <v>0.12553197502875602</v>
      </c>
      <c r="AF42" s="10">
        <f t="shared" ref="AF42:AR42" si="100">+AF16/AE16-1</f>
        <v>-0.12947223241216643</v>
      </c>
      <c r="AG42" s="10">
        <f t="shared" si="100"/>
        <v>0.44492447410423686</v>
      </c>
      <c r="AH42" s="10">
        <f t="shared" si="100"/>
        <v>0.15981008241509009</v>
      </c>
      <c r="AI42" s="10">
        <f t="shared" si="100"/>
        <v>0.15437334269957992</v>
      </c>
      <c r="AJ42" s="10">
        <f t="shared" si="100"/>
        <v>0.18758434547908243</v>
      </c>
      <c r="AK42" s="10">
        <f t="shared" si="100"/>
        <v>9.7775000000000167E-2</v>
      </c>
      <c r="AL42" s="10">
        <f t="shared" si="100"/>
        <v>9.2264808362369388E-2</v>
      </c>
      <c r="AM42" s="10">
        <f t="shared" si="100"/>
        <v>8.748373101952267E-2</v>
      </c>
      <c r="AN42" s="10">
        <f t="shared" si="100"/>
        <v>8.3296032553408006E-2</v>
      </c>
      <c r="AO42" s="10">
        <f t="shared" si="100"/>
        <v>7.9597701149425104E-2</v>
      </c>
      <c r="AP42" s="10">
        <f t="shared" si="100"/>
        <v>7.6307692307692188E-2</v>
      </c>
      <c r="AQ42" s="10">
        <f t="shared" si="100"/>
        <v>7.3361921097770288E-2</v>
      </c>
      <c r="AR42" s="10">
        <f t="shared" si="100"/>
        <v>7.0709046454767721E-2</v>
      </c>
      <c r="AS42" s="10">
        <f t="shared" ref="AS42" si="101">+AS16/AR16-1</f>
        <v>6.8307453416148967E-2</v>
      </c>
      <c r="AU42" s="2" t="s">
        <v>128</v>
      </c>
      <c r="AV42" s="10">
        <v>0.01</v>
      </c>
    </row>
    <row r="43" spans="1:245">
      <c r="B43" s="2" t="s">
        <v>38</v>
      </c>
      <c r="G43" s="10">
        <f t="shared" si="89"/>
        <v>0.16496529195590037</v>
      </c>
      <c r="H43" s="10">
        <f t="shared" si="90"/>
        <v>0.90224887556221889</v>
      </c>
      <c r="I43" s="10">
        <f t="shared" si="91"/>
        <v>0.30067283431454994</v>
      </c>
      <c r="J43" s="10">
        <f t="shared" si="92"/>
        <v>0.31813596933629218</v>
      </c>
      <c r="K43" s="10">
        <f t="shared" si="93"/>
        <v>0.14160532772520162</v>
      </c>
      <c r="L43" s="10">
        <f t="shared" si="94"/>
        <v>3.2313997477931844E-2</v>
      </c>
      <c r="M43" s="10">
        <f t="shared" si="95"/>
        <v>1.8267054639508506E-2</v>
      </c>
      <c r="N43" s="10">
        <f t="shared" si="96"/>
        <v>3.5506580961126355E-2</v>
      </c>
      <c r="O43" s="10">
        <f t="shared" si="97"/>
        <v>3.9760515812097053E-2</v>
      </c>
      <c r="P43" s="10">
        <f t="shared" si="98"/>
        <v>4.1074973278363069E-2</v>
      </c>
      <c r="Q43" s="10">
        <f t="shared" si="99"/>
        <v>3.6354976980473186E-2</v>
      </c>
      <c r="R43" s="10">
        <f t="shared" si="99"/>
        <v>3.4436890334023085E-2</v>
      </c>
      <c r="S43" s="10">
        <f t="shared" si="99"/>
        <v>4.3112357891628594E-2</v>
      </c>
      <c r="AF43" s="10">
        <f t="shared" ref="AF43:AR43" si="102">+AF17/AE17-1</f>
        <v>-0.1837532975529883</v>
      </c>
      <c r="AG43" s="10">
        <f t="shared" si="102"/>
        <v>0.38025186671124489</v>
      </c>
      <c r="AH43" s="10">
        <f t="shared" si="102"/>
        <v>5.4824384335890208E-2</v>
      </c>
      <c r="AI43" s="10">
        <f t="shared" si="102"/>
        <v>3.7890385793019066E-2</v>
      </c>
      <c r="AJ43" s="10">
        <f t="shared" si="102"/>
        <v>0.18758434547908243</v>
      </c>
      <c r="AK43" s="10">
        <f t="shared" si="102"/>
        <v>9.7775000000000389E-2</v>
      </c>
      <c r="AL43" s="10">
        <f t="shared" si="102"/>
        <v>9.2264808362369388E-2</v>
      </c>
      <c r="AM43" s="10">
        <f t="shared" si="102"/>
        <v>8.7483731019522892E-2</v>
      </c>
      <c r="AN43" s="10">
        <f t="shared" si="102"/>
        <v>8.3296032553408006E-2</v>
      </c>
      <c r="AO43" s="10">
        <f t="shared" si="102"/>
        <v>7.9597701149425326E-2</v>
      </c>
      <c r="AP43" s="10">
        <f t="shared" si="102"/>
        <v>7.630769230769241E-2</v>
      </c>
      <c r="AQ43" s="10">
        <f t="shared" si="102"/>
        <v>7.3361921097770066E-2</v>
      </c>
      <c r="AR43" s="10">
        <f t="shared" si="102"/>
        <v>7.0709046454767721E-2</v>
      </c>
      <c r="AS43" s="10">
        <f t="shared" ref="AS43" si="103">+AS17/AR17-1</f>
        <v>6.8307453416148967E-2</v>
      </c>
      <c r="AU43" s="9" t="s">
        <v>129</v>
      </c>
      <c r="AV43" s="11">
        <v>7.4999999999999997E-2</v>
      </c>
    </row>
    <row r="44" spans="1:245" s="7" customFormat="1">
      <c r="A44" s="6"/>
      <c r="B44" s="6" t="s">
        <v>39</v>
      </c>
      <c r="G44" s="10">
        <f t="shared" si="89"/>
        <v>0.22697249449828671</v>
      </c>
      <c r="H44" s="10">
        <f t="shared" si="90"/>
        <v>0.88652568609959603</v>
      </c>
      <c r="I44" s="10">
        <f t="shared" si="91"/>
        <v>0.37668512401276955</v>
      </c>
      <c r="J44" s="10">
        <f t="shared" si="92"/>
        <v>0.40376401474006607</v>
      </c>
      <c r="K44" s="10">
        <f t="shared" si="93"/>
        <v>0.23338774888244118</v>
      </c>
      <c r="L44" s="10">
        <f t="shared" si="94"/>
        <v>0.13998629265188223</v>
      </c>
      <c r="M44" s="10">
        <f t="shared" si="95"/>
        <v>0.14311065282763091</v>
      </c>
      <c r="N44" s="10">
        <f t="shared" si="96"/>
        <v>0.12722731261989351</v>
      </c>
      <c r="O44" s="10">
        <f t="shared" si="97"/>
        <v>0.18923812590760791</v>
      </c>
      <c r="P44" s="10">
        <f t="shared" si="98"/>
        <v>0.14307646061022483</v>
      </c>
      <c r="Q44" s="10">
        <f t="shared" si="99"/>
        <v>0.12932070738086665</v>
      </c>
      <c r="R44" s="10">
        <f t="shared" si="99"/>
        <v>0.15337053219867869</v>
      </c>
      <c r="S44" s="10">
        <f t="shared" si="99"/>
        <v>0.12505662678097607</v>
      </c>
      <c r="AF44" s="12">
        <f t="shared" ref="AF44:AR44" si="104">+AF18/AE18-1</f>
        <v>-0.12990523419696154</v>
      </c>
      <c r="AG44" s="12">
        <f t="shared" si="104"/>
        <v>0.44444050617920761</v>
      </c>
      <c r="AH44" s="12">
        <f t="shared" si="104"/>
        <v>0.15905935023236495</v>
      </c>
      <c r="AI44" s="12">
        <f t="shared" si="104"/>
        <v>0.15361530332243323</v>
      </c>
      <c r="AJ44" s="12">
        <f t="shared" si="104"/>
        <v>0.18758434547908243</v>
      </c>
      <c r="AK44" s="12">
        <f t="shared" si="104"/>
        <v>9.7775000000000167E-2</v>
      </c>
      <c r="AL44" s="12">
        <f t="shared" si="104"/>
        <v>9.2264808362369388E-2</v>
      </c>
      <c r="AM44" s="12">
        <f t="shared" si="104"/>
        <v>8.748373101952267E-2</v>
      </c>
      <c r="AN44" s="12">
        <f t="shared" si="104"/>
        <v>8.3296032553408006E-2</v>
      </c>
      <c r="AO44" s="12">
        <f t="shared" si="104"/>
        <v>7.9597701149425326E-2</v>
      </c>
      <c r="AP44" s="12">
        <f t="shared" si="104"/>
        <v>7.6307692307692188E-2</v>
      </c>
      <c r="AQ44" s="12">
        <f t="shared" si="104"/>
        <v>7.3361921097770288E-2</v>
      </c>
      <c r="AR44" s="12">
        <f t="shared" si="104"/>
        <v>7.0709046454767721E-2</v>
      </c>
      <c r="AS44" s="12">
        <f t="shared" ref="AS44" si="105">+AS18/AR18-1</f>
        <v>6.8307453416148967E-2</v>
      </c>
      <c r="AU44" s="2" t="s">
        <v>130</v>
      </c>
      <c r="AV44" s="4">
        <f>NPV(AV43,AJ34:IK34)+(O!H7*1000)-(O!H10*1000)</f>
        <v>11366773.71362176</v>
      </c>
    </row>
    <row r="45" spans="1:245">
      <c r="B45" s="2" t="s">
        <v>22</v>
      </c>
      <c r="G45" s="10">
        <f t="shared" si="89"/>
        <v>0.19650775525739839</v>
      </c>
      <c r="H45" s="10">
        <f t="shared" si="90"/>
        <v>0.80140330770965784</v>
      </c>
      <c r="I45" s="10">
        <f t="shared" si="91"/>
        <v>0.48113338764480296</v>
      </c>
      <c r="J45" s="10">
        <f t="shared" si="92"/>
        <v>0.51853820014918317</v>
      </c>
      <c r="K45" s="10">
        <f t="shared" si="93"/>
        <v>0.34163081254324368</v>
      </c>
      <c r="L45" s="10">
        <f t="shared" si="94"/>
        <v>0.17440373057555902</v>
      </c>
      <c r="M45" s="10">
        <f t="shared" si="95"/>
        <v>0.14712708442333744</v>
      </c>
      <c r="N45" s="10">
        <f t="shared" si="96"/>
        <v>0.12920655712441964</v>
      </c>
      <c r="O45" s="10">
        <f t="shared" si="97"/>
        <v>0.21729658917118155</v>
      </c>
      <c r="P45" s="10">
        <f t="shared" si="98"/>
        <v>0.15607089652231299</v>
      </c>
      <c r="Q45" s="10">
        <f t="shared" si="99"/>
        <v>0.12908733685737017</v>
      </c>
      <c r="R45" s="10">
        <f t="shared" si="99"/>
        <v>0.12518373833954555</v>
      </c>
      <c r="S45" s="10">
        <f t="shared" si="99"/>
        <v>8.3708495754922563E-2</v>
      </c>
      <c r="AF45" s="10">
        <f t="shared" ref="AF45:AH45" si="106">+AF19/AE19-1</f>
        <v>-0.11627348852162833</v>
      </c>
      <c r="AG45" s="10">
        <f t="shared" si="106"/>
        <v>0.48162931725775837</v>
      </c>
      <c r="AH45" s="10">
        <f t="shared" si="106"/>
        <v>0.19156029423461995</v>
      </c>
      <c r="AI45" s="10">
        <f t="shared" ref="AI45:AS45" si="107">+AI19/AH19-1</f>
        <v>0.1564803742874723</v>
      </c>
      <c r="AJ45" s="10">
        <f t="shared" si="107"/>
        <v>3.0000000000000027E-2</v>
      </c>
      <c r="AK45" s="10">
        <f t="shared" si="107"/>
        <v>0.25057371842938148</v>
      </c>
      <c r="AL45" s="10">
        <f t="shared" si="107"/>
        <v>9.2264808362369388E-2</v>
      </c>
      <c r="AM45" s="10">
        <f t="shared" si="107"/>
        <v>8.748373101952267E-2</v>
      </c>
      <c r="AN45" s="10">
        <f t="shared" si="107"/>
        <v>8.3296032553408228E-2</v>
      </c>
      <c r="AO45" s="10">
        <f t="shared" si="107"/>
        <v>7.9597701149425326E-2</v>
      </c>
      <c r="AP45" s="10">
        <f t="shared" si="107"/>
        <v>7.6307692307692188E-2</v>
      </c>
      <c r="AQ45" s="10">
        <f t="shared" si="107"/>
        <v>7.3361921097770288E-2</v>
      </c>
      <c r="AR45" s="10">
        <f t="shared" si="107"/>
        <v>7.0709046454767721E-2</v>
      </c>
      <c r="AS45" s="10">
        <f t="shared" si="107"/>
        <v>6.8307453416148967E-2</v>
      </c>
      <c r="AU45" s="2" t="s">
        <v>1</v>
      </c>
      <c r="AV45" s="4">
        <f>+O!H7*1000</f>
        <v>66828.112999999998</v>
      </c>
    </row>
    <row r="46" spans="1:245">
      <c r="B46" s="2" t="s">
        <v>23</v>
      </c>
      <c r="G46" s="10">
        <f t="shared" si="89"/>
        <v>7.0337939015841178E-2</v>
      </c>
      <c r="H46" s="10">
        <f t="shared" si="90"/>
        <v>0.48054690631069463</v>
      </c>
      <c r="I46" s="10">
        <f t="shared" si="91"/>
        <v>0.31903348291335876</v>
      </c>
      <c r="J46" s="10">
        <f t="shared" si="92"/>
        <v>0.30270481354471523</v>
      </c>
      <c r="K46" s="10">
        <f t="shared" si="93"/>
        <v>0.2473879613697314</v>
      </c>
      <c r="L46" s="10">
        <f t="shared" si="94"/>
        <v>0.15580589074326645</v>
      </c>
      <c r="M46" s="10">
        <f t="shared" si="95"/>
        <v>0.15222283865970199</v>
      </c>
      <c r="N46" s="10">
        <f t="shared" si="96"/>
        <v>0.15367281472778194</v>
      </c>
      <c r="O46" s="10">
        <f t="shared" si="97"/>
        <v>0.19867586703990114</v>
      </c>
      <c r="P46" s="10">
        <f t="shared" si="98"/>
        <v>0.17503798319731456</v>
      </c>
      <c r="Q46" s="10">
        <f t="shared" si="99"/>
        <v>0.14715991508665471</v>
      </c>
      <c r="R46" s="10">
        <f t="shared" si="99"/>
        <v>0.14433423827827507</v>
      </c>
      <c r="S46" s="10">
        <f t="shared" si="99"/>
        <v>0.1081543418027624</v>
      </c>
      <c r="AF46" s="10">
        <f t="shared" ref="AF46:AH46" si="108">+AF20/AE20-1</f>
        <v>-3.2961062881095016E-2</v>
      </c>
      <c r="AG46" s="10">
        <f t="shared" si="108"/>
        <v>0.28231235812387823</v>
      </c>
      <c r="AH46" s="10">
        <f t="shared" si="108"/>
        <v>0.17538332488871355</v>
      </c>
      <c r="AI46" s="10">
        <f t="shared" ref="AI46:AS46" si="109">+AI20/AH20-1</f>
        <v>0.16603924818876958</v>
      </c>
      <c r="AJ46" s="10">
        <f t="shared" si="109"/>
        <v>4.0000000000000036E-2</v>
      </c>
      <c r="AK46" s="10">
        <f t="shared" si="109"/>
        <v>9.7775000000000167E-2</v>
      </c>
      <c r="AL46" s="10">
        <f t="shared" si="109"/>
        <v>0.20108358262391635</v>
      </c>
      <c r="AM46" s="10">
        <f t="shared" si="109"/>
        <v>8.7483731019522448E-2</v>
      </c>
      <c r="AN46" s="10">
        <f t="shared" si="109"/>
        <v>8.3296032553408228E-2</v>
      </c>
      <c r="AO46" s="10">
        <f t="shared" si="109"/>
        <v>7.9597701149425326E-2</v>
      </c>
      <c r="AP46" s="10">
        <f t="shared" si="109"/>
        <v>7.630769230769241E-2</v>
      </c>
      <c r="AQ46" s="10">
        <f t="shared" si="109"/>
        <v>7.3361921097770066E-2</v>
      </c>
      <c r="AR46" s="10">
        <f t="shared" si="109"/>
        <v>7.0709046454767721E-2</v>
      </c>
      <c r="AS46" s="10">
        <f t="shared" si="109"/>
        <v>6.8307453416148967E-2</v>
      </c>
      <c r="AU46" s="2" t="s">
        <v>131</v>
      </c>
      <c r="AV46" s="4">
        <f>+AV44/AV45</f>
        <v>170.08970032749181</v>
      </c>
    </row>
    <row r="47" spans="1:245">
      <c r="B47" s="2" t="s">
        <v>24</v>
      </c>
      <c r="G47" s="10">
        <f t="shared" si="89"/>
        <v>7.2823101477247354E-2</v>
      </c>
      <c r="H47" s="10">
        <f t="shared" si="90"/>
        <v>0.12866953437476414</v>
      </c>
      <c r="I47" s="10">
        <f t="shared" si="91"/>
        <v>9.954091670917431E-2</v>
      </c>
      <c r="J47" s="10">
        <f t="shared" si="92"/>
        <v>0.11120664946976211</v>
      </c>
      <c r="K47" s="10">
        <f t="shared" si="93"/>
        <v>0.13257680597841137</v>
      </c>
      <c r="L47" s="10">
        <f t="shared" si="94"/>
        <v>0.11754479807435136</v>
      </c>
      <c r="M47" s="10">
        <f t="shared" si="95"/>
        <v>0.10696533898866734</v>
      </c>
      <c r="N47" s="10">
        <f t="shared" si="96"/>
        <v>9.9368068093887096E-2</v>
      </c>
      <c r="O47" s="10">
        <f t="shared" si="97"/>
        <v>8.9198435972629442E-2</v>
      </c>
      <c r="P47" s="10">
        <f t="shared" si="98"/>
        <v>7.6702165848988813E-2</v>
      </c>
      <c r="Q47" s="10">
        <f t="shared" si="99"/>
        <v>8.8247620187990261E-2</v>
      </c>
      <c r="R47" s="10">
        <f t="shared" si="99"/>
        <v>0.10065106457856765</v>
      </c>
      <c r="S47" s="10">
        <f t="shared" si="99"/>
        <v>8.9578191608705504E-2</v>
      </c>
      <c r="AF47" s="10">
        <f t="shared" ref="AF47:AH47" si="110">+AF21/AE21-1</f>
        <v>3.5598027831185375E-2</v>
      </c>
      <c r="AG47" s="10">
        <f t="shared" si="110"/>
        <v>0.10301281226448045</v>
      </c>
      <c r="AH47" s="10">
        <f t="shared" si="110"/>
        <v>0.11380718273477219</v>
      </c>
      <c r="AI47" s="10">
        <f t="shared" ref="AI47:AS47" si="111">+AI21/AH21-1</f>
        <v>8.8757219379357766E-2</v>
      </c>
      <c r="AJ47" s="10">
        <f t="shared" si="111"/>
        <v>0.18758434547908243</v>
      </c>
      <c r="AK47" s="10">
        <f t="shared" si="111"/>
        <v>9.7775000000000167E-2</v>
      </c>
      <c r="AL47" s="10">
        <f t="shared" si="111"/>
        <v>9.2264808362369388E-2</v>
      </c>
      <c r="AM47" s="10">
        <f t="shared" si="111"/>
        <v>8.7483731019522892E-2</v>
      </c>
      <c r="AN47" s="10">
        <f t="shared" si="111"/>
        <v>8.3296032553408006E-2</v>
      </c>
      <c r="AO47" s="10">
        <f t="shared" si="111"/>
        <v>7.9597701149425326E-2</v>
      </c>
      <c r="AP47" s="10">
        <f t="shared" si="111"/>
        <v>7.6307692307692188E-2</v>
      </c>
      <c r="AQ47" s="10">
        <f t="shared" si="111"/>
        <v>7.3361921097770288E-2</v>
      </c>
      <c r="AR47" s="10">
        <f t="shared" si="111"/>
        <v>7.0709046454767721E-2</v>
      </c>
      <c r="AS47" s="10">
        <f t="shared" si="111"/>
        <v>6.8307453416148967E-2</v>
      </c>
      <c r="AU47" s="2" t="s">
        <v>132</v>
      </c>
      <c r="AV47" s="4">
        <f>+O!H6</f>
        <v>169.64</v>
      </c>
    </row>
    <row r="48" spans="1:245">
      <c r="B48" s="2" t="s">
        <v>25</v>
      </c>
      <c r="G48" s="10">
        <f t="shared" si="89"/>
        <v>0.18304902722242988</v>
      </c>
      <c r="H48" s="10">
        <f t="shared" si="90"/>
        <v>0.51772843264538659</v>
      </c>
      <c r="I48" s="10">
        <f t="shared" si="91"/>
        <v>0.2407407407407407</v>
      </c>
      <c r="J48" s="10">
        <f t="shared" si="92"/>
        <v>0.22353446424736956</v>
      </c>
      <c r="K48" s="10">
        <f t="shared" si="93"/>
        <v>0.16838359850541829</v>
      </c>
      <c r="L48" s="10">
        <f t="shared" si="94"/>
        <v>0.12475849151217488</v>
      </c>
      <c r="M48" s="10">
        <f t="shared" si="95"/>
        <v>0.14296895178016578</v>
      </c>
      <c r="N48" s="10">
        <f t="shared" si="96"/>
        <v>0.17196728066293288</v>
      </c>
      <c r="O48" s="10">
        <f t="shared" si="97"/>
        <v>0.16215297529031458</v>
      </c>
      <c r="P48" s="10">
        <f t="shared" si="98"/>
        <v>0.1217382182476201</v>
      </c>
      <c r="Q48" s="10">
        <f t="shared" si="99"/>
        <v>0.15878961351995402</v>
      </c>
      <c r="R48" s="10">
        <f t="shared" si="99"/>
        <v>0.19148908464688685</v>
      </c>
      <c r="S48" s="10">
        <f t="shared" si="99"/>
        <v>0.15587152075163102</v>
      </c>
      <c r="AF48" s="10">
        <f t="shared" ref="AF48:AH48" si="112">+AF22/AE22-1</f>
        <v>-3.5182388253737651E-2</v>
      </c>
      <c r="AG48" s="10">
        <f t="shared" si="112"/>
        <v>0.28257283405081668</v>
      </c>
      <c r="AH48" s="10">
        <f t="shared" si="112"/>
        <v>0.1515947996168463</v>
      </c>
      <c r="AI48" s="10">
        <f t="shared" ref="AI48:AS48" si="113">+AI22/AH22-1</f>
        <v>0.15854805846001629</v>
      </c>
      <c r="AJ48" s="10">
        <f t="shared" si="113"/>
        <v>0.18758434547908243</v>
      </c>
      <c r="AK48" s="10">
        <f t="shared" si="113"/>
        <v>9.7775000000000167E-2</v>
      </c>
      <c r="AL48" s="10">
        <f t="shared" si="113"/>
        <v>9.2264808362369388E-2</v>
      </c>
      <c r="AM48" s="10">
        <f t="shared" si="113"/>
        <v>8.748373101952267E-2</v>
      </c>
      <c r="AN48" s="10">
        <f t="shared" si="113"/>
        <v>8.3296032553408006E-2</v>
      </c>
      <c r="AO48" s="10">
        <f t="shared" si="113"/>
        <v>7.9597701149425104E-2</v>
      </c>
      <c r="AP48" s="10">
        <f t="shared" si="113"/>
        <v>7.630769230769241E-2</v>
      </c>
      <c r="AQ48" s="10">
        <f t="shared" si="113"/>
        <v>7.3361921097770288E-2</v>
      </c>
      <c r="AR48" s="10">
        <f t="shared" si="113"/>
        <v>7.0709046454767721E-2</v>
      </c>
      <c r="AS48" s="10">
        <f t="shared" si="113"/>
        <v>6.8307453416148967E-2</v>
      </c>
      <c r="AU48" s="6" t="s">
        <v>133</v>
      </c>
      <c r="AV48" s="12">
        <f>+AV46/AV47-1</f>
        <v>2.6509097352735989E-3</v>
      </c>
    </row>
    <row r="49" spans="1:45">
      <c r="B49" s="2" t="s">
        <v>26</v>
      </c>
      <c r="G49" s="10">
        <f t="shared" si="89"/>
        <v>-0.16510172143974966</v>
      </c>
      <c r="H49" s="10">
        <f t="shared" si="90"/>
        <v>0.47296037296037285</v>
      </c>
      <c r="I49" s="10">
        <f t="shared" si="91"/>
        <v>0.37719656722517358</v>
      </c>
      <c r="J49" s="10">
        <f t="shared" si="92"/>
        <v>0.20765121488885052</v>
      </c>
      <c r="K49" s="10">
        <f t="shared" si="93"/>
        <v>5.3889409559513268E-3</v>
      </c>
      <c r="L49" s="10">
        <f t="shared" si="94"/>
        <v>-0.15761987656274723</v>
      </c>
      <c r="M49" s="10">
        <f t="shared" si="95"/>
        <v>-0.15415430267062313</v>
      </c>
      <c r="N49" s="10">
        <f t="shared" si="96"/>
        <v>-6.2785388127853836E-2</v>
      </c>
      <c r="O49" s="10">
        <f t="shared" si="97"/>
        <v>0.25308785830808667</v>
      </c>
      <c r="P49" s="10">
        <f t="shared" si="98"/>
        <v>6.5376667292879942E-2</v>
      </c>
      <c r="Q49" s="10">
        <f t="shared" si="99"/>
        <v>0.51955797228556388</v>
      </c>
      <c r="R49" s="10">
        <f t="shared" si="99"/>
        <v>0.44990864799025587</v>
      </c>
      <c r="S49" s="10">
        <f t="shared" si="99"/>
        <v>0.50548633066765847</v>
      </c>
      <c r="AF49" s="10">
        <f t="shared" ref="AF49:AH49" si="114">+AF23/AE23-1</f>
        <v>-2.8279420519944365E-3</v>
      </c>
      <c r="AG49" s="10">
        <f t="shared" si="114"/>
        <v>0.21075675406736649</v>
      </c>
      <c r="AH49" s="10">
        <f t="shared" si="114"/>
        <v>-0.10076022190260936</v>
      </c>
      <c r="AI49" s="10">
        <f t="shared" ref="AI49:AS49" si="115">+AI23/AH23-1</f>
        <v>0.33592286249600156</v>
      </c>
      <c r="AJ49" s="10">
        <f t="shared" si="115"/>
        <v>0.18758434547908243</v>
      </c>
      <c r="AK49" s="10">
        <f t="shared" si="115"/>
        <v>9.7775000000000167E-2</v>
      </c>
      <c r="AL49" s="10">
        <f t="shared" si="115"/>
        <v>9.2264808362369388E-2</v>
      </c>
      <c r="AM49" s="10">
        <f t="shared" si="115"/>
        <v>8.748373101952267E-2</v>
      </c>
      <c r="AN49" s="10">
        <f t="shared" si="115"/>
        <v>8.3296032553408006E-2</v>
      </c>
      <c r="AO49" s="10">
        <f t="shared" si="115"/>
        <v>7.9597701149425326E-2</v>
      </c>
      <c r="AP49" s="10">
        <f t="shared" si="115"/>
        <v>7.6307692307692188E-2</v>
      </c>
      <c r="AQ49" s="10">
        <f t="shared" si="115"/>
        <v>7.3361921097770288E-2</v>
      </c>
      <c r="AR49" s="10">
        <f t="shared" si="115"/>
        <v>7.0709046454767721E-2</v>
      </c>
      <c r="AS49" s="10">
        <f t="shared" si="115"/>
        <v>6.8307453416148967E-2</v>
      </c>
    </row>
    <row r="50" spans="1:45">
      <c r="B50" s="2" t="s">
        <v>27</v>
      </c>
      <c r="G50" s="10">
        <f t="shared" si="89"/>
        <v>6.2469883664899806E-2</v>
      </c>
      <c r="H50" s="10">
        <f t="shared" si="90"/>
        <v>9.0777502067824756E-2</v>
      </c>
      <c r="I50" s="10">
        <f t="shared" si="91"/>
        <v>7.7067157063070324E-2</v>
      </c>
      <c r="J50" s="10">
        <f t="shared" si="92"/>
        <v>7.1346450744013357E-2</v>
      </c>
      <c r="K50" s="10">
        <f t="shared" si="93"/>
        <v>8.9118533156240964E-2</v>
      </c>
      <c r="L50" s="10">
        <f t="shared" si="94"/>
        <v>8.7519747235387024E-2</v>
      </c>
      <c r="M50" s="10">
        <f t="shared" si="95"/>
        <v>6.6651911341575332E-2</v>
      </c>
      <c r="N50" s="10">
        <f t="shared" si="96"/>
        <v>8.7291123716081609E-2</v>
      </c>
      <c r="O50" s="10">
        <f t="shared" si="97"/>
        <v>7.7543129089827412E-2</v>
      </c>
      <c r="P50" s="10">
        <f t="shared" si="98"/>
        <v>8.6955258570598382E-2</v>
      </c>
      <c r="Q50" s="10">
        <f t="shared" si="99"/>
        <v>0.15974507188380027</v>
      </c>
      <c r="R50" s="10">
        <f t="shared" si="99"/>
        <v>0.14031921493429578</v>
      </c>
      <c r="S50" s="10">
        <f t="shared" si="99"/>
        <v>0.14536119468904407</v>
      </c>
      <c r="AF50" s="10">
        <f t="shared" ref="AF50:AH50" si="116">+AF24/AE24-1</f>
        <v>2.0191442221145106E-2</v>
      </c>
      <c r="AG50" s="10">
        <f t="shared" si="116"/>
        <v>7.5366695793072536E-2</v>
      </c>
      <c r="AH50" s="10">
        <f t="shared" si="116"/>
        <v>8.2643715338313939E-2</v>
      </c>
      <c r="AI50" s="10">
        <f t="shared" ref="AI50:AS50" si="117">+AI24/AH24-1</f>
        <v>0.11633160153602895</v>
      </c>
      <c r="AJ50" s="10">
        <f t="shared" si="117"/>
        <v>0.18758434547908243</v>
      </c>
      <c r="AK50" s="10">
        <f t="shared" si="117"/>
        <v>9.7775000000000167E-2</v>
      </c>
      <c r="AL50" s="10">
        <f t="shared" si="117"/>
        <v>9.2264808362369388E-2</v>
      </c>
      <c r="AM50" s="10">
        <f t="shared" si="117"/>
        <v>8.748373101952267E-2</v>
      </c>
      <c r="AN50" s="10">
        <f t="shared" si="117"/>
        <v>8.3296032553408006E-2</v>
      </c>
      <c r="AO50" s="10">
        <f t="shared" si="117"/>
        <v>7.9597701149425104E-2</v>
      </c>
      <c r="AP50" s="10">
        <f t="shared" si="117"/>
        <v>7.630769230769241E-2</v>
      </c>
      <c r="AQ50" s="10">
        <f t="shared" si="117"/>
        <v>7.3361921097770066E-2</v>
      </c>
      <c r="AR50" s="10">
        <f t="shared" si="117"/>
        <v>7.0709046454767721E-2</v>
      </c>
      <c r="AS50" s="10">
        <f t="shared" si="117"/>
        <v>6.8307453416148967E-2</v>
      </c>
    </row>
    <row r="51" spans="1:45">
      <c r="B51" s="2" t="s">
        <v>28</v>
      </c>
      <c r="G51" s="10">
        <f t="shared" si="89"/>
        <v>0.11403774959033797</v>
      </c>
      <c r="H51" s="10">
        <f t="shared" si="90"/>
        <v>0.24467330744555116</v>
      </c>
      <c r="I51" s="10">
        <f t="shared" si="91"/>
        <v>0.58891757543061929</v>
      </c>
      <c r="J51" s="10">
        <f t="shared" si="92"/>
        <v>0.37730368266468717</v>
      </c>
      <c r="K51" s="10">
        <f t="shared" si="93"/>
        <v>9.7570276748746965E-2</v>
      </c>
      <c r="L51" s="10">
        <f t="shared" si="94"/>
        <v>0.33509671468489732</v>
      </c>
      <c r="M51" s="10">
        <f t="shared" si="95"/>
        <v>3.826938933889501E-2</v>
      </c>
      <c r="N51" s="10">
        <f t="shared" si="96"/>
        <v>-5.3429569048344394E-2</v>
      </c>
      <c r="O51" s="10">
        <f t="shared" si="97"/>
        <v>0.23752916066908214</v>
      </c>
      <c r="P51" s="10">
        <f t="shared" si="98"/>
        <v>3.6311543697803428E-2</v>
      </c>
      <c r="Q51" s="10">
        <f t="shared" si="99"/>
        <v>0.11436045968420072</v>
      </c>
      <c r="R51" s="10">
        <f t="shared" si="99"/>
        <v>0.2331096972247666</v>
      </c>
      <c r="S51" s="10">
        <f t="shared" si="99"/>
        <v>5.4747819111601315E-2</v>
      </c>
      <c r="AF51" s="10">
        <f t="shared" ref="AF51:AH51" si="118">+AF25/AE25-1</f>
        <v>-0.20005489025296375</v>
      </c>
      <c r="AG51" s="10">
        <f t="shared" si="118"/>
        <v>0.31779118515853155</v>
      </c>
      <c r="AH51" s="10">
        <f t="shared" si="118"/>
        <v>9.6723393446786821E-2</v>
      </c>
      <c r="AI51" s="10">
        <f t="shared" ref="AI51:AS51" si="119">+AI25/AH25-1</f>
        <v>0.14862893140025002</v>
      </c>
      <c r="AJ51" s="10">
        <f t="shared" si="119"/>
        <v>0.18758434547908243</v>
      </c>
      <c r="AK51" s="10">
        <f t="shared" si="119"/>
        <v>9.7775000000000167E-2</v>
      </c>
      <c r="AL51" s="10">
        <f t="shared" si="119"/>
        <v>9.2264808362369388E-2</v>
      </c>
      <c r="AM51" s="10">
        <f t="shared" si="119"/>
        <v>8.7483731019522892E-2</v>
      </c>
      <c r="AN51" s="10">
        <f t="shared" si="119"/>
        <v>8.3296032553408006E-2</v>
      </c>
      <c r="AO51" s="10">
        <f t="shared" si="119"/>
        <v>7.9597701149425326E-2</v>
      </c>
      <c r="AP51" s="10">
        <f t="shared" si="119"/>
        <v>7.630769230769241E-2</v>
      </c>
      <c r="AQ51" s="10">
        <f t="shared" si="119"/>
        <v>7.3361921097770066E-2</v>
      </c>
      <c r="AR51" s="10">
        <f t="shared" si="119"/>
        <v>7.0709046454767721E-2</v>
      </c>
      <c r="AS51" s="10">
        <f t="shared" si="119"/>
        <v>6.8307453416148967E-2</v>
      </c>
    </row>
    <row r="52" spans="1:45" s="7" customFormat="1">
      <c r="A52" s="6"/>
      <c r="B52" s="6" t="s">
        <v>42</v>
      </c>
      <c r="C52" s="12">
        <f>+C27/C18</f>
        <v>2.5110187518007001E-2</v>
      </c>
      <c r="D52" s="12">
        <f t="shared" ref="D52:Q52" si="120">+D27/D18</f>
        <v>-0.10024243060292806</v>
      </c>
      <c r="E52" s="12">
        <f t="shared" si="120"/>
        <v>5.654760490189089E-2</v>
      </c>
      <c r="F52" s="12">
        <f t="shared" si="120"/>
        <v>3.4151059030798334E-2</v>
      </c>
      <c r="G52" s="12">
        <f t="shared" si="120"/>
        <v>0.10170878147056876</v>
      </c>
      <c r="H52" s="12">
        <f t="shared" si="120"/>
        <v>9.9851132858916669E-2</v>
      </c>
      <c r="I52" s="12">
        <f t="shared" si="120"/>
        <v>7.1036880439798694E-2</v>
      </c>
      <c r="J52" s="12">
        <f t="shared" si="120"/>
        <v>7.2603859372522575E-2</v>
      </c>
      <c r="K52" s="12">
        <f t="shared" si="120"/>
        <v>9.0626094952232228E-2</v>
      </c>
      <c r="L52" s="12">
        <f t="shared" si="120"/>
        <v>8.4255801742328273E-2</v>
      </c>
      <c r="M52" s="12">
        <f t="shared" si="120"/>
        <v>7.6573193543126028E-2</v>
      </c>
      <c r="N52" s="12">
        <f t="shared" si="120"/>
        <v>6.9256059013658847E-2</v>
      </c>
      <c r="O52" s="12">
        <f t="shared" si="120"/>
        <v>8.6004584640432716E-2</v>
      </c>
      <c r="P52" s="12">
        <f t="shared" si="120"/>
        <v>8.1531553454012667E-2</v>
      </c>
      <c r="Q52" s="12">
        <f t="shared" si="120"/>
        <v>6.5840756245587259E-2</v>
      </c>
      <c r="R52" s="12">
        <f t="shared" ref="R52:S52" si="121">+R27/R18</f>
        <v>7.2071290604889718E-2</v>
      </c>
      <c r="S52" s="12">
        <f t="shared" si="121"/>
        <v>0.10091377873581706</v>
      </c>
      <c r="AF52" s="12">
        <f t="shared" ref="AF52:AR52" si="122">+AF27/AF18</f>
        <v>1.0886430762725682E-2</v>
      </c>
      <c r="AG52" s="12">
        <f t="shared" si="122"/>
        <v>8.6007691805819145E-2</v>
      </c>
      <c r="AH52" s="12">
        <f t="shared" si="122"/>
        <v>8.0150309383576604E-2</v>
      </c>
      <c r="AI52" s="12">
        <f t="shared" si="122"/>
        <v>7.6487281482799305E-2</v>
      </c>
      <c r="AJ52" s="12">
        <f t="shared" si="122"/>
        <v>0.16344603640287608</v>
      </c>
      <c r="AK52" s="12">
        <f t="shared" si="122"/>
        <v>0.1219038518036055</v>
      </c>
      <c r="AL52" s="12">
        <f t="shared" si="122"/>
        <v>9.2911691501470592E-2</v>
      </c>
      <c r="AM52" s="12">
        <f t="shared" si="122"/>
        <v>9.2911691501470814E-2</v>
      </c>
      <c r="AN52" s="12">
        <f t="shared" si="122"/>
        <v>9.2911691501470786E-2</v>
      </c>
      <c r="AO52" s="12">
        <f t="shared" si="122"/>
        <v>9.2911691501470939E-2</v>
      </c>
      <c r="AP52" s="12">
        <f t="shared" si="122"/>
        <v>9.2911691501470661E-2</v>
      </c>
      <c r="AQ52" s="12">
        <f t="shared" si="122"/>
        <v>9.2911691501470633E-2</v>
      </c>
      <c r="AR52" s="12">
        <f t="shared" si="122"/>
        <v>9.291169150147062E-2</v>
      </c>
      <c r="AS52" s="12">
        <f t="shared" ref="AS52" si="123">+AS27/AS18</f>
        <v>9.2911691501470717E-2</v>
      </c>
    </row>
    <row r="53" spans="1:45" s="7" customFormat="1">
      <c r="A53" s="6"/>
      <c r="B53" s="6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AF53" s="12"/>
      <c r="AG53" s="12"/>
    </row>
    <row r="54" spans="1:45" s="7" customFormat="1">
      <c r="A54" s="6"/>
      <c r="B54" s="6" t="s">
        <v>127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AF54" s="12"/>
      <c r="AG54" s="12"/>
    </row>
    <row r="55" spans="1:45" s="7" customFormat="1">
      <c r="A55" s="6"/>
      <c r="B55" s="2" t="s">
        <v>22</v>
      </c>
      <c r="C55" s="10">
        <f t="shared" ref="C55:Q55" si="124">+C19/C$18</f>
        <v>0.32210309505857254</v>
      </c>
      <c r="D55" s="10">
        <f t="shared" si="124"/>
        <v>0.34431652411187491</v>
      </c>
      <c r="E55" s="10">
        <f t="shared" si="124"/>
        <v>0.3189366033730206</v>
      </c>
      <c r="F55" s="10">
        <f t="shared" si="124"/>
        <v>0.32150554319902069</v>
      </c>
      <c r="G55" s="10">
        <f t="shared" si="124"/>
        <v>0.31410553452348089</v>
      </c>
      <c r="H55" s="10">
        <f t="shared" si="124"/>
        <v>0.32878053556567288</v>
      </c>
      <c r="I55" s="10">
        <f t="shared" si="124"/>
        <v>0.34313412962645423</v>
      </c>
      <c r="J55" s="10">
        <f t="shared" si="124"/>
        <v>0.34779239514686472</v>
      </c>
      <c r="K55" s="10">
        <f t="shared" si="124"/>
        <v>0.34167167939596105</v>
      </c>
      <c r="L55" s="10">
        <f t="shared" si="124"/>
        <v>0.33870678094799367</v>
      </c>
      <c r="M55" s="10">
        <f t="shared" si="124"/>
        <v>0.34433976510573866</v>
      </c>
      <c r="N55" s="10">
        <f t="shared" si="124"/>
        <v>0.34840306717290936</v>
      </c>
      <c r="O55" s="10">
        <f t="shared" si="124"/>
        <v>0.34973296002234416</v>
      </c>
      <c r="P55" s="10">
        <f t="shared" si="124"/>
        <v>0.3425571826574898</v>
      </c>
      <c r="Q55" s="10">
        <f t="shared" si="124"/>
        <v>0.34426860839115953</v>
      </c>
      <c r="R55" s="10">
        <f t="shared" ref="R55:S55" si="125">+R19/R$18</f>
        <v>0.339888574076253</v>
      </c>
      <c r="S55" s="10">
        <f t="shared" si="125"/>
        <v>0.33687955877043663</v>
      </c>
      <c r="AE55" s="10">
        <f t="shared" ref="AE55:AK58" si="126">+AE19/AE$18</f>
        <v>0.32050245214089296</v>
      </c>
      <c r="AF55" s="10">
        <f t="shared" si="126"/>
        <v>0.32552375336878048</v>
      </c>
      <c r="AG55" s="10">
        <f t="shared" si="126"/>
        <v>0.33390474331874687</v>
      </c>
      <c r="AH55" s="10">
        <f t="shared" si="126"/>
        <v>0.34326769730597306</v>
      </c>
      <c r="AI55" s="10">
        <f t="shared" si="126"/>
        <v>0.34412022267552622</v>
      </c>
      <c r="AJ55" s="10">
        <f t="shared" si="126"/>
        <v>0.29845781540072941</v>
      </c>
      <c r="AK55" s="24">
        <f t="shared" si="126"/>
        <v>0.34</v>
      </c>
      <c r="AL55" s="24">
        <f t="shared" ref="AL55:AR55" si="127">+AL19/AL$18</f>
        <v>0.34</v>
      </c>
      <c r="AM55" s="24">
        <f t="shared" si="127"/>
        <v>0.34</v>
      </c>
      <c r="AN55" s="24">
        <f t="shared" si="127"/>
        <v>0.34000000000000008</v>
      </c>
      <c r="AO55" s="24">
        <f t="shared" si="127"/>
        <v>0.34</v>
      </c>
      <c r="AP55" s="24">
        <f t="shared" si="127"/>
        <v>0.34</v>
      </c>
      <c r="AQ55" s="24">
        <f t="shared" si="127"/>
        <v>0.34</v>
      </c>
      <c r="AR55" s="24">
        <f t="shared" si="127"/>
        <v>0.34</v>
      </c>
    </row>
    <row r="56" spans="1:45" s="7" customFormat="1">
      <c r="A56" s="6"/>
      <c r="B56" s="2" t="s">
        <v>23</v>
      </c>
      <c r="C56" s="10">
        <f t="shared" ref="C56:Q56" si="128">+C20/C$18</f>
        <v>0.36945614260931398</v>
      </c>
      <c r="D56" s="10">
        <f t="shared" si="128"/>
        <v>0.40850501128194366</v>
      </c>
      <c r="E56" s="10">
        <f t="shared" si="128"/>
        <v>0.34423346562418311</v>
      </c>
      <c r="F56" s="10">
        <f t="shared" si="128"/>
        <v>0.34920351291323204</v>
      </c>
      <c r="G56" s="10">
        <f t="shared" si="128"/>
        <v>0.32229159823089099</v>
      </c>
      <c r="H56" s="10">
        <f t="shared" si="128"/>
        <v>0.32059506802494026</v>
      </c>
      <c r="I56" s="10">
        <f t="shared" si="128"/>
        <v>0.32981795123500623</v>
      </c>
      <c r="J56" s="10">
        <f t="shared" si="128"/>
        <v>0.32406379733492929</v>
      </c>
      <c r="K56" s="10">
        <f t="shared" si="128"/>
        <v>0.32594993751810153</v>
      </c>
      <c r="L56" s="10">
        <f t="shared" si="128"/>
        <v>0.32504396812042874</v>
      </c>
      <c r="M56" s="10">
        <f t="shared" si="128"/>
        <v>0.33244706019744324</v>
      </c>
      <c r="N56" s="10">
        <f t="shared" si="128"/>
        <v>0.33166654945028823</v>
      </c>
      <c r="O56" s="10">
        <f t="shared" si="128"/>
        <v>0.32853666179591196</v>
      </c>
      <c r="P56" s="10">
        <f t="shared" si="128"/>
        <v>0.33413251161412666</v>
      </c>
      <c r="Q56" s="10">
        <f t="shared" si="128"/>
        <v>0.33769852873005796</v>
      </c>
      <c r="R56" s="10">
        <f t="shared" ref="R56:S56" si="129">+R20/R$18</f>
        <v>0.32906804676556495</v>
      </c>
      <c r="S56" s="10">
        <f t="shared" si="129"/>
        <v>0.32360089220771454</v>
      </c>
      <c r="AE56" s="10">
        <f t="shared" si="126"/>
        <v>0.32857780907732959</v>
      </c>
      <c r="AF56" s="10">
        <f t="shared" si="126"/>
        <v>0.3651872735468531</v>
      </c>
      <c r="AG56" s="10">
        <f t="shared" si="126"/>
        <v>0.32419760585182333</v>
      </c>
      <c r="AH56" s="10">
        <f t="shared" si="126"/>
        <v>0.32876354417112774</v>
      </c>
      <c r="AI56" s="10">
        <f t="shared" si="126"/>
        <v>0.33230418734314521</v>
      </c>
      <c r="AJ56" s="10">
        <f t="shared" si="126"/>
        <v>0.2910078396978652</v>
      </c>
      <c r="AK56" s="10">
        <f t="shared" si="126"/>
        <v>0.2910078396978652</v>
      </c>
      <c r="AL56" s="24">
        <f>+AL20/AL$18</f>
        <v>0.32000000000000006</v>
      </c>
      <c r="AM56" s="24">
        <f t="shared" ref="AM56:AR56" si="130">+AM20/AM$18</f>
        <v>0.32</v>
      </c>
      <c r="AN56" s="24">
        <f t="shared" si="130"/>
        <v>0.32</v>
      </c>
      <c r="AO56" s="24">
        <f t="shared" si="130"/>
        <v>0.32</v>
      </c>
      <c r="AP56" s="24">
        <f t="shared" si="130"/>
        <v>0.32</v>
      </c>
      <c r="AQ56" s="24">
        <f t="shared" si="130"/>
        <v>0.32</v>
      </c>
      <c r="AR56" s="24">
        <f t="shared" si="130"/>
        <v>0.32</v>
      </c>
    </row>
    <row r="57" spans="1:45" s="7" customFormat="1">
      <c r="A57" s="6"/>
      <c r="B57" s="2" t="s">
        <v>24</v>
      </c>
      <c r="C57" s="10">
        <f t="shared" ref="C57:Q57" si="131">+C21/C$18</f>
        <v>2.0644451391826201E-2</v>
      </c>
      <c r="D57" s="10">
        <f t="shared" si="131"/>
        <v>2.7813401899564466E-2</v>
      </c>
      <c r="E57" s="10">
        <f t="shared" si="131"/>
        <v>2.1741644684205107E-2</v>
      </c>
      <c r="F57" s="10">
        <f t="shared" si="131"/>
        <v>2.1874985305389279E-2</v>
      </c>
      <c r="G57" s="10">
        <f t="shared" si="131"/>
        <v>1.8050807552561797E-2</v>
      </c>
      <c r="H57" s="10">
        <f t="shared" si="131"/>
        <v>1.6640186562348409E-2</v>
      </c>
      <c r="I57" s="10">
        <f t="shared" si="131"/>
        <v>1.7364775365012436E-2</v>
      </c>
      <c r="J57" s="10">
        <f t="shared" si="131"/>
        <v>1.7316036650863235E-2</v>
      </c>
      <c r="K57" s="10">
        <f t="shared" si="131"/>
        <v>1.6575424866782922E-2</v>
      </c>
      <c r="L57" s="10">
        <f t="shared" si="131"/>
        <v>1.6312611872270903E-2</v>
      </c>
      <c r="M57" s="10">
        <f t="shared" si="131"/>
        <v>1.6815698813447726E-2</v>
      </c>
      <c r="N57" s="10">
        <f t="shared" si="131"/>
        <v>1.6888073547169025E-2</v>
      </c>
      <c r="O57" s="10">
        <f t="shared" si="131"/>
        <v>1.5181086484847865E-2</v>
      </c>
      <c r="P57" s="10">
        <f t="shared" si="131"/>
        <v>1.5365397800381318E-2</v>
      </c>
      <c r="Q57" s="10">
        <f t="shared" si="131"/>
        <v>1.6204116417889158E-2</v>
      </c>
      <c r="R57" s="10">
        <f t="shared" ref="R57:S57" si="132">+R21/R$18</f>
        <v>1.6116135803243153E-2</v>
      </c>
      <c r="S57" s="10">
        <f t="shared" si="132"/>
        <v>1.4702353966078245E-2</v>
      </c>
      <c r="AE57" s="25">
        <f t="shared" si="126"/>
        <v>1.9059467818122514E-2</v>
      </c>
      <c r="AF57" s="25">
        <f t="shared" si="126"/>
        <v>2.2684824756695133E-2</v>
      </c>
      <c r="AG57" s="25">
        <f t="shared" si="126"/>
        <v>1.7322729626847531E-2</v>
      </c>
      <c r="AH57" s="25">
        <f t="shared" si="126"/>
        <v>1.6646413040960477E-2</v>
      </c>
      <c r="AI57" s="10">
        <f t="shared" si="126"/>
        <v>1.5710525270355932E-2</v>
      </c>
      <c r="AJ57" s="10">
        <f t="shared" si="126"/>
        <v>1.5710525270355932E-2</v>
      </c>
      <c r="AK57" s="10">
        <f t="shared" si="126"/>
        <v>1.5710525270355932E-2</v>
      </c>
      <c r="AL57" s="24">
        <f>+AL21/AL$18</f>
        <v>1.5710525270355932E-2</v>
      </c>
      <c r="AM57" s="24">
        <f t="shared" ref="AM57:AR58" si="133">+AM21/AM$18</f>
        <v>1.5710525270355932E-2</v>
      </c>
      <c r="AN57" s="24">
        <f t="shared" si="133"/>
        <v>1.5710525270355932E-2</v>
      </c>
      <c r="AO57" s="24">
        <f t="shared" si="133"/>
        <v>1.5710525270355932E-2</v>
      </c>
      <c r="AP57" s="24">
        <f t="shared" si="133"/>
        <v>1.5710525270355932E-2</v>
      </c>
      <c r="AQ57" s="24">
        <f t="shared" si="133"/>
        <v>1.5710525270355932E-2</v>
      </c>
      <c r="AR57" s="24">
        <f t="shared" si="133"/>
        <v>1.5710525270355932E-2</v>
      </c>
    </row>
    <row r="58" spans="1:45" s="7" customFormat="1">
      <c r="A58" s="6"/>
      <c r="B58" s="2" t="s">
        <v>25</v>
      </c>
      <c r="C58" s="10">
        <f t="shared" ref="C58:Q58" si="134">+C22/C$18</f>
        <v>0.15982400647332512</v>
      </c>
      <c r="D58" s="10">
        <f t="shared" si="134"/>
        <v>0.18753843731962008</v>
      </c>
      <c r="E58" s="10">
        <f t="shared" si="134"/>
        <v>0.1631502649777799</v>
      </c>
      <c r="F58" s="10">
        <f t="shared" si="134"/>
        <v>0.16788847456617589</v>
      </c>
      <c r="G58" s="10">
        <f t="shared" si="134"/>
        <v>0.15410258684109618</v>
      </c>
      <c r="H58" s="10">
        <f t="shared" si="134"/>
        <v>0.15087651370512289</v>
      </c>
      <c r="I58" s="10">
        <f t="shared" si="134"/>
        <v>0.14703956416013478</v>
      </c>
      <c r="J58" s="10">
        <f t="shared" si="134"/>
        <v>0.14633323879560423</v>
      </c>
      <c r="K58" s="10">
        <f t="shared" si="134"/>
        <v>0.14598080377848394</v>
      </c>
      <c r="L58" s="10">
        <f t="shared" si="134"/>
        <v>0.14886112320247979</v>
      </c>
      <c r="M58" s="10">
        <f t="shared" si="134"/>
        <v>0.14702133700057787</v>
      </c>
      <c r="N58" s="10">
        <f t="shared" si="134"/>
        <v>0.15214124606623486</v>
      </c>
      <c r="O58" s="10">
        <f t="shared" si="134"/>
        <v>0.14265606000224804</v>
      </c>
      <c r="P58" s="10">
        <f t="shared" si="134"/>
        <v>0.14608227608706603</v>
      </c>
      <c r="Q58" s="10">
        <f t="shared" si="134"/>
        <v>0.1508577653527696</v>
      </c>
      <c r="R58" s="10">
        <f t="shared" ref="R58:S58" si="135">+R22/R$18</f>
        <v>0.15716946891900363</v>
      </c>
      <c r="S58" s="10">
        <f t="shared" si="135"/>
        <v>0.14656335787383903</v>
      </c>
      <c r="AE58" s="10">
        <f t="shared" si="126"/>
        <v>0.15182266070620642</v>
      </c>
      <c r="AF58" s="10">
        <f t="shared" si="126"/>
        <v>0.16835083104578039</v>
      </c>
      <c r="AG58" s="10">
        <f t="shared" si="126"/>
        <v>0.14948500929287004</v>
      </c>
      <c r="AH58" s="10">
        <f t="shared" si="126"/>
        <v>0.14852229895547084</v>
      </c>
      <c r="AI58" s="10">
        <f t="shared" si="126"/>
        <v>0.14915736692926443</v>
      </c>
      <c r="AJ58" s="10">
        <f t="shared" si="126"/>
        <v>0.14915736692926443</v>
      </c>
      <c r="AK58" s="10">
        <f t="shared" si="126"/>
        <v>0.14915736692926443</v>
      </c>
      <c r="AL58" s="10">
        <f>+AL22/AL$18</f>
        <v>0.14915736692926443</v>
      </c>
      <c r="AM58" s="10">
        <f t="shared" si="133"/>
        <v>0.14915736692926443</v>
      </c>
      <c r="AN58" s="10">
        <f t="shared" si="133"/>
        <v>0.14915736692926443</v>
      </c>
      <c r="AO58" s="10">
        <f t="shared" si="133"/>
        <v>0.14915736692926443</v>
      </c>
      <c r="AP58" s="10">
        <f t="shared" si="133"/>
        <v>0.14915736692926443</v>
      </c>
      <c r="AQ58" s="10">
        <f t="shared" si="133"/>
        <v>0.14915736692926443</v>
      </c>
      <c r="AR58" s="10">
        <f t="shared" si="133"/>
        <v>0.14915736692926443</v>
      </c>
    </row>
    <row r="59" spans="1:45" s="7" customFormat="1">
      <c r="A59" s="6"/>
      <c r="B59" s="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spans="1:45" s="7" customFormat="1">
      <c r="A60" s="6"/>
      <c r="B60" s="6" t="s">
        <v>126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spans="1:45" s="7" customFormat="1">
      <c r="A61" s="6"/>
      <c r="B61" s="2" t="s">
        <v>22</v>
      </c>
      <c r="C61" s="12"/>
      <c r="D61" s="12"/>
      <c r="E61" s="12"/>
      <c r="F61" s="12"/>
      <c r="G61" s="10">
        <f t="shared" ref="G61:Q63" si="136">+G19/C19-1</f>
        <v>0.19650775525739839</v>
      </c>
      <c r="H61" s="10">
        <f t="shared" si="136"/>
        <v>0.80140330770965784</v>
      </c>
      <c r="I61" s="10">
        <f t="shared" si="136"/>
        <v>0.48113338764480296</v>
      </c>
      <c r="J61" s="10">
        <f t="shared" si="136"/>
        <v>0.51853820014918317</v>
      </c>
      <c r="K61" s="10">
        <f t="shared" si="136"/>
        <v>0.34163081254324368</v>
      </c>
      <c r="L61" s="10">
        <f t="shared" si="136"/>
        <v>0.17440373057555902</v>
      </c>
      <c r="M61" s="10">
        <f t="shared" si="136"/>
        <v>0.14712708442333744</v>
      </c>
      <c r="N61" s="10">
        <f t="shared" si="136"/>
        <v>0.12920655712441964</v>
      </c>
      <c r="O61" s="10">
        <f t="shared" si="136"/>
        <v>0.21729658917118155</v>
      </c>
      <c r="P61" s="10">
        <f t="shared" si="136"/>
        <v>0.15607089652231299</v>
      </c>
      <c r="Q61" s="10">
        <f t="shared" si="136"/>
        <v>0.12908733685737017</v>
      </c>
      <c r="R61" s="10">
        <f t="shared" ref="R61:R63" si="137">+R19/N19-1</f>
        <v>0.12518373833954555</v>
      </c>
      <c r="S61" s="10">
        <f t="shared" ref="S61:S63" si="138">+S19/O19-1</f>
        <v>8.3708495754922563E-2</v>
      </c>
      <c r="AE61" s="10"/>
      <c r="AF61" s="10">
        <f t="shared" ref="AF61:AG63" si="139">+AF19/AE19-1</f>
        <v>-0.11627348852162833</v>
      </c>
      <c r="AG61" s="10">
        <f t="shared" si="139"/>
        <v>0.48162931725775837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spans="1:45" s="7" customFormat="1">
      <c r="A62" s="6"/>
      <c r="B62" s="2" t="s">
        <v>23</v>
      </c>
      <c r="C62" s="12"/>
      <c r="D62" s="12"/>
      <c r="E62" s="12"/>
      <c r="F62" s="12"/>
      <c r="G62" s="10">
        <f t="shared" si="136"/>
        <v>7.0337939015841178E-2</v>
      </c>
      <c r="H62" s="10">
        <f t="shared" si="136"/>
        <v>0.48054690631069463</v>
      </c>
      <c r="I62" s="10">
        <f t="shared" si="136"/>
        <v>0.31903348291335876</v>
      </c>
      <c r="J62" s="10">
        <f t="shared" si="136"/>
        <v>0.30270481354471523</v>
      </c>
      <c r="K62" s="10">
        <f t="shared" si="136"/>
        <v>0.2473879613697314</v>
      </c>
      <c r="L62" s="10">
        <f t="shared" si="136"/>
        <v>0.15580589074326645</v>
      </c>
      <c r="M62" s="10">
        <f t="shared" si="136"/>
        <v>0.15222283865970199</v>
      </c>
      <c r="N62" s="10">
        <f t="shared" si="136"/>
        <v>0.15367281472778194</v>
      </c>
      <c r="O62" s="10">
        <f t="shared" si="136"/>
        <v>0.19867586703990114</v>
      </c>
      <c r="P62" s="10">
        <f t="shared" si="136"/>
        <v>0.17503798319731456</v>
      </c>
      <c r="Q62" s="10">
        <f t="shared" si="136"/>
        <v>0.14715991508665471</v>
      </c>
      <c r="R62" s="10">
        <f t="shared" si="137"/>
        <v>0.14433423827827507</v>
      </c>
      <c r="S62" s="24">
        <f t="shared" si="138"/>
        <v>0.1081543418027624</v>
      </c>
      <c r="AE62" s="10"/>
      <c r="AF62" s="10">
        <f t="shared" si="139"/>
        <v>-3.2961062881095016E-2</v>
      </c>
      <c r="AG62" s="10">
        <f t="shared" si="139"/>
        <v>0.28231235812387823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spans="1:45" s="7" customFormat="1">
      <c r="A63" s="6"/>
      <c r="B63" s="2" t="s">
        <v>24</v>
      </c>
      <c r="C63" s="12"/>
      <c r="D63" s="12"/>
      <c r="E63" s="12"/>
      <c r="F63" s="12"/>
      <c r="G63" s="10">
        <f t="shared" si="136"/>
        <v>7.2823101477247354E-2</v>
      </c>
      <c r="H63" s="10">
        <f t="shared" si="136"/>
        <v>0.12866953437476414</v>
      </c>
      <c r="I63" s="10">
        <f t="shared" si="136"/>
        <v>9.954091670917431E-2</v>
      </c>
      <c r="J63" s="10">
        <f t="shared" si="136"/>
        <v>0.11120664946976211</v>
      </c>
      <c r="K63" s="10">
        <f t="shared" si="136"/>
        <v>0.13257680597841137</v>
      </c>
      <c r="L63" s="10">
        <f t="shared" si="136"/>
        <v>0.11754479807435136</v>
      </c>
      <c r="M63" s="10">
        <f t="shared" si="136"/>
        <v>0.10696533898866734</v>
      </c>
      <c r="N63" s="10">
        <f t="shared" si="136"/>
        <v>9.9368068093887096E-2</v>
      </c>
      <c r="O63" s="10">
        <f t="shared" si="136"/>
        <v>8.9198435972629442E-2</v>
      </c>
      <c r="P63" s="10">
        <f t="shared" si="136"/>
        <v>7.6702165848988813E-2</v>
      </c>
      <c r="Q63" s="10">
        <f t="shared" si="136"/>
        <v>8.8247620187990261E-2</v>
      </c>
      <c r="R63" s="10">
        <f t="shared" si="137"/>
        <v>0.10065106457856765</v>
      </c>
      <c r="S63" s="10">
        <f t="shared" si="138"/>
        <v>8.9578191608705504E-2</v>
      </c>
      <c r="AE63" s="10"/>
      <c r="AF63" s="10">
        <f t="shared" si="139"/>
        <v>3.5598027831185375E-2</v>
      </c>
      <c r="AG63" s="10">
        <f t="shared" si="139"/>
        <v>0.10301281226448045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5" spans="1:44">
      <c r="B65" s="2" t="s">
        <v>42</v>
      </c>
      <c r="C65" s="10">
        <f t="shared" ref="C65:Q65" si="140">IFERROR((C27/C18),0)</f>
        <v>2.5110187518007001E-2</v>
      </c>
      <c r="D65" s="10">
        <f t="shared" si="140"/>
        <v>-0.10024243060292806</v>
      </c>
      <c r="E65" s="10">
        <f t="shared" si="140"/>
        <v>5.654760490189089E-2</v>
      </c>
      <c r="F65" s="10">
        <f t="shared" si="140"/>
        <v>3.4151059030798334E-2</v>
      </c>
      <c r="G65" s="10">
        <f t="shared" si="140"/>
        <v>0.10170878147056876</v>
      </c>
      <c r="H65" s="10">
        <f t="shared" si="140"/>
        <v>9.9851132858916669E-2</v>
      </c>
      <c r="I65" s="10">
        <f t="shared" si="140"/>
        <v>7.1036880439798694E-2</v>
      </c>
      <c r="J65" s="10">
        <f t="shared" si="140"/>
        <v>7.2603859372522575E-2</v>
      </c>
      <c r="K65" s="10">
        <f t="shared" si="140"/>
        <v>9.0626094952232228E-2</v>
      </c>
      <c r="L65" s="10">
        <f t="shared" si="140"/>
        <v>8.4255801742328273E-2</v>
      </c>
      <c r="M65" s="10">
        <f t="shared" si="140"/>
        <v>7.6573193543126028E-2</v>
      </c>
      <c r="N65" s="10">
        <f t="shared" si="140"/>
        <v>6.9256059013658847E-2</v>
      </c>
      <c r="O65" s="10">
        <f t="shared" si="140"/>
        <v>8.6004584640432716E-2</v>
      </c>
      <c r="P65" s="10">
        <f t="shared" si="140"/>
        <v>8.1531553454012667E-2</v>
      </c>
      <c r="Q65" s="10">
        <f t="shared" si="140"/>
        <v>6.5840756245587259E-2</v>
      </c>
      <c r="R65" s="10">
        <f t="shared" ref="R65:S65" si="141">IFERROR((R27/R18),0)</f>
        <v>7.2071290604889718E-2</v>
      </c>
      <c r="S65" s="10">
        <f t="shared" si="141"/>
        <v>0.10091377873581706</v>
      </c>
      <c r="AE65" s="10">
        <f t="shared" ref="AE65:AR65" si="142">IFERROR((AE27/AE18),0)</f>
        <v>7.6600694516253218E-2</v>
      </c>
      <c r="AF65" s="10">
        <f t="shared" si="142"/>
        <v>1.0886430762725682E-2</v>
      </c>
      <c r="AG65" s="10">
        <f t="shared" si="142"/>
        <v>8.6007691805819145E-2</v>
      </c>
      <c r="AH65" s="10">
        <f t="shared" si="142"/>
        <v>8.0150309383576604E-2</v>
      </c>
      <c r="AI65" s="10">
        <f t="shared" si="142"/>
        <v>7.6487281482799305E-2</v>
      </c>
      <c r="AJ65" s="10">
        <f t="shared" si="142"/>
        <v>0.16344603640287608</v>
      </c>
      <c r="AK65" s="10">
        <f t="shared" si="142"/>
        <v>0.1219038518036055</v>
      </c>
      <c r="AL65" s="10">
        <f t="shared" si="142"/>
        <v>9.2911691501470592E-2</v>
      </c>
      <c r="AM65" s="10">
        <f t="shared" si="142"/>
        <v>9.2911691501470814E-2</v>
      </c>
      <c r="AN65" s="10">
        <f t="shared" si="142"/>
        <v>9.2911691501470786E-2</v>
      </c>
      <c r="AO65" s="10">
        <f t="shared" si="142"/>
        <v>9.2911691501470939E-2</v>
      </c>
      <c r="AP65" s="10">
        <f t="shared" si="142"/>
        <v>9.2911691501470661E-2</v>
      </c>
      <c r="AQ65" s="10">
        <f t="shared" si="142"/>
        <v>9.2911691501470633E-2</v>
      </c>
      <c r="AR65" s="10">
        <f t="shared" si="142"/>
        <v>9.291169150147062E-2</v>
      </c>
    </row>
    <row r="67" spans="1:44" s="7" customFormat="1">
      <c r="A67" s="6"/>
      <c r="B67" s="6" t="s">
        <v>70</v>
      </c>
      <c r="F67" s="7">
        <f t="shared" ref="F67:L67" si="143">+F68-F82-F91</f>
        <v>123155</v>
      </c>
      <c r="G67" s="7">
        <f t="shared" si="143"/>
        <v>255646</v>
      </c>
      <c r="H67" s="7">
        <f t="shared" si="143"/>
        <v>293419</v>
      </c>
      <c r="I67" s="7">
        <f t="shared" si="143"/>
        <v>246563</v>
      </c>
      <c r="J67" s="7">
        <f t="shared" si="143"/>
        <v>235645</v>
      </c>
      <c r="K67" s="7">
        <f t="shared" si="143"/>
        <v>225723</v>
      </c>
      <c r="L67" s="7">
        <f t="shared" si="143"/>
        <v>105411</v>
      </c>
      <c r="M67" s="7">
        <f>+M68-M82-M91</f>
        <v>110315</v>
      </c>
      <c r="N67" s="7">
        <f t="shared" ref="N67:O67" si="144">+N68-N82-N91</f>
        <v>123861</v>
      </c>
      <c r="O67" s="7">
        <f t="shared" si="144"/>
        <v>156143</v>
      </c>
      <c r="P67" s="7">
        <f>+P68-P83-P91</f>
        <v>-13329</v>
      </c>
      <c r="Q67" s="7">
        <f t="shared" ref="Q67:R67" si="145">+Q68-Q82-Q91</f>
        <v>69324</v>
      </c>
      <c r="R67" s="7">
        <f t="shared" si="145"/>
        <v>104246</v>
      </c>
      <c r="S67" s="7">
        <f>+S68-S83-S91</f>
        <v>73141</v>
      </c>
      <c r="AI67" s="7">
        <f>+S67</f>
        <v>73141</v>
      </c>
      <c r="AJ67" s="7">
        <f t="shared" ref="AJ67:AR67" si="146">+AI67*1.05</f>
        <v>76798.05</v>
      </c>
      <c r="AK67" s="7">
        <f t="shared" si="146"/>
        <v>80637.952499999999</v>
      </c>
      <c r="AL67" s="7">
        <f t="shared" si="146"/>
        <v>84669.850124999997</v>
      </c>
      <c r="AM67" s="7">
        <f t="shared" si="146"/>
        <v>88903.342631249994</v>
      </c>
      <c r="AN67" s="7">
        <f t="shared" si="146"/>
        <v>93348.509762812493</v>
      </c>
      <c r="AO67" s="7">
        <f t="shared" si="146"/>
        <v>98015.935250953116</v>
      </c>
      <c r="AP67" s="7">
        <f t="shared" si="146"/>
        <v>102916.73201350078</v>
      </c>
      <c r="AQ67" s="7">
        <f t="shared" si="146"/>
        <v>108062.56861417582</v>
      </c>
      <c r="AR67" s="7">
        <f t="shared" si="146"/>
        <v>113465.69704488461</v>
      </c>
    </row>
    <row r="68" spans="1:44">
      <c r="B68" s="2" t="s">
        <v>43</v>
      </c>
      <c r="F68" s="4">
        <v>363155</v>
      </c>
      <c r="G68" s="4">
        <v>495646</v>
      </c>
      <c r="H68" s="4">
        <v>483419</v>
      </c>
      <c r="I68" s="4">
        <v>436563</v>
      </c>
      <c r="J68" s="4">
        <v>335645</v>
      </c>
      <c r="K68" s="4">
        <v>325723</v>
      </c>
      <c r="L68" s="4">
        <v>180411</v>
      </c>
      <c r="M68" s="4">
        <v>185315</v>
      </c>
      <c r="N68" s="4">
        <v>173861</v>
      </c>
      <c r="O68" s="4">
        <v>156143</v>
      </c>
      <c r="P68" s="4">
        <v>107324</v>
      </c>
      <c r="Q68" s="4">
        <v>69324</v>
      </c>
      <c r="R68" s="4">
        <v>104246</v>
      </c>
      <c r="S68" s="4">
        <v>213428</v>
      </c>
    </row>
    <row r="69" spans="1:44">
      <c r="B69" s="2" t="s">
        <v>44</v>
      </c>
      <c r="F69" s="4">
        <v>98418</v>
      </c>
      <c r="G69" s="4">
        <v>37742</v>
      </c>
      <c r="H69" s="4">
        <v>48600</v>
      </c>
      <c r="I69" s="4">
        <v>52346</v>
      </c>
      <c r="J69" s="4">
        <v>161358</v>
      </c>
      <c r="K69" s="4">
        <v>45152</v>
      </c>
      <c r="L69" s="4">
        <v>45465</v>
      </c>
      <c r="M69" s="4">
        <v>37804</v>
      </c>
      <c r="N69" s="4">
        <v>150264</v>
      </c>
      <c r="O69" s="4">
        <v>41528</v>
      </c>
      <c r="P69" s="4">
        <v>60537</v>
      </c>
      <c r="Q69" s="4">
        <v>48967</v>
      </c>
      <c r="R69" s="4">
        <v>175474</v>
      </c>
      <c r="S69" s="4">
        <v>53906</v>
      </c>
    </row>
    <row r="70" spans="1:44">
      <c r="B70" s="2" t="s">
        <v>45</v>
      </c>
      <c r="F70" s="4">
        <v>22364</v>
      </c>
      <c r="G70" s="4">
        <v>23362</v>
      </c>
      <c r="H70" s="4">
        <v>25634</v>
      </c>
      <c r="I70" s="4">
        <v>27784</v>
      </c>
      <c r="J70" s="4">
        <v>31595</v>
      </c>
      <c r="K70" s="4">
        <v>30043</v>
      </c>
      <c r="L70" s="4">
        <v>31831</v>
      </c>
      <c r="M70" s="4">
        <v>32905</v>
      </c>
      <c r="N70" s="4">
        <v>38015</v>
      </c>
      <c r="O70" s="4">
        <v>36812</v>
      </c>
      <c r="P70" s="4">
        <v>38121</v>
      </c>
      <c r="Q70" s="4">
        <v>36589</v>
      </c>
      <c r="R70" s="4">
        <v>38320</v>
      </c>
      <c r="S70" s="4">
        <v>38384</v>
      </c>
    </row>
    <row r="71" spans="1:44">
      <c r="B71" s="2" t="s">
        <v>46</v>
      </c>
      <c r="F71" s="4">
        <v>4502</v>
      </c>
      <c r="G71" s="4">
        <v>0</v>
      </c>
      <c r="H71" s="4">
        <v>5161</v>
      </c>
      <c r="I71" s="4">
        <v>4793</v>
      </c>
      <c r="J71" s="4">
        <v>10701</v>
      </c>
      <c r="K71" s="4">
        <v>2668</v>
      </c>
      <c r="L71" s="4">
        <v>4467</v>
      </c>
      <c r="M71" s="4">
        <v>1121</v>
      </c>
      <c r="N71" s="4">
        <v>5097</v>
      </c>
      <c r="O71" s="4">
        <v>0</v>
      </c>
      <c r="P71" s="4">
        <v>1402</v>
      </c>
      <c r="Q71" s="4">
        <v>2823</v>
      </c>
      <c r="R71" s="4">
        <v>3262</v>
      </c>
      <c r="S71" s="4">
        <v>0</v>
      </c>
    </row>
    <row r="72" spans="1:44">
      <c r="B72" s="2" t="s">
        <v>47</v>
      </c>
      <c r="F72" s="4">
        <v>22212</v>
      </c>
      <c r="G72" s="4">
        <v>20868</v>
      </c>
      <c r="H72" s="4">
        <v>18959</v>
      </c>
      <c r="I72" s="4">
        <v>16429</v>
      </c>
      <c r="J72" s="4">
        <v>24226</v>
      </c>
      <c r="K72" s="4">
        <v>22401</v>
      </c>
      <c r="L72" s="4">
        <v>18770</v>
      </c>
      <c r="M72" s="4">
        <v>20233</v>
      </c>
      <c r="N72" s="4">
        <v>29604</v>
      </c>
      <c r="O72" s="4">
        <v>34235</v>
      </c>
      <c r="P72" s="4">
        <v>25901</v>
      </c>
      <c r="Q72" s="4">
        <v>23783</v>
      </c>
      <c r="R72" s="4">
        <v>35172</v>
      </c>
      <c r="S72" s="4">
        <v>38677</v>
      </c>
    </row>
    <row r="73" spans="1:44" s="7" customFormat="1">
      <c r="A73" s="6"/>
      <c r="B73" s="6" t="s">
        <v>48</v>
      </c>
      <c r="F73" s="7">
        <f t="shared" ref="F73:O73" si="147">+SUM(F68:F72)</f>
        <v>510651</v>
      </c>
      <c r="G73" s="7">
        <f t="shared" si="147"/>
        <v>577618</v>
      </c>
      <c r="H73" s="7">
        <f t="shared" si="147"/>
        <v>581773</v>
      </c>
      <c r="I73" s="7">
        <f t="shared" si="147"/>
        <v>537915</v>
      </c>
      <c r="J73" s="7">
        <f t="shared" si="147"/>
        <v>563525</v>
      </c>
      <c r="K73" s="7">
        <f t="shared" si="147"/>
        <v>425987</v>
      </c>
      <c r="L73" s="7">
        <f t="shared" si="147"/>
        <v>280944</v>
      </c>
      <c r="M73" s="7">
        <f t="shared" si="147"/>
        <v>277378</v>
      </c>
      <c r="N73" s="7">
        <f t="shared" si="147"/>
        <v>396841</v>
      </c>
      <c r="O73" s="7">
        <f t="shared" si="147"/>
        <v>268718</v>
      </c>
      <c r="P73" s="7">
        <f t="shared" ref="P73:S73" si="148">+SUM(P68:P72)</f>
        <v>233285</v>
      </c>
      <c r="Q73" s="7">
        <f t="shared" si="148"/>
        <v>181486</v>
      </c>
      <c r="R73" s="7">
        <f t="shared" si="148"/>
        <v>356474</v>
      </c>
      <c r="S73" s="7">
        <f t="shared" si="148"/>
        <v>344395</v>
      </c>
    </row>
    <row r="74" spans="1:44" s="7" customFormat="1">
      <c r="A74" s="6"/>
      <c r="B74" s="2" t="s">
        <v>50</v>
      </c>
      <c r="F74" s="4">
        <v>1088623</v>
      </c>
      <c r="G74" s="4">
        <v>1093790</v>
      </c>
      <c r="H74" s="4">
        <v>1139661</v>
      </c>
      <c r="I74" s="4">
        <v>1139661</v>
      </c>
      <c r="J74" s="4">
        <v>1162441</v>
      </c>
      <c r="K74" s="4">
        <v>1181707</v>
      </c>
      <c r="L74" s="4">
        <v>1207996</v>
      </c>
      <c r="M74" s="4">
        <v>1237345</v>
      </c>
      <c r="N74" s="4">
        <v>1270349</v>
      </c>
      <c r="O74" s="7">
        <v>1310782</v>
      </c>
      <c r="P74" s="7">
        <v>1360132</v>
      </c>
      <c r="Q74" s="4">
        <v>1425169</v>
      </c>
      <c r="R74" s="7">
        <v>1474722</v>
      </c>
      <c r="S74" s="7">
        <v>1499860</v>
      </c>
    </row>
    <row r="75" spans="1:44">
      <c r="B75" s="2" t="s">
        <v>51</v>
      </c>
      <c r="F75" s="4">
        <v>530625</v>
      </c>
      <c r="G75" s="4">
        <v>537826</v>
      </c>
      <c r="H75" s="4">
        <v>558452</v>
      </c>
      <c r="I75" s="4">
        <v>558452</v>
      </c>
      <c r="J75" s="4">
        <v>578413</v>
      </c>
      <c r="K75" s="4">
        <v>605146</v>
      </c>
      <c r="L75" s="4">
        <v>611934</v>
      </c>
      <c r="M75" s="4">
        <v>626551</v>
      </c>
      <c r="N75" s="4">
        <v>630258</v>
      </c>
      <c r="O75" s="4">
        <v>643485</v>
      </c>
      <c r="P75" s="4">
        <v>662730</v>
      </c>
      <c r="Q75" s="4">
        <v>679065</v>
      </c>
      <c r="R75" s="4">
        <v>694014</v>
      </c>
      <c r="S75" s="4">
        <v>715731</v>
      </c>
    </row>
    <row r="76" spans="1:44">
      <c r="B76" s="2" t="s">
        <v>52</v>
      </c>
      <c r="F76" s="4">
        <v>127001</v>
      </c>
      <c r="G76" s="4">
        <v>127001</v>
      </c>
      <c r="H76" s="4">
        <v>127001</v>
      </c>
      <c r="I76" s="4">
        <v>127001</v>
      </c>
      <c r="J76" s="4">
        <v>127001</v>
      </c>
      <c r="K76" s="4">
        <v>144334</v>
      </c>
      <c r="L76" s="4">
        <v>148732</v>
      </c>
      <c r="M76" s="4">
        <v>148732</v>
      </c>
      <c r="N76" s="4">
        <v>148732</v>
      </c>
      <c r="O76" s="4">
        <v>169641</v>
      </c>
      <c r="P76" s="4">
        <v>169684</v>
      </c>
      <c r="Q76" s="4">
        <v>169684</v>
      </c>
      <c r="R76" s="4">
        <v>169684</v>
      </c>
      <c r="S76" s="4">
        <v>169684</v>
      </c>
    </row>
    <row r="77" spans="1:44">
      <c r="B77" s="2" t="s">
        <v>53</v>
      </c>
      <c r="F77" s="4">
        <v>2271</v>
      </c>
      <c r="G77" s="4">
        <v>2071</v>
      </c>
      <c r="H77" s="4">
        <v>1701</v>
      </c>
      <c r="I77" s="4">
        <v>1701</v>
      </c>
      <c r="J77" s="4">
        <v>1520</v>
      </c>
      <c r="K77" s="4">
        <v>6848</v>
      </c>
      <c r="L77" s="4">
        <v>7001</v>
      </c>
      <c r="M77" s="4">
        <v>6304</v>
      </c>
      <c r="N77" s="4">
        <v>5607</v>
      </c>
      <c r="O77" s="4">
        <v>5859</v>
      </c>
      <c r="P77" s="4">
        <v>4986</v>
      </c>
      <c r="Q77" s="4">
        <v>4195</v>
      </c>
      <c r="R77" s="4">
        <v>3483</v>
      </c>
      <c r="S77" s="4">
        <v>2928</v>
      </c>
    </row>
    <row r="78" spans="1:44">
      <c r="B78" s="2" t="s">
        <v>54</v>
      </c>
      <c r="F78" s="4">
        <v>65990</v>
      </c>
      <c r="G78" s="4">
        <v>68422</v>
      </c>
      <c r="H78" s="4">
        <v>77823</v>
      </c>
      <c r="I78" s="4">
        <v>77823</v>
      </c>
      <c r="J78" s="4">
        <v>79052</v>
      </c>
      <c r="K78" s="4">
        <v>73298</v>
      </c>
      <c r="L78" s="4">
        <v>65111</v>
      </c>
      <c r="M78" s="4">
        <v>68741</v>
      </c>
      <c r="N78" s="4">
        <v>73878</v>
      </c>
      <c r="O78" s="4">
        <v>76380</v>
      </c>
      <c r="P78" s="4">
        <v>84174</v>
      </c>
      <c r="Q78" s="4">
        <v>86738</v>
      </c>
      <c r="R78" s="4">
        <v>94999</v>
      </c>
      <c r="S78" s="4">
        <v>97803</v>
      </c>
    </row>
    <row r="79" spans="1:44" s="7" customFormat="1">
      <c r="A79" s="6"/>
      <c r="B79" s="6" t="s">
        <v>49</v>
      </c>
      <c r="C79" s="7">
        <f t="shared" ref="C79:K79" si="149">IFERROR(SUM(C73:C78),0)</f>
        <v>0</v>
      </c>
      <c r="D79" s="7">
        <f t="shared" si="149"/>
        <v>0</v>
      </c>
      <c r="E79" s="7">
        <f t="shared" si="149"/>
        <v>0</v>
      </c>
      <c r="F79" s="7">
        <f t="shared" si="149"/>
        <v>2325161</v>
      </c>
      <c r="G79" s="7">
        <f t="shared" si="149"/>
        <v>2406728</v>
      </c>
      <c r="H79" s="7">
        <f t="shared" si="149"/>
        <v>2486411</v>
      </c>
      <c r="I79" s="7">
        <f t="shared" si="149"/>
        <v>2442553</v>
      </c>
      <c r="J79" s="7">
        <f t="shared" si="149"/>
        <v>2511952</v>
      </c>
      <c r="K79" s="7">
        <f t="shared" si="149"/>
        <v>2437320</v>
      </c>
      <c r="L79" s="7">
        <f t="shared" ref="L79:S79" si="150">IFERROR(SUM(L73:L78),0)</f>
        <v>2321718</v>
      </c>
      <c r="M79" s="7">
        <f t="shared" si="150"/>
        <v>2365051</v>
      </c>
      <c r="N79" s="7">
        <f t="shared" si="150"/>
        <v>2525665</v>
      </c>
      <c r="O79" s="7">
        <f t="shared" si="150"/>
        <v>2474865</v>
      </c>
      <c r="P79" s="7">
        <f t="shared" si="150"/>
        <v>2514991</v>
      </c>
      <c r="Q79" s="7">
        <f t="shared" si="150"/>
        <v>2546337</v>
      </c>
      <c r="R79" s="7">
        <f>IFERROR(SUM(R73:R78),0)</f>
        <v>2793376</v>
      </c>
      <c r="S79" s="7">
        <f t="shared" si="150"/>
        <v>2830401</v>
      </c>
    </row>
    <row r="81" spans="1:47">
      <c r="B81" s="2" t="s">
        <v>51</v>
      </c>
      <c r="F81" s="4">
        <v>19271</v>
      </c>
      <c r="G81" s="4">
        <v>19890</v>
      </c>
      <c r="H81" s="4">
        <v>20578</v>
      </c>
      <c r="I81" s="4">
        <v>21327</v>
      </c>
      <c r="J81" s="4">
        <v>21952</v>
      </c>
      <c r="K81" s="4">
        <v>23845</v>
      </c>
      <c r="L81" s="4">
        <v>24453</v>
      </c>
      <c r="M81" s="4">
        <v>24977</v>
      </c>
      <c r="N81" s="4">
        <v>25490</v>
      </c>
      <c r="O81" s="4">
        <v>26466</v>
      </c>
      <c r="P81" s="4">
        <v>27015</v>
      </c>
      <c r="Q81" s="4">
        <v>27186</v>
      </c>
      <c r="R81" s="4">
        <v>27411</v>
      </c>
      <c r="S81" s="4">
        <v>27545</v>
      </c>
    </row>
    <row r="82" spans="1:47">
      <c r="B82" s="2" t="s">
        <v>68</v>
      </c>
      <c r="F82" s="4">
        <v>50000</v>
      </c>
      <c r="G82" s="4">
        <v>50000</v>
      </c>
      <c r="H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  <row r="83" spans="1:47">
      <c r="B83" s="2" t="s">
        <v>56</v>
      </c>
      <c r="F83" s="4">
        <v>66977</v>
      </c>
      <c r="G83" s="4">
        <v>86131</v>
      </c>
      <c r="H83" s="4">
        <v>89300</v>
      </c>
      <c r="I83" s="4">
        <v>80444</v>
      </c>
      <c r="J83" s="4">
        <v>95234</v>
      </c>
      <c r="K83" s="4">
        <v>100093</v>
      </c>
      <c r="L83" s="4">
        <v>101619</v>
      </c>
      <c r="M83" s="4">
        <v>98678</v>
      </c>
      <c r="N83" s="4">
        <v>105560</v>
      </c>
      <c r="O83" s="4">
        <v>113834</v>
      </c>
      <c r="P83" s="4">
        <v>120653</v>
      </c>
      <c r="Q83" s="4">
        <v>126219</v>
      </c>
      <c r="R83" s="4">
        <v>131638</v>
      </c>
      <c r="S83" s="4">
        <v>140287</v>
      </c>
      <c r="AT83" s="7"/>
      <c r="AU83" s="7"/>
    </row>
    <row r="84" spans="1:47">
      <c r="B84" s="2" t="s">
        <v>57</v>
      </c>
      <c r="F84" s="4">
        <v>232812</v>
      </c>
      <c r="G84" s="4">
        <v>182358</v>
      </c>
      <c r="H84" s="4">
        <v>177946</v>
      </c>
      <c r="I84" s="4">
        <v>160670</v>
      </c>
      <c r="J84" s="4">
        <v>300657</v>
      </c>
      <c r="K84" s="4">
        <v>221479</v>
      </c>
      <c r="L84" s="4">
        <v>208429</v>
      </c>
      <c r="M84" s="4">
        <v>182265</v>
      </c>
      <c r="N84" s="4">
        <v>335403</v>
      </c>
      <c r="O84" s="4">
        <v>240729</v>
      </c>
      <c r="P84" s="4">
        <v>226130</v>
      </c>
      <c r="Q84" s="4">
        <v>201316</v>
      </c>
      <c r="R84" s="4">
        <v>373913</v>
      </c>
      <c r="S84" s="4">
        <v>266482</v>
      </c>
    </row>
    <row r="85" spans="1:47">
      <c r="B85" s="2" t="s">
        <v>58</v>
      </c>
      <c r="F85" s="4">
        <v>51982</v>
      </c>
      <c r="G85" s="4">
        <v>69878</v>
      </c>
      <c r="H85" s="4">
        <v>71837</v>
      </c>
      <c r="I85" s="4">
        <v>43862</v>
      </c>
      <c r="J85" s="4">
        <v>64716</v>
      </c>
      <c r="K85" s="4">
        <v>79834</v>
      </c>
      <c r="L85" s="4">
        <v>81111</v>
      </c>
      <c r="M85" s="4">
        <v>85846</v>
      </c>
      <c r="N85" s="4">
        <v>54544</v>
      </c>
      <c r="O85" s="4">
        <v>66153</v>
      </c>
      <c r="P85" s="4">
        <v>67164</v>
      </c>
      <c r="Q85" s="4">
        <v>68013</v>
      </c>
      <c r="R85" s="4">
        <v>68062</v>
      </c>
      <c r="S85" s="4">
        <v>85781</v>
      </c>
    </row>
    <row r="86" spans="1:47">
      <c r="B86" s="2" t="s">
        <v>59</v>
      </c>
      <c r="F86" s="4">
        <v>2859</v>
      </c>
      <c r="G86" s="4">
        <v>9412</v>
      </c>
      <c r="H86" s="4">
        <v>6107</v>
      </c>
      <c r="I86" s="4">
        <v>5228</v>
      </c>
      <c r="J86" s="4">
        <v>85</v>
      </c>
      <c r="K86" s="4">
        <v>3500</v>
      </c>
      <c r="L86" s="4">
        <v>462</v>
      </c>
      <c r="M86" s="4">
        <v>1391</v>
      </c>
      <c r="N86" s="4">
        <v>434</v>
      </c>
      <c r="O86" s="4">
        <v>5718</v>
      </c>
      <c r="P86" s="4">
        <v>1963</v>
      </c>
      <c r="Q86" s="4">
        <v>603</v>
      </c>
      <c r="R86" s="4">
        <v>112</v>
      </c>
      <c r="S86" s="4">
        <v>14957</v>
      </c>
    </row>
    <row r="87" spans="1:47">
      <c r="B87" s="2" t="s">
        <v>60</v>
      </c>
      <c r="F87" s="4">
        <v>24751</v>
      </c>
      <c r="G87" s="4">
        <v>32310</v>
      </c>
      <c r="H87" s="4">
        <v>1976</v>
      </c>
      <c r="I87" s="4">
        <v>33451</v>
      </c>
      <c r="J87" s="4">
        <v>33375</v>
      </c>
      <c r="K87" s="4">
        <v>33690</v>
      </c>
      <c r="L87" s="4">
        <v>34659</v>
      </c>
      <c r="M87" s="4">
        <v>37391</v>
      </c>
      <c r="N87" s="4">
        <v>35264</v>
      </c>
      <c r="O87" s="4">
        <v>38401</v>
      </c>
      <c r="P87" s="4">
        <v>40673</v>
      </c>
      <c r="Q87" s="4">
        <v>42478</v>
      </c>
      <c r="R87" s="4">
        <v>42758</v>
      </c>
      <c r="S87" s="4">
        <v>45757</v>
      </c>
    </row>
    <row r="88" spans="1:47">
      <c r="B88" s="2" t="s">
        <v>61</v>
      </c>
      <c r="F88" s="4">
        <v>57666</v>
      </c>
      <c r="G88" s="4">
        <v>58185</v>
      </c>
      <c r="H88" s="4">
        <v>82064</v>
      </c>
      <c r="I88" s="4">
        <v>98872</v>
      </c>
      <c r="J88" s="4">
        <v>86125</v>
      </c>
      <c r="K88" s="4">
        <v>79333</v>
      </c>
      <c r="L88" s="4">
        <v>77726</v>
      </c>
      <c r="M88" s="4">
        <v>85145</v>
      </c>
      <c r="N88" s="4">
        <v>95315</v>
      </c>
      <c r="O88" s="4">
        <v>96797</v>
      </c>
      <c r="P88" s="4">
        <v>88385</v>
      </c>
      <c r="Q88" s="4">
        <v>95611</v>
      </c>
      <c r="R88" s="4">
        <v>101540</v>
      </c>
      <c r="S88" s="4">
        <v>105619</v>
      </c>
    </row>
    <row r="89" spans="1:47" s="7" customFormat="1">
      <c r="A89" s="6"/>
      <c r="B89" s="6" t="s">
        <v>55</v>
      </c>
      <c r="F89" s="7">
        <f t="shared" ref="F89:M89" si="151">+SUM(F81:F88)</f>
        <v>506318</v>
      </c>
      <c r="G89" s="7">
        <f t="shared" si="151"/>
        <v>508164</v>
      </c>
      <c r="H89" s="7">
        <f t="shared" si="151"/>
        <v>449808</v>
      </c>
      <c r="I89" s="7">
        <f t="shared" si="151"/>
        <v>443854</v>
      </c>
      <c r="J89" s="7">
        <f t="shared" si="151"/>
        <v>602144</v>
      </c>
      <c r="K89" s="7">
        <f t="shared" si="151"/>
        <v>541774</v>
      </c>
      <c r="L89" s="7">
        <f t="shared" si="151"/>
        <v>528459</v>
      </c>
      <c r="M89" s="7">
        <f t="shared" si="151"/>
        <v>515693</v>
      </c>
      <c r="N89" s="7">
        <f>+SUM(N81:N88)</f>
        <v>652010</v>
      </c>
      <c r="O89" s="7">
        <f t="shared" ref="O89" si="152">+SUM(O81:O88)</f>
        <v>588098</v>
      </c>
      <c r="P89" s="7">
        <f t="shared" ref="P89:S89" si="153">+SUM(P81:P88)</f>
        <v>571983</v>
      </c>
      <c r="Q89" s="7">
        <f t="shared" si="153"/>
        <v>561426</v>
      </c>
      <c r="R89" s="7">
        <f t="shared" si="153"/>
        <v>745434</v>
      </c>
      <c r="S89" s="7">
        <f t="shared" si="153"/>
        <v>686428</v>
      </c>
    </row>
    <row r="90" spans="1:47">
      <c r="B90" s="2" t="s">
        <v>51</v>
      </c>
      <c r="F90" s="4">
        <v>572171</v>
      </c>
      <c r="G90" s="4">
        <v>580005</v>
      </c>
      <c r="H90" s="4">
        <v>590443</v>
      </c>
      <c r="I90" s="4">
        <v>603964</v>
      </c>
      <c r="J90" s="4">
        <v>622892</v>
      </c>
      <c r="K90" s="4">
        <v>649069</v>
      </c>
      <c r="L90" s="4">
        <v>657476</v>
      </c>
      <c r="M90" s="4">
        <v>672774</v>
      </c>
      <c r="N90" s="4">
        <v>677874</v>
      </c>
      <c r="O90" s="4">
        <v>692016</v>
      </c>
      <c r="P90" s="4">
        <v>712800</v>
      </c>
      <c r="Q90" s="4">
        <v>730163</v>
      </c>
      <c r="R90" s="4">
        <v>743476</v>
      </c>
      <c r="S90" s="4">
        <v>766516</v>
      </c>
    </row>
    <row r="91" spans="1:47">
      <c r="B91" s="2" t="s">
        <v>63</v>
      </c>
      <c r="F91" s="4">
        <v>190000</v>
      </c>
      <c r="G91" s="4">
        <v>190000</v>
      </c>
      <c r="H91" s="4">
        <v>190000</v>
      </c>
      <c r="I91" s="4">
        <v>190000</v>
      </c>
      <c r="J91" s="4">
        <v>100000</v>
      </c>
      <c r="K91" s="4">
        <v>100000</v>
      </c>
      <c r="L91" s="4">
        <v>75000</v>
      </c>
      <c r="M91" s="4">
        <v>75000</v>
      </c>
      <c r="N91" s="4">
        <v>50000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</row>
    <row r="92" spans="1:47">
      <c r="B92" s="2" t="s">
        <v>64</v>
      </c>
      <c r="F92" s="4">
        <v>7481</v>
      </c>
      <c r="G92" s="4">
        <v>7516</v>
      </c>
      <c r="H92" s="4">
        <v>7490</v>
      </c>
      <c r="I92" s="4">
        <v>8023</v>
      </c>
      <c r="J92" s="4">
        <v>8027</v>
      </c>
      <c r="K92" s="4">
        <v>8167</v>
      </c>
      <c r="L92" s="4">
        <v>8218</v>
      </c>
      <c r="M92" s="4">
        <v>8060</v>
      </c>
      <c r="N92" s="4">
        <v>7979</v>
      </c>
      <c r="O92" s="4">
        <v>8487</v>
      </c>
      <c r="P92" s="4">
        <v>8594</v>
      </c>
      <c r="Q92" s="4">
        <v>8873</v>
      </c>
      <c r="R92" s="4">
        <v>8893</v>
      </c>
      <c r="S92" s="4">
        <v>9414</v>
      </c>
    </row>
    <row r="93" spans="1:47">
      <c r="B93" s="2" t="s">
        <v>65</v>
      </c>
      <c r="F93" s="4">
        <v>2802</v>
      </c>
      <c r="G93" s="4">
        <v>3823</v>
      </c>
      <c r="H93" s="4">
        <v>5753</v>
      </c>
      <c r="I93" s="4">
        <v>2370</v>
      </c>
      <c r="J93" s="4">
        <v>11734</v>
      </c>
      <c r="K93" s="4">
        <v>14154</v>
      </c>
      <c r="L93" s="4">
        <v>15430</v>
      </c>
      <c r="M93" s="4">
        <v>16770</v>
      </c>
      <c r="N93" s="4">
        <v>20979</v>
      </c>
      <c r="O93" s="4">
        <v>23674</v>
      </c>
      <c r="P93" s="4">
        <v>22454</v>
      </c>
      <c r="Q93" s="4">
        <v>23393</v>
      </c>
      <c r="R93" s="4">
        <v>23104</v>
      </c>
      <c r="S93" s="4">
        <v>23306</v>
      </c>
    </row>
    <row r="94" spans="1:47">
      <c r="B94" s="2" t="s">
        <v>61</v>
      </c>
      <c r="F94" s="4">
        <v>103338</v>
      </c>
      <c r="G94" s="4">
        <v>107202</v>
      </c>
      <c r="H94" s="4">
        <v>112768</v>
      </c>
      <c r="I94" s="4">
        <v>113735</v>
      </c>
      <c r="J94" s="4">
        <v>93671</v>
      </c>
      <c r="K94" s="4">
        <v>88897</v>
      </c>
      <c r="L94" s="4">
        <v>83116</v>
      </c>
      <c r="M94" s="4">
        <v>84121</v>
      </c>
      <c r="N94" s="4">
        <v>89161</v>
      </c>
      <c r="O94" s="4">
        <v>92051</v>
      </c>
      <c r="P94" s="4">
        <v>100910</v>
      </c>
      <c r="Q94" s="4">
        <v>103316</v>
      </c>
      <c r="R94" s="4">
        <v>114958</v>
      </c>
      <c r="S94" s="4">
        <v>121621</v>
      </c>
    </row>
    <row r="95" spans="1:47" s="7" customFormat="1">
      <c r="A95" s="6"/>
      <c r="B95" s="6" t="s">
        <v>62</v>
      </c>
      <c r="F95" s="7">
        <f t="shared" ref="F95:M95" si="154">+SUM(F89:F94)</f>
        <v>1382110</v>
      </c>
      <c r="G95" s="7">
        <f t="shared" si="154"/>
        <v>1396710</v>
      </c>
      <c r="H95" s="7">
        <f t="shared" si="154"/>
        <v>1356262</v>
      </c>
      <c r="I95" s="7">
        <f t="shared" si="154"/>
        <v>1361946</v>
      </c>
      <c r="J95" s="7">
        <f t="shared" si="154"/>
        <v>1438468</v>
      </c>
      <c r="K95" s="7">
        <f t="shared" si="154"/>
        <v>1402061</v>
      </c>
      <c r="L95" s="7">
        <f t="shared" si="154"/>
        <v>1367699</v>
      </c>
      <c r="M95" s="7">
        <f t="shared" si="154"/>
        <v>1372418</v>
      </c>
      <c r="N95" s="7">
        <f t="shared" ref="N95:O95" si="155">+SUM(N89:N94)</f>
        <v>1498003</v>
      </c>
      <c r="O95" s="7">
        <f t="shared" si="155"/>
        <v>1404326</v>
      </c>
      <c r="P95" s="7">
        <f t="shared" ref="P95:S95" si="156">+SUM(P89:P94)</f>
        <v>1416741</v>
      </c>
      <c r="Q95" s="7">
        <f t="shared" si="156"/>
        <v>1427171</v>
      </c>
      <c r="R95" s="7">
        <f t="shared" si="156"/>
        <v>1635865</v>
      </c>
      <c r="S95" s="7">
        <f t="shared" si="156"/>
        <v>1607285</v>
      </c>
    </row>
    <row r="96" spans="1:47">
      <c r="B96" s="2" t="s">
        <v>66</v>
      </c>
      <c r="F96" s="4">
        <v>943051</v>
      </c>
      <c r="G96" s="4">
        <v>1010018</v>
      </c>
      <c r="H96" s="4">
        <v>1062683</v>
      </c>
      <c r="I96" s="4">
        <v>1080607</v>
      </c>
      <c r="J96" s="4">
        <v>1073484</v>
      </c>
      <c r="K96" s="4">
        <v>1035259</v>
      </c>
      <c r="L96" s="4">
        <v>954019</v>
      </c>
      <c r="M96" s="4">
        <v>992633</v>
      </c>
      <c r="N96" s="4">
        <v>1027662</v>
      </c>
      <c r="O96" s="4">
        <v>1070539</v>
      </c>
      <c r="P96" s="4">
        <v>1098250</v>
      </c>
      <c r="Q96" s="4">
        <v>1119166</v>
      </c>
      <c r="R96" s="4">
        <v>1157511</v>
      </c>
      <c r="S96" s="4">
        <v>1223116</v>
      </c>
    </row>
    <row r="97" spans="1:34" s="7" customFormat="1">
      <c r="A97" s="6"/>
      <c r="B97" s="6" t="s">
        <v>67</v>
      </c>
      <c r="C97" s="7">
        <f t="shared" ref="C97:E97" si="157">+SUM(C95:C96)</f>
        <v>0</v>
      </c>
      <c r="D97" s="7">
        <f t="shared" si="157"/>
        <v>0</v>
      </c>
      <c r="E97" s="7">
        <f t="shared" si="157"/>
        <v>0</v>
      </c>
      <c r="F97" s="7">
        <f>+SUM(F95:F96)</f>
        <v>2325161</v>
      </c>
      <c r="G97" s="7">
        <f t="shared" ref="G97:H97" si="158">+SUM(G95:G96)</f>
        <v>2406728</v>
      </c>
      <c r="H97" s="7">
        <f t="shared" si="158"/>
        <v>2418945</v>
      </c>
      <c r="I97" s="7">
        <f t="shared" ref="I97:N97" si="159">+SUM(I95:I96)</f>
        <v>2442553</v>
      </c>
      <c r="J97" s="7">
        <f t="shared" si="159"/>
        <v>2511952</v>
      </c>
      <c r="K97" s="7">
        <f t="shared" si="159"/>
        <v>2437320</v>
      </c>
      <c r="L97" s="7">
        <f t="shared" si="159"/>
        <v>2321718</v>
      </c>
      <c r="M97" s="7">
        <f t="shared" si="159"/>
        <v>2365051</v>
      </c>
      <c r="N97" s="7">
        <f t="shared" si="159"/>
        <v>2525665</v>
      </c>
      <c r="O97" s="7">
        <f>+O95+O96</f>
        <v>2474865</v>
      </c>
      <c r="P97" s="7">
        <f>+P95+P96</f>
        <v>2514991</v>
      </c>
      <c r="Q97" s="7">
        <f>+Q95+Q96</f>
        <v>2546337</v>
      </c>
      <c r="R97" s="7">
        <f t="shared" ref="R97:S97" si="160">+R95+R96</f>
        <v>2793376</v>
      </c>
      <c r="S97" s="7">
        <f t="shared" si="160"/>
        <v>2830401</v>
      </c>
    </row>
    <row r="99" spans="1:34">
      <c r="B99" s="13" t="s">
        <v>138</v>
      </c>
    </row>
    <row r="100" spans="1:34" s="10" customFormat="1">
      <c r="A100" s="9"/>
      <c r="B100" s="9" t="s">
        <v>69</v>
      </c>
      <c r="H100" s="10">
        <f t="shared" ref="H100:S100" si="161">+SUM(E34:H34)/H96</f>
        <v>0.17976950793416288</v>
      </c>
      <c r="I100" s="10">
        <f t="shared" si="161"/>
        <v>0.1977842083199535</v>
      </c>
      <c r="J100" s="10">
        <f t="shared" si="161"/>
        <v>0.22918646202458537</v>
      </c>
      <c r="K100" s="10">
        <f t="shared" si="161"/>
        <v>0.2472134992306273</v>
      </c>
      <c r="L100" s="10">
        <f t="shared" si="161"/>
        <v>0.2654695556377808</v>
      </c>
      <c r="M100" s="10">
        <f t="shared" si="161"/>
        <v>0.26568530363185588</v>
      </c>
      <c r="N100" s="10">
        <f t="shared" si="161"/>
        <v>0.26411213025294311</v>
      </c>
      <c r="O100" s="10">
        <f t="shared" si="161"/>
        <v>0.26463678576866417</v>
      </c>
      <c r="P100" s="10">
        <f t="shared" si="161"/>
        <v>0.26662690644206694</v>
      </c>
      <c r="Q100" s="10">
        <f t="shared" si="161"/>
        <v>0.26225689486635584</v>
      </c>
      <c r="R100" s="10">
        <f t="shared" si="161"/>
        <v>0.26362686834077603</v>
      </c>
      <c r="S100" s="10">
        <f t="shared" si="161"/>
        <v>0.2715327082631574</v>
      </c>
    </row>
    <row r="101" spans="1:34">
      <c r="B101" s="2" t="s">
        <v>103</v>
      </c>
      <c r="G101" s="4">
        <f>+G68-F68</f>
        <v>132491</v>
      </c>
      <c r="H101" s="4">
        <f>+H68-G68</f>
        <v>-12227</v>
      </c>
      <c r="I101" s="4">
        <f>+I68-H68</f>
        <v>-46856</v>
      </c>
      <c r="J101" s="4">
        <f>+J68-I68</f>
        <v>-100918</v>
      </c>
      <c r="K101" s="4">
        <f t="shared" ref="K101:L101" si="162">+K68-J68</f>
        <v>-9922</v>
      </c>
      <c r="L101" s="4">
        <f t="shared" si="162"/>
        <v>-145312</v>
      </c>
      <c r="M101" s="4">
        <f>+M68-L68</f>
        <v>4904</v>
      </c>
      <c r="N101" s="4">
        <f t="shared" ref="N101:S101" si="163">+N68-M68</f>
        <v>-11454</v>
      </c>
      <c r="O101" s="4">
        <f t="shared" si="163"/>
        <v>-17718</v>
      </c>
      <c r="P101" s="4">
        <f t="shared" si="163"/>
        <v>-48819</v>
      </c>
      <c r="Q101" s="4">
        <f t="shared" si="163"/>
        <v>-38000</v>
      </c>
      <c r="R101" s="4">
        <f t="shared" si="163"/>
        <v>34922</v>
      </c>
      <c r="S101" s="4">
        <f t="shared" si="163"/>
        <v>109182</v>
      </c>
    </row>
    <row r="102" spans="1:34">
      <c r="B102" s="2" t="s">
        <v>104</v>
      </c>
      <c r="G102" s="4">
        <f>+G139</f>
        <v>0</v>
      </c>
      <c r="H102" s="4">
        <f>IF(H139=-H139,H139,0)</f>
        <v>0</v>
      </c>
      <c r="I102" s="4">
        <f>IF(I139=-I139,I139,0)</f>
        <v>0</v>
      </c>
      <c r="J102" s="4">
        <f>+J139</f>
        <v>-90000</v>
      </c>
      <c r="K102" s="4">
        <f>+K139</f>
        <v>0</v>
      </c>
      <c r="L102" s="4">
        <f t="shared" ref="L102:M102" si="164">+L139</f>
        <v>-25000</v>
      </c>
      <c r="M102" s="4">
        <f t="shared" si="164"/>
        <v>0</v>
      </c>
      <c r="N102" s="4">
        <f t="shared" ref="N102:Q102" si="165">+N139</f>
        <v>-25000</v>
      </c>
      <c r="O102" s="4">
        <f t="shared" si="165"/>
        <v>-50000</v>
      </c>
      <c r="P102" s="4">
        <f t="shared" si="165"/>
        <v>0</v>
      </c>
      <c r="Q102" s="4">
        <f t="shared" si="165"/>
        <v>0</v>
      </c>
      <c r="R102" s="4">
        <f t="shared" ref="R102" si="166">+R139</f>
        <v>0</v>
      </c>
      <c r="S102" s="4">
        <f t="shared" ref="S102" si="167">+S139</f>
        <v>0</v>
      </c>
    </row>
    <row r="103" spans="1:34">
      <c r="B103" s="2" t="s">
        <v>105</v>
      </c>
      <c r="H103" s="4">
        <f t="shared" ref="H103:K103" si="168">+H91-G91</f>
        <v>0</v>
      </c>
      <c r="I103" s="4">
        <f t="shared" si="168"/>
        <v>0</v>
      </c>
      <c r="J103" s="4">
        <f t="shared" si="168"/>
        <v>-90000</v>
      </c>
      <c r="K103" s="4">
        <f t="shared" si="168"/>
        <v>0</v>
      </c>
      <c r="L103" s="4">
        <f>+L91-K91</f>
        <v>-25000</v>
      </c>
      <c r="M103" s="4">
        <f>+M91-L91</f>
        <v>0</v>
      </c>
      <c r="N103" s="4">
        <f t="shared" ref="N103:S103" si="169">+N91-M91</f>
        <v>-25000</v>
      </c>
      <c r="O103" s="4">
        <f t="shared" si="169"/>
        <v>-50000</v>
      </c>
      <c r="P103" s="4">
        <f t="shared" si="169"/>
        <v>0</v>
      </c>
      <c r="Q103" s="4">
        <f t="shared" si="169"/>
        <v>0</v>
      </c>
      <c r="R103" s="4">
        <f t="shared" si="169"/>
        <v>0</v>
      </c>
      <c r="S103" s="4">
        <f t="shared" si="169"/>
        <v>0</v>
      </c>
    </row>
    <row r="104" spans="1:34" s="12" customFormat="1">
      <c r="A104" s="14"/>
      <c r="B104" s="14" t="s">
        <v>136</v>
      </c>
      <c r="H104" s="12" t="str">
        <f t="shared" ref="H104:L104" si="170">IF(H102=H103,"Match","NM")</f>
        <v>Match</v>
      </c>
      <c r="I104" s="12" t="str">
        <f t="shared" si="170"/>
        <v>Match</v>
      </c>
      <c r="J104" s="12" t="str">
        <f t="shared" si="170"/>
        <v>Match</v>
      </c>
      <c r="K104" s="12" t="str">
        <f t="shared" si="170"/>
        <v>Match</v>
      </c>
      <c r="L104" s="12" t="str">
        <f t="shared" si="170"/>
        <v>Match</v>
      </c>
      <c r="M104" s="12" t="str">
        <f>IF(M102=M103,"Match","NM")</f>
        <v>Match</v>
      </c>
      <c r="N104" s="12" t="str">
        <f t="shared" ref="N104:Q104" si="171">IF(N102=N103,"Match","NM")</f>
        <v>Match</v>
      </c>
      <c r="O104" s="12" t="str">
        <f t="shared" si="171"/>
        <v>Match</v>
      </c>
      <c r="P104" s="12" t="str">
        <f t="shared" si="171"/>
        <v>Match</v>
      </c>
      <c r="Q104" s="12" t="str">
        <f t="shared" si="171"/>
        <v>Match</v>
      </c>
      <c r="R104" s="12" t="str">
        <f t="shared" ref="R104" si="172">IF(R102=R103,"Match","NM")</f>
        <v>Match</v>
      </c>
      <c r="S104" s="12" t="str">
        <f t="shared" ref="S104" si="173">IF(S102=S103,"Match","NM")</f>
        <v>Match</v>
      </c>
    </row>
    <row r="105" spans="1:34">
      <c r="B105" s="2" t="s">
        <v>137</v>
      </c>
      <c r="C105" s="4">
        <f>+C73-C89</f>
        <v>0</v>
      </c>
      <c r="D105" s="4">
        <f t="shared" ref="D105:Q105" si="174">+D73-D89</f>
        <v>0</v>
      </c>
      <c r="E105" s="4">
        <f t="shared" si="174"/>
        <v>0</v>
      </c>
      <c r="F105" s="4">
        <f t="shared" si="174"/>
        <v>4333</v>
      </c>
      <c r="G105" s="4">
        <f t="shared" si="174"/>
        <v>69454</v>
      </c>
      <c r="H105" s="4">
        <f t="shared" si="174"/>
        <v>131965</v>
      </c>
      <c r="I105" s="4">
        <f t="shared" si="174"/>
        <v>94061</v>
      </c>
      <c r="J105" s="4">
        <f t="shared" si="174"/>
        <v>-38619</v>
      </c>
      <c r="K105" s="4">
        <f t="shared" si="174"/>
        <v>-115787</v>
      </c>
      <c r="L105" s="4">
        <f t="shared" si="174"/>
        <v>-247515</v>
      </c>
      <c r="M105" s="4">
        <f t="shared" si="174"/>
        <v>-238315</v>
      </c>
      <c r="N105" s="4">
        <f t="shared" si="174"/>
        <v>-255169</v>
      </c>
      <c r="O105" s="4">
        <f t="shared" si="174"/>
        <v>-319380</v>
      </c>
      <c r="P105" s="4">
        <f t="shared" si="174"/>
        <v>-338698</v>
      </c>
      <c r="Q105" s="4">
        <f t="shared" si="174"/>
        <v>-379940</v>
      </c>
      <c r="R105" s="4">
        <f t="shared" ref="R105" si="175">+R73-R89</f>
        <v>-388960</v>
      </c>
      <c r="S105" s="4">
        <f t="shared" ref="S105" si="176">+S73-S89</f>
        <v>-342033</v>
      </c>
    </row>
    <row r="106" spans="1:34" s="12" customFormat="1">
      <c r="A106" s="14"/>
      <c r="B106" s="14"/>
    </row>
    <row r="108" spans="1:34">
      <c r="B108" s="2" t="s">
        <v>71</v>
      </c>
      <c r="C108" s="4">
        <f t="shared" ref="C108:Q108" si="177">+C34</f>
        <v>16624</v>
      </c>
      <c r="D108" s="4">
        <f t="shared" si="177"/>
        <v>-33993</v>
      </c>
      <c r="E108" s="4">
        <f t="shared" si="177"/>
        <v>29946</v>
      </c>
      <c r="F108" s="4">
        <f t="shared" si="177"/>
        <v>20941</v>
      </c>
      <c r="G108" s="4">
        <f t="shared" si="177"/>
        <v>64654</v>
      </c>
      <c r="H108" s="4">
        <f t="shared" si="177"/>
        <v>75497</v>
      </c>
      <c r="I108" s="4">
        <f t="shared" si="177"/>
        <v>52635</v>
      </c>
      <c r="J108" s="4">
        <f t="shared" si="177"/>
        <v>53242</v>
      </c>
      <c r="K108" s="4">
        <f t="shared" si="177"/>
        <v>74556</v>
      </c>
      <c r="L108" s="4">
        <f t="shared" si="177"/>
        <v>72830</v>
      </c>
      <c r="M108" s="4">
        <f t="shared" si="177"/>
        <v>63100</v>
      </c>
      <c r="N108" s="4">
        <f t="shared" si="177"/>
        <v>60932</v>
      </c>
      <c r="O108" s="4">
        <f t="shared" si="177"/>
        <v>86442</v>
      </c>
      <c r="P108" s="4">
        <f t="shared" si="177"/>
        <v>82349</v>
      </c>
      <c r="Q108" s="4">
        <f t="shared" si="177"/>
        <v>63786</v>
      </c>
    </row>
    <row r="109" spans="1:34" s="7" customFormat="1">
      <c r="A109" s="6"/>
      <c r="B109" s="6" t="s">
        <v>72</v>
      </c>
      <c r="G109" s="7">
        <v>66430</v>
      </c>
      <c r="H109" s="7">
        <f>144355-G109</f>
        <v>77925</v>
      </c>
      <c r="I109" s="7">
        <f>198571-SUM(G109:H109)</f>
        <v>54216</v>
      </c>
      <c r="J109" s="7">
        <f>+AG109-SUM(G109:I109)</f>
        <v>54743</v>
      </c>
      <c r="K109" s="7">
        <v>77328</v>
      </c>
      <c r="L109" s="7">
        <f>151865-K109</f>
        <v>74537</v>
      </c>
      <c r="M109" s="7">
        <f>215828-SUM(K109:L109)</f>
        <v>63963</v>
      </c>
      <c r="N109" s="7">
        <f>+AH109-SUM(K109:M109)</f>
        <v>61769</v>
      </c>
      <c r="O109" s="7">
        <v>88604</v>
      </c>
      <c r="P109" s="7">
        <f>173029-O109</f>
        <v>84425</v>
      </c>
      <c r="Q109" s="7">
        <f>238653-SUM(O109:P109)</f>
        <v>65624</v>
      </c>
      <c r="AE109" s="7">
        <v>181518</v>
      </c>
      <c r="AF109" s="7">
        <v>34925</v>
      </c>
      <c r="AG109" s="7">
        <v>253314</v>
      </c>
      <c r="AH109" s="7">
        <v>277597</v>
      </c>
    </row>
    <row r="110" spans="1:34">
      <c r="B110" s="2" t="s">
        <v>27</v>
      </c>
      <c r="G110" s="4">
        <v>30869</v>
      </c>
      <c r="H110" s="4">
        <f>62519-G110</f>
        <v>31650</v>
      </c>
      <c r="I110" s="4">
        <f>94146-SUM(G110:H110)</f>
        <v>31627</v>
      </c>
      <c r="J110" s="4">
        <f>+AG110-SUM(G110:I110)</f>
        <v>32615</v>
      </c>
      <c r="K110" s="4">
        <v>33620</v>
      </c>
      <c r="L110" s="4">
        <f>68040-K110</f>
        <v>34420</v>
      </c>
      <c r="M110" s="4">
        <f>101775-SUM(K110:L110)</f>
        <v>33735</v>
      </c>
      <c r="N110" s="4">
        <f>+AH110-SUM(K110:M110)</f>
        <v>35462</v>
      </c>
      <c r="O110" s="4">
        <v>36227</v>
      </c>
      <c r="P110" s="4">
        <f>73640-O110</f>
        <v>37413</v>
      </c>
      <c r="Q110" s="4">
        <f>112764-SUM(O110:P110)</f>
        <v>39124</v>
      </c>
      <c r="AE110" s="4">
        <v>115544</v>
      </c>
      <c r="AF110" s="4">
        <v>117877</v>
      </c>
      <c r="AG110" s="4">
        <v>126761</v>
      </c>
      <c r="AH110" s="4">
        <v>137237</v>
      </c>
    </row>
    <row r="111" spans="1:34">
      <c r="B111" s="2" t="s">
        <v>77</v>
      </c>
      <c r="G111" s="4">
        <v>1025</v>
      </c>
      <c r="H111" s="4">
        <f>2948-G111</f>
        <v>1923</v>
      </c>
      <c r="I111" s="4">
        <f>+-435-SUM(G111:H111)</f>
        <v>-3383</v>
      </c>
      <c r="J111" s="4">
        <f>+AG111-SUM(G111:I111)</f>
        <v>9331</v>
      </c>
      <c r="K111" s="4">
        <v>2630</v>
      </c>
      <c r="L111" s="4">
        <f>3906-K111</f>
        <v>1276</v>
      </c>
      <c r="M111" s="4">
        <f>5246-SUM(K111:L111)</f>
        <v>1340</v>
      </c>
      <c r="N111" s="4">
        <f>+AH111-SUM(K111:M111)</f>
        <v>4210</v>
      </c>
      <c r="O111" s="4">
        <v>2988</v>
      </c>
      <c r="P111" s="4">
        <f>1767-O111</f>
        <v>-1221</v>
      </c>
      <c r="Q111" s="4">
        <f>2707-SUM(O111:P111)</f>
        <v>940</v>
      </c>
      <c r="AE111" s="4">
        <v>6335</v>
      </c>
      <c r="AF111" s="4">
        <v>-19932</v>
      </c>
      <c r="AG111" s="4">
        <v>8896</v>
      </c>
      <c r="AH111" s="4">
        <v>9456</v>
      </c>
    </row>
    <row r="112" spans="1:34">
      <c r="B112" s="2" t="s">
        <v>78</v>
      </c>
      <c r="G112" s="4">
        <v>324</v>
      </c>
      <c r="H112" s="4">
        <f>1072-G112</f>
        <v>748</v>
      </c>
      <c r="I112" s="4">
        <f>2312-SUM(G112:H112)</f>
        <v>1240</v>
      </c>
      <c r="J112" s="4">
        <f>+AG112-SUM(G112:I112)</f>
        <v>855</v>
      </c>
      <c r="K112" s="4">
        <v>1151</v>
      </c>
      <c r="L112" s="4">
        <f>1991-K112</f>
        <v>840</v>
      </c>
      <c r="M112" s="4">
        <f>3635-SUM(K112:L112)</f>
        <v>1644</v>
      </c>
      <c r="N112" s="4">
        <f>+AH112-SUM(K112:M112)</f>
        <v>1571</v>
      </c>
      <c r="O112" s="4">
        <v>1223</v>
      </c>
      <c r="P112" s="4">
        <f>3475-O112</f>
        <v>2252</v>
      </c>
      <c r="Q112" s="4">
        <f>4315-SUM(O112:P112)</f>
        <v>840</v>
      </c>
      <c r="AE112" s="4">
        <v>5885</v>
      </c>
      <c r="AF112" s="4">
        <v>3144</v>
      </c>
      <c r="AG112" s="4">
        <v>3167</v>
      </c>
      <c r="AH112" s="4">
        <v>5206</v>
      </c>
    </row>
    <row r="113" spans="2:34">
      <c r="B113" s="2" t="s">
        <v>79</v>
      </c>
      <c r="G113" s="4">
        <v>494</v>
      </c>
      <c r="H113" s="4">
        <f>505-G113</f>
        <v>11</v>
      </c>
      <c r="I113" s="4">
        <f>512-SUM(G113:H113)</f>
        <v>7</v>
      </c>
      <c r="J113" s="4">
        <f>+AG113-SUM(G113:I113)</f>
        <v>161</v>
      </c>
      <c r="K113" s="4">
        <v>26</v>
      </c>
      <c r="L113" s="4">
        <f>386-K113</f>
        <v>360</v>
      </c>
      <c r="M113" s="4">
        <f>772-SUM(K113:L113)</f>
        <v>386</v>
      </c>
      <c r="N113" s="4">
        <f>+AH113-SUM(K113:M113)</f>
        <v>998</v>
      </c>
      <c r="O113" s="4">
        <v>0</v>
      </c>
      <c r="P113" s="4">
        <f>39-O113</f>
        <v>39</v>
      </c>
      <c r="Q113" s="4">
        <f>41-SUM(O113:P113)</f>
        <v>2</v>
      </c>
      <c r="AE113" s="4">
        <v>-1283</v>
      </c>
      <c r="AF113" s="4">
        <v>2290</v>
      </c>
      <c r="AG113" s="4">
        <v>673</v>
      </c>
      <c r="AH113" s="4">
        <v>1770</v>
      </c>
    </row>
    <row r="114" spans="2:34">
      <c r="B114" s="2" t="s">
        <v>80</v>
      </c>
      <c r="G114" s="4">
        <v>217</v>
      </c>
      <c r="H114" s="4">
        <f>+-22-G114</f>
        <v>-239</v>
      </c>
      <c r="I114" s="4">
        <f>+-288-SUM(G114:H114)</f>
        <v>-266</v>
      </c>
      <c r="J114" s="4">
        <f>+AG114-SUM(G114:I114)</f>
        <v>925</v>
      </c>
      <c r="K114" s="4">
        <v>-334</v>
      </c>
      <c r="L114" s="4">
        <f>+-879-K114</f>
        <v>-545</v>
      </c>
      <c r="M114" s="4">
        <f>+-1069-SUM(K114:L114)</f>
        <v>-190</v>
      </c>
      <c r="N114" s="4">
        <f>+AH114-SUM(K114:M114)</f>
        <v>-170</v>
      </c>
      <c r="O114" s="4">
        <v>-755</v>
      </c>
      <c r="P114" s="4">
        <f>+-1042-O114</f>
        <v>-287</v>
      </c>
      <c r="Q114" s="4">
        <f>+-1181-SUM(O114:P114)</f>
        <v>-139</v>
      </c>
      <c r="AE114" s="4">
        <v>-378</v>
      </c>
      <c r="AF114" s="4">
        <v>500</v>
      </c>
      <c r="AG114" s="4">
        <v>637</v>
      </c>
      <c r="AH114" s="4">
        <v>-1239</v>
      </c>
    </row>
    <row r="115" spans="2:34">
      <c r="B115" s="2" t="s">
        <v>81</v>
      </c>
      <c r="G115" s="4">
        <v>122</v>
      </c>
      <c r="H115" s="4">
        <f>401-G115</f>
        <v>279</v>
      </c>
      <c r="I115" s="4">
        <f>729-SUM(G115:H115)</f>
        <v>328</v>
      </c>
      <c r="J115" s="4">
        <f>+AG115-SUM(G115:I115)</f>
        <v>342</v>
      </c>
      <c r="K115" s="4">
        <v>332</v>
      </c>
      <c r="L115" s="4">
        <f>619-K115</f>
        <v>287</v>
      </c>
      <c r="M115" s="4">
        <f>817-SUM(K115:L115)</f>
        <v>198</v>
      </c>
      <c r="N115" s="4">
        <f>+AH115-SUM(K115:M115)</f>
        <v>205</v>
      </c>
      <c r="O115" s="4">
        <v>170</v>
      </c>
      <c r="P115" s="4">
        <f>358-O115</f>
        <v>188</v>
      </c>
      <c r="Q115" s="4">
        <f>493-SUM(O115:P115)</f>
        <v>135</v>
      </c>
      <c r="AE115" s="4">
        <v>1837</v>
      </c>
      <c r="AF115" s="4">
        <v>329</v>
      </c>
      <c r="AG115" s="4">
        <v>1071</v>
      </c>
      <c r="AH115" s="4">
        <v>1022</v>
      </c>
    </row>
    <row r="116" spans="2:34">
      <c r="B116" s="2" t="s">
        <v>82</v>
      </c>
      <c r="G116" s="4">
        <v>9</v>
      </c>
      <c r="H116" s="4">
        <f>+-1-G116</f>
        <v>-10</v>
      </c>
      <c r="I116" s="4">
        <f>3-SUM(G116:H116)</f>
        <v>4</v>
      </c>
      <c r="J116" s="4">
        <f>+AG116-SUM(G116:I116)</f>
        <v>4</v>
      </c>
      <c r="K116" s="4">
        <v>12</v>
      </c>
      <c r="L116" s="4">
        <f>27-K116</f>
        <v>15</v>
      </c>
      <c r="M116" s="4">
        <f>36-SUM(K116:L116)</f>
        <v>9</v>
      </c>
      <c r="N116" s="4">
        <f>+AH116-SUM(K116:M116)</f>
        <v>-3</v>
      </c>
      <c r="O116" s="4">
        <v>28</v>
      </c>
      <c r="P116" s="4">
        <f>1-O116</f>
        <v>-27</v>
      </c>
      <c r="Q116" s="4">
        <f>4-SUM(O116:P116)</f>
        <v>3</v>
      </c>
      <c r="AE116" s="4">
        <v>-22</v>
      </c>
      <c r="AF116" s="4">
        <v>-1</v>
      </c>
      <c r="AG116" s="4">
        <v>7</v>
      </c>
      <c r="AH116" s="4">
        <v>33</v>
      </c>
    </row>
    <row r="117" spans="2:34">
      <c r="B117" s="2" t="s">
        <v>83</v>
      </c>
      <c r="G117" s="4">
        <v>9908</v>
      </c>
      <c r="H117" s="4">
        <f>19817-G117</f>
        <v>9909</v>
      </c>
      <c r="I117" s="4">
        <f>30797-SUM(G117:H117)</f>
        <v>10980</v>
      </c>
      <c r="J117" s="4">
        <f>+AG117-SUM(G117:I117)</f>
        <v>7342</v>
      </c>
      <c r="K117" s="4">
        <v>9120</v>
      </c>
      <c r="L117" s="4">
        <f>18612-K117</f>
        <v>9492</v>
      </c>
      <c r="M117" s="4">
        <f>28192-SUM(K117:L117)</f>
        <v>9580</v>
      </c>
      <c r="N117" s="4">
        <f>+AH117-SUM(K117:M117)</f>
        <v>8471</v>
      </c>
      <c r="O117" s="4">
        <v>8154</v>
      </c>
      <c r="P117" s="4">
        <f>16744-O117</f>
        <v>8590</v>
      </c>
      <c r="Q117" s="4">
        <f>25266-SUM(O117:P117)</f>
        <v>8522</v>
      </c>
      <c r="AE117" s="4">
        <v>35500</v>
      </c>
      <c r="AF117" s="4">
        <v>29431</v>
      </c>
      <c r="AG117" s="4">
        <v>38139</v>
      </c>
      <c r="AH117" s="4">
        <v>36663</v>
      </c>
    </row>
    <row r="118" spans="2:34">
      <c r="B118" s="2" t="s">
        <v>102</v>
      </c>
      <c r="G118" s="4">
        <v>60791</v>
      </c>
      <c r="H118" s="4">
        <f>50143-G118</f>
        <v>-10648</v>
      </c>
      <c r="I118" s="4">
        <f>46395-SUM(G118:H118)</f>
        <v>-3748</v>
      </c>
      <c r="J118" s="4">
        <f>+AG118-SUM(G118:I118)</f>
        <v>-108794</v>
      </c>
      <c r="K118" s="4">
        <v>116419</v>
      </c>
      <c r="L118" s="4">
        <f>115998-K118</f>
        <v>-421</v>
      </c>
      <c r="M118" s="4">
        <f>123551-SUM(K118:L118)</f>
        <v>7553</v>
      </c>
      <c r="N118" s="4">
        <f>+AH118-SUM(K118:M118)</f>
        <v>-112489</v>
      </c>
      <c r="O118" s="4">
        <v>109483</v>
      </c>
      <c r="P118" s="4">
        <f>90501-O118</f>
        <v>-18982</v>
      </c>
      <c r="Q118" s="4">
        <f>102068-SUM(O118:P118)</f>
        <v>11567</v>
      </c>
      <c r="AE118" s="4">
        <v>-5774</v>
      </c>
      <c r="AF118" s="4">
        <v>1058</v>
      </c>
      <c r="AG118" s="4">
        <v>-62399</v>
      </c>
      <c r="AH118" s="4">
        <v>11062</v>
      </c>
    </row>
    <row r="119" spans="2:34">
      <c r="B119" s="2" t="s">
        <v>45</v>
      </c>
      <c r="G119" s="4">
        <v>-998</v>
      </c>
      <c r="H119" s="4">
        <f>+-3270-G119</f>
        <v>-2272</v>
      </c>
      <c r="I119" s="4">
        <f>+-5420-SUM(G119:H119)</f>
        <v>-2150</v>
      </c>
      <c r="J119" s="4">
        <f>+AG119-SUM(G119:I119)</f>
        <v>-3811</v>
      </c>
      <c r="K119" s="4">
        <v>1820</v>
      </c>
      <c r="L119" s="4">
        <f>84-K119</f>
        <v>-1736</v>
      </c>
      <c r="M119" s="4">
        <f>+-990-SUM(K119:L119)</f>
        <v>-1074</v>
      </c>
      <c r="N119" s="4">
        <f>+AH119-SUM(K119:M119)</f>
        <v>-5109</v>
      </c>
      <c r="O119" s="4">
        <v>1612</v>
      </c>
      <c r="P119" s="4">
        <f>303-O119</f>
        <v>-1309</v>
      </c>
      <c r="Q119" s="4">
        <f>1835-SUM(O119:P119)</f>
        <v>1532</v>
      </c>
      <c r="AE119" s="4">
        <v>-1414</v>
      </c>
      <c r="AF119" s="4">
        <v>-2017</v>
      </c>
      <c r="AG119" s="4">
        <v>-9231</v>
      </c>
      <c r="AH119" s="4">
        <v>-6099</v>
      </c>
    </row>
    <row r="120" spans="2:34">
      <c r="B120" s="2" t="s">
        <v>47</v>
      </c>
      <c r="G120" s="4">
        <v>874</v>
      </c>
      <c r="H120" s="4">
        <f>2782-G120</f>
        <v>1908</v>
      </c>
      <c r="I120" s="4">
        <f>5311-SUM(G120:H120)</f>
        <v>2529</v>
      </c>
      <c r="J120" s="4">
        <f>+AG120-SUM(G120:I120)</f>
        <v>-7796</v>
      </c>
      <c r="K120" s="4">
        <v>651</v>
      </c>
      <c r="L120" s="4">
        <f>4294-K120</f>
        <v>3643</v>
      </c>
      <c r="M120" s="4">
        <f>2831-SUM(K120:L120)</f>
        <v>-1463</v>
      </c>
      <c r="N120" s="4">
        <f>+AH120-SUM(K120:M120)</f>
        <v>-9371</v>
      </c>
      <c r="O120" s="4">
        <v>-3224</v>
      </c>
      <c r="P120" s="4">
        <f>5111-O120</f>
        <v>8335</v>
      </c>
      <c r="Q120" s="4">
        <f>5821-SUM(O120:P120)</f>
        <v>710</v>
      </c>
      <c r="AE120" s="4">
        <v>-2049</v>
      </c>
      <c r="AF120" s="4">
        <v>-2133</v>
      </c>
      <c r="AG120" s="4">
        <v>-2485</v>
      </c>
      <c r="AH120" s="4">
        <v>-6540</v>
      </c>
    </row>
    <row r="121" spans="2:34">
      <c r="B121" s="2" t="s">
        <v>54</v>
      </c>
      <c r="G121" s="4">
        <v>-2786</v>
      </c>
      <c r="H121" s="4">
        <f>+-7178-G121</f>
        <v>-4392</v>
      </c>
      <c r="I121" s="4">
        <f>+-11553-SUM(G121:H121)</f>
        <v>-4375</v>
      </c>
      <c r="J121" s="4">
        <f>+AG121-SUM(G121:I121)</f>
        <v>-2365</v>
      </c>
      <c r="K121" s="4">
        <v>5756</v>
      </c>
      <c r="L121" s="4">
        <f>13852-K121</f>
        <v>8096</v>
      </c>
      <c r="M121" s="4">
        <f>10313-SUM(K121:L121)</f>
        <v>-3539</v>
      </c>
      <c r="N121" s="4">
        <f>+AH121-SUM(K121:M121)</f>
        <v>-4538</v>
      </c>
      <c r="O121" s="4">
        <v>-2265</v>
      </c>
      <c r="P121" s="4">
        <f>+-10119-O121</f>
        <v>-7854</v>
      </c>
      <c r="Q121" s="4">
        <f>+-12680-SUM(O121:P121)</f>
        <v>-2561</v>
      </c>
      <c r="AE121" s="4">
        <v>-12823</v>
      </c>
      <c r="AF121" s="4">
        <v>-12698</v>
      </c>
      <c r="AG121" s="4">
        <v>-13918</v>
      </c>
      <c r="AH121" s="4">
        <v>5775</v>
      </c>
    </row>
    <row r="122" spans="2:34">
      <c r="B122" s="2" t="s">
        <v>56</v>
      </c>
      <c r="G122" s="4">
        <v>19937</v>
      </c>
      <c r="H122" s="4">
        <f>21301-G122</f>
        <v>1364</v>
      </c>
      <c r="I122" s="4">
        <f>13667-SUM(G122:H122)</f>
        <v>-7634</v>
      </c>
      <c r="J122" s="4">
        <f>+AG122-SUM(G122:I122)</f>
        <v>14063</v>
      </c>
      <c r="K122" s="4">
        <v>6275</v>
      </c>
      <c r="L122" s="4">
        <f>4301-K122</f>
        <v>-1974</v>
      </c>
      <c r="M122" s="4">
        <f>1941-SUM(K122:L122)</f>
        <v>-2360</v>
      </c>
      <c r="N122" s="4">
        <f>+AH122-SUM(K122:M122)</f>
        <v>3467</v>
      </c>
      <c r="O122" s="4">
        <v>10418</v>
      </c>
      <c r="P122" s="4">
        <f>14365-O122</f>
        <v>3947</v>
      </c>
      <c r="Q122" s="4">
        <f>14188-SUM(O122:P122)</f>
        <v>-177</v>
      </c>
      <c r="AE122" s="4">
        <v>407</v>
      </c>
      <c r="AF122" s="4">
        <v>490</v>
      </c>
      <c r="AG122" s="4">
        <v>27730</v>
      </c>
      <c r="AH122" s="4">
        <v>5408</v>
      </c>
    </row>
    <row r="123" spans="2:34">
      <c r="B123" s="2" t="s">
        <v>84</v>
      </c>
      <c r="G123" s="4">
        <v>-50454</v>
      </c>
      <c r="H123" s="4">
        <f>+-54866-G123</f>
        <v>-4412</v>
      </c>
      <c r="I123" s="4">
        <f>+-72142-SUM(G123:H123)</f>
        <v>-17276</v>
      </c>
      <c r="J123" s="4">
        <f>+AG123-SUM(G123:I123)</f>
        <v>139987</v>
      </c>
      <c r="K123" s="4">
        <v>-80009</v>
      </c>
      <c r="L123" s="4">
        <f>+-93175-K123</f>
        <v>-13166</v>
      </c>
      <c r="M123" s="4">
        <f>+-119338-SUM(K123:L123)</f>
        <v>-26163</v>
      </c>
      <c r="N123" s="4">
        <f>+AH123-SUM(K123:M123)</f>
        <v>153137</v>
      </c>
      <c r="O123" s="4">
        <v>-95838</v>
      </c>
      <c r="P123" s="4">
        <f>+-110436-O123</f>
        <v>-14598</v>
      </c>
      <c r="Q123" s="4">
        <f>+-135251-SUM(O123:P123)</f>
        <v>-24815</v>
      </c>
      <c r="AE123" s="4">
        <v>16991</v>
      </c>
      <c r="AF123" s="4">
        <v>23458</v>
      </c>
      <c r="AG123" s="4">
        <v>67845</v>
      </c>
      <c r="AH123" s="4">
        <v>33799</v>
      </c>
    </row>
    <row r="124" spans="2:34">
      <c r="B124" s="2" t="s">
        <v>85</v>
      </c>
      <c r="G124" s="4">
        <v>17896</v>
      </c>
      <c r="H124" s="4">
        <f>19855-G124</f>
        <v>1959</v>
      </c>
      <c r="I124" s="4">
        <f>+-8120-SUM(G124:H124)</f>
        <v>-27975</v>
      </c>
      <c r="J124" s="4">
        <f>+AG124-SUM(G124:I124)</f>
        <v>20854</v>
      </c>
      <c r="K124" s="4">
        <v>15118</v>
      </c>
      <c r="L124" s="4">
        <f>16395-K124</f>
        <v>1277</v>
      </c>
      <c r="M124" s="4">
        <f>21130-SUM(K124:L124)</f>
        <v>4735</v>
      </c>
      <c r="N124" s="4">
        <f>+AH124-SUM(K124:M124)</f>
        <v>-31302</v>
      </c>
      <c r="O124" s="4">
        <v>11609</v>
      </c>
      <c r="P124" s="4">
        <f>12620-O124</f>
        <v>1011</v>
      </c>
      <c r="Q124" s="4">
        <f>13469-SUM(O124:P124)</f>
        <v>849</v>
      </c>
      <c r="AE124" s="4">
        <v>5540</v>
      </c>
      <c r="AF124" s="4">
        <v>12283</v>
      </c>
      <c r="AG124" s="4">
        <v>12734</v>
      </c>
      <c r="AH124" s="4">
        <v>-10172</v>
      </c>
    </row>
    <row r="125" spans="2:34">
      <c r="B125" s="2" t="s">
        <v>86</v>
      </c>
      <c r="G125" s="4">
        <v>11055</v>
      </c>
      <c r="H125" s="4">
        <f>2589-G125</f>
        <v>-8466</v>
      </c>
      <c r="I125" s="4">
        <f>2078-SUM(G125:H125)</f>
        <v>-511</v>
      </c>
      <c r="J125" s="4">
        <f>+AG125-SUM(G125:I125)</f>
        <v>-11051</v>
      </c>
      <c r="K125" s="4">
        <v>11447</v>
      </c>
      <c r="L125" s="4">
        <f>6611-K125</f>
        <v>-4836</v>
      </c>
      <c r="M125" s="4">
        <f>10886-SUM(K125:L125)</f>
        <v>4275</v>
      </c>
      <c r="N125" s="4">
        <f>+AH125-SUM(K125:M125)</f>
        <v>-4933</v>
      </c>
      <c r="O125" s="4">
        <v>10381</v>
      </c>
      <c r="P125" s="4">
        <f>5224-O125</f>
        <v>-5157</v>
      </c>
      <c r="Q125" s="4">
        <f>2443-SUM(O125:P125)</f>
        <v>-2781</v>
      </c>
      <c r="AE125" s="4">
        <v>5554</v>
      </c>
      <c r="AF125" s="4">
        <v>372</v>
      </c>
      <c r="AG125" s="4">
        <v>-8973</v>
      </c>
      <c r="AH125" s="4">
        <v>5953</v>
      </c>
    </row>
    <row r="126" spans="2:34">
      <c r="B126" s="2" t="s">
        <v>60</v>
      </c>
      <c r="G126" s="4">
        <v>7559</v>
      </c>
      <c r="H126" s="4">
        <f>7225-G126</f>
        <v>-334</v>
      </c>
      <c r="I126" s="4">
        <f>8700-SUM(G126:H126)</f>
        <v>1475</v>
      </c>
      <c r="J126" s="4">
        <f>+AG126-SUM(G126:I126)</f>
        <v>-76</v>
      </c>
      <c r="K126" s="4">
        <v>315</v>
      </c>
      <c r="L126" s="4">
        <f>1284-K126</f>
        <v>969</v>
      </c>
      <c r="M126" s="4">
        <f>4016-SUM(K126:L126)</f>
        <v>2732</v>
      </c>
      <c r="N126" s="4">
        <f>+AH126-SUM(K126:M126)</f>
        <v>-2127</v>
      </c>
      <c r="O126" s="4">
        <v>3137</v>
      </c>
      <c r="P126" s="4">
        <f>5346-O126</f>
        <v>2209</v>
      </c>
      <c r="Q126" s="4">
        <f>7041-SUM(O126:P126)</f>
        <v>1695</v>
      </c>
      <c r="AE126" s="4">
        <v>5802</v>
      </c>
      <c r="AF126" s="4">
        <v>-5700</v>
      </c>
      <c r="AG126" s="4">
        <v>8624</v>
      </c>
      <c r="AH126" s="4">
        <v>1889</v>
      </c>
    </row>
    <row r="127" spans="2:34">
      <c r="B127" s="2" t="s">
        <v>88</v>
      </c>
      <c r="G127" s="4">
        <v>-643</v>
      </c>
      <c r="H127" s="4">
        <f>14649-G127</f>
        <v>15292</v>
      </c>
      <c r="I127" s="4">
        <f>27252-SUM(G127:H127)</f>
        <v>12603</v>
      </c>
      <c r="J127" s="4">
        <f>+AG127-SUM(G127:I127)</f>
        <v>-6900</v>
      </c>
      <c r="K127" s="4">
        <v>-10676</v>
      </c>
      <c r="L127" s="4">
        <f>+-8339-K127</f>
        <v>2337</v>
      </c>
      <c r="M127" s="4">
        <f>+-8916-SUM(K127:L127)</f>
        <v>-577</v>
      </c>
      <c r="N127" s="4">
        <f>+AH127-SUM(K127:M127)</f>
        <v>11063</v>
      </c>
      <c r="O127" s="4">
        <v>3044</v>
      </c>
      <c r="P127" s="4">
        <f>+-7624-O127</f>
        <v>-10668</v>
      </c>
      <c r="Q127" s="4">
        <f>+-10117-SUM(O127:P127)</f>
        <v>-2493</v>
      </c>
      <c r="AE127" s="4">
        <v>-3773</v>
      </c>
      <c r="AF127" s="4">
        <v>4099</v>
      </c>
      <c r="AG127" s="4">
        <v>20352</v>
      </c>
      <c r="AH127" s="4">
        <v>2147</v>
      </c>
    </row>
    <row r="128" spans="2:34">
      <c r="B128" s="2" t="s">
        <v>51</v>
      </c>
      <c r="G128" s="4">
        <v>1520</v>
      </c>
      <c r="H128" s="4">
        <f>2592-G128</f>
        <v>1072</v>
      </c>
      <c r="I128" s="4">
        <f>5797-SUM(G128:H128)</f>
        <v>3205</v>
      </c>
      <c r="J128" s="4">
        <f>+AG128-SUM(G128:I128)</f>
        <v>-244</v>
      </c>
      <c r="K128" s="4">
        <v>1542</v>
      </c>
      <c r="L128" s="4">
        <f>3385-K128</f>
        <v>1843</v>
      </c>
      <c r="M128" s="4">
        <f>3950-SUM(K128:L128)</f>
        <v>565</v>
      </c>
      <c r="N128" s="4">
        <f>+AH128-SUM(K128:M128)</f>
        <v>1318</v>
      </c>
      <c r="O128" s="4">
        <v>1090</v>
      </c>
      <c r="P128" s="4">
        <f>3178-O128</f>
        <v>2088</v>
      </c>
      <c r="Q128" s="4">
        <f>4702-SUM(O128:P128)</f>
        <v>1524</v>
      </c>
      <c r="AE128" s="4">
        <v>5826</v>
      </c>
      <c r="AF128" s="4">
        <v>4635</v>
      </c>
      <c r="AG128" s="4">
        <v>5553</v>
      </c>
      <c r="AH128" s="4">
        <v>5268</v>
      </c>
    </row>
    <row r="129" spans="1:34">
      <c r="B129" s="2" t="s">
        <v>87</v>
      </c>
      <c r="G129" s="4">
        <v>3864</v>
      </c>
      <c r="H129" s="4">
        <f>9430-G129</f>
        <v>5566</v>
      </c>
      <c r="I129" s="4">
        <f>10397-SUM(G129:H129)</f>
        <v>967</v>
      </c>
      <c r="J129" s="4">
        <f>+AG129-SUM(G129:I129)</f>
        <v>-20068</v>
      </c>
      <c r="K129" s="4">
        <v>-4774</v>
      </c>
      <c r="L129" s="4">
        <f>+-10554-K129</f>
        <v>-5780</v>
      </c>
      <c r="M129" s="4">
        <f>+-9549-SUM(K129:L129)</f>
        <v>1005</v>
      </c>
      <c r="N129" s="4">
        <f>+AH129-SUM(K129:M129)</f>
        <v>5039</v>
      </c>
      <c r="O129" s="4">
        <v>2895</v>
      </c>
      <c r="P129" s="4">
        <f>11753-O129</f>
        <v>8858</v>
      </c>
      <c r="Q129" s="4">
        <f>14158-SUM(O129:P129)</f>
        <v>2405</v>
      </c>
      <c r="AE129" s="4">
        <v>15075</v>
      </c>
      <c r="AF129" s="4">
        <v>38028</v>
      </c>
      <c r="AG129" s="4">
        <v>-9671</v>
      </c>
      <c r="AH129" s="4">
        <v>-4510</v>
      </c>
    </row>
    <row r="130" spans="1:34" s="7" customFormat="1">
      <c r="A130" s="6"/>
      <c r="B130" s="6" t="s">
        <v>76</v>
      </c>
      <c r="G130" s="7">
        <f t="shared" ref="G130:P130" si="178">SUM(G109:G129)</f>
        <v>178013</v>
      </c>
      <c r="H130" s="7">
        <f t="shared" si="178"/>
        <v>118833</v>
      </c>
      <c r="I130" s="7">
        <f t="shared" si="178"/>
        <v>51863</v>
      </c>
      <c r="J130" s="7">
        <f t="shared" si="178"/>
        <v>120117</v>
      </c>
      <c r="K130" s="7">
        <f t="shared" si="178"/>
        <v>187769</v>
      </c>
      <c r="L130" s="7">
        <f t="shared" si="178"/>
        <v>110934</v>
      </c>
      <c r="M130" s="7">
        <f t="shared" si="178"/>
        <v>96354</v>
      </c>
      <c r="N130" s="7">
        <f t="shared" si="178"/>
        <v>116668</v>
      </c>
      <c r="O130" s="7">
        <f t="shared" si="178"/>
        <v>188981</v>
      </c>
      <c r="P130" s="7">
        <f t="shared" si="178"/>
        <v>99252</v>
      </c>
      <c r="Q130" s="7">
        <f t="shared" ref="Q130" si="179">SUM(Q109:Q129)</f>
        <v>102506</v>
      </c>
      <c r="S130" s="7">
        <v>243439</v>
      </c>
      <c r="AE130" s="7">
        <f>+SUM(AE109:AE129)</f>
        <v>374298</v>
      </c>
      <c r="AF130" s="7">
        <f t="shared" ref="AF130:AH130" si="180">+SUM(AF109:AF129)</f>
        <v>230438</v>
      </c>
      <c r="AG130" s="7">
        <f t="shared" si="180"/>
        <v>468826</v>
      </c>
      <c r="AH130" s="7">
        <f t="shared" si="180"/>
        <v>511725</v>
      </c>
    </row>
    <row r="132" spans="1:34">
      <c r="B132" s="2" t="s">
        <v>89</v>
      </c>
      <c r="G132" s="4">
        <v>-38666</v>
      </c>
      <c r="H132" s="4">
        <f>+-85068-G132</f>
        <v>-46402</v>
      </c>
      <c r="I132" s="4">
        <f>+-139001-SUM(G132:H132)</f>
        <v>-53933</v>
      </c>
      <c r="J132" s="4">
        <f>+AG132-SUM(G132:I132)</f>
        <v>-61691</v>
      </c>
      <c r="K132" s="4">
        <v>-49029</v>
      </c>
      <c r="L132" s="4">
        <f>+-108567-K132</f>
        <v>-59538</v>
      </c>
      <c r="M132" s="4">
        <f>+-174194-SUM(K132:L132)</f>
        <v>-65627</v>
      </c>
      <c r="N132" s="4">
        <f>+AH132-SUM(K132:M132)</f>
        <v>-71927</v>
      </c>
      <c r="O132" s="4">
        <v>-66733</v>
      </c>
      <c r="P132" s="4">
        <f>+-154580-O132</f>
        <v>-87847</v>
      </c>
      <c r="Q132" s="4">
        <f>+-243895-SUM(O132:P132)</f>
        <v>-89315</v>
      </c>
      <c r="S132" s="4">
        <v>-77672</v>
      </c>
      <c r="AE132" s="4">
        <v>-214340</v>
      </c>
      <c r="AF132" s="4">
        <f>+-154401</f>
        <v>-154401</v>
      </c>
      <c r="AG132" s="4">
        <v>-200692</v>
      </c>
      <c r="AH132" s="4">
        <v>-246121</v>
      </c>
    </row>
    <row r="133" spans="1:34">
      <c r="B133" s="2" t="s">
        <v>90</v>
      </c>
      <c r="G133" s="4">
        <v>0</v>
      </c>
      <c r="H133" s="4">
        <f>0-G133</f>
        <v>0</v>
      </c>
      <c r="I133" s="4">
        <f>0-SUM(G133:H133)</f>
        <v>0</v>
      </c>
      <c r="J133" s="4">
        <f>+AG133-SUM(G133:I133)</f>
        <v>0</v>
      </c>
      <c r="K133" s="4">
        <v>-26437</v>
      </c>
      <c r="L133" s="4">
        <f>+-33069-K133</f>
        <v>-6632</v>
      </c>
      <c r="M133" s="4">
        <f>+-33069-SUM(K133:L133)</f>
        <v>0</v>
      </c>
      <c r="N133" s="4">
        <f>+AH133-SUM(K133:M133)</f>
        <v>0</v>
      </c>
      <c r="O133" s="4">
        <v>-39111</v>
      </c>
      <c r="P133" s="4">
        <f>+-39153-O133</f>
        <v>-42</v>
      </c>
      <c r="Q133" s="4">
        <f>+-39153-SUM(O133:P133)</f>
        <v>0</v>
      </c>
      <c r="AE133" s="4">
        <v>-1536</v>
      </c>
      <c r="AF133" s="4">
        <v>-10580</v>
      </c>
      <c r="AG133" s="4">
        <v>0</v>
      </c>
      <c r="AH133" s="4">
        <v>-33069</v>
      </c>
    </row>
    <row r="134" spans="1:34">
      <c r="B134" s="2" t="s">
        <v>99</v>
      </c>
      <c r="H134" s="4">
        <f>0-G134</f>
        <v>0</v>
      </c>
      <c r="I134" s="4">
        <f>0-SUM(G134:H134)</f>
        <v>0</v>
      </c>
      <c r="J134" s="4">
        <f>+AG134-SUM(G134:I134)</f>
        <v>0</v>
      </c>
      <c r="L134" s="4">
        <f>316-K134</f>
        <v>316</v>
      </c>
      <c r="M134" s="4">
        <f>316-SUM(K134:L134)</f>
        <v>0</v>
      </c>
      <c r="N134" s="4">
        <f>+AH134-SUM(K134:M134)</f>
        <v>0</v>
      </c>
      <c r="O134" s="4">
        <v>472</v>
      </c>
      <c r="P134" s="4">
        <f>632-O134</f>
        <v>160</v>
      </c>
      <c r="Q134" s="4">
        <f>632-SUM(O134:P134)</f>
        <v>0</v>
      </c>
      <c r="AH134" s="4">
        <v>316</v>
      </c>
    </row>
    <row r="135" spans="1:34">
      <c r="B135" s="2" t="s">
        <v>91</v>
      </c>
      <c r="G135" s="4">
        <v>0</v>
      </c>
      <c r="H135" s="4">
        <f>0-G135</f>
        <v>0</v>
      </c>
      <c r="I135" s="4">
        <f>0-SUM(G135:H135)</f>
        <v>0</v>
      </c>
      <c r="J135" s="4">
        <f>+AG135-SUM(G135:I135)</f>
        <v>0</v>
      </c>
      <c r="K135" s="4">
        <v>2188</v>
      </c>
      <c r="L135" s="4">
        <f>2188-K135</f>
        <v>0</v>
      </c>
      <c r="M135" s="4">
        <f>2262-SUM(K135:L135)</f>
        <v>74</v>
      </c>
      <c r="N135" s="4">
        <f>+AH135-SUM(K135:M135)</f>
        <v>7</v>
      </c>
      <c r="P135" s="4">
        <f>0-O135</f>
        <v>0</v>
      </c>
      <c r="Q135" s="4">
        <f>1800-SUM(O135:P135)</f>
        <v>1800</v>
      </c>
      <c r="AE135" s="4">
        <v>1056</v>
      </c>
      <c r="AF135" s="4">
        <v>0</v>
      </c>
      <c r="AG135" s="4">
        <v>0</v>
      </c>
      <c r="AH135" s="4">
        <v>2269</v>
      </c>
    </row>
    <row r="136" spans="1:34">
      <c r="B136" s="2" t="s">
        <v>92</v>
      </c>
      <c r="G136" s="4">
        <v>2192</v>
      </c>
      <c r="H136" s="4">
        <f>3285-G136</f>
        <v>1093</v>
      </c>
      <c r="I136" s="4">
        <f>5588-SUM(G136:H136)</f>
        <v>2303</v>
      </c>
      <c r="J136" s="4">
        <f>+AG136-SUM(G136:I136)</f>
        <v>0</v>
      </c>
      <c r="K136" s="4">
        <v>0</v>
      </c>
      <c r="L136" s="4">
        <v>0</v>
      </c>
      <c r="M136" s="4">
        <f>9078-SUM(K136:L136)</f>
        <v>9078</v>
      </c>
      <c r="N136" s="4">
        <f>+AH136-SUM(K136:M136)</f>
        <v>3793</v>
      </c>
      <c r="O136" s="4">
        <v>2072</v>
      </c>
      <c r="P136" s="4">
        <f>7097-O136</f>
        <v>5025</v>
      </c>
      <c r="Q136" s="4">
        <f>7097-SUM(O136:P136)</f>
        <v>0</v>
      </c>
      <c r="AE136" s="4">
        <v>0</v>
      </c>
      <c r="AF136" s="4">
        <v>2167</v>
      </c>
      <c r="AG136" s="4">
        <v>5588</v>
      </c>
      <c r="AH136" s="4">
        <v>12871</v>
      </c>
    </row>
    <row r="137" spans="1:34" s="7" customFormat="1">
      <c r="A137" s="6"/>
      <c r="B137" s="6" t="s">
        <v>75</v>
      </c>
      <c r="G137" s="7">
        <f t="shared" ref="G137:P137" si="181">+SUM(G132:G136)</f>
        <v>-36474</v>
      </c>
      <c r="H137" s="7">
        <f t="shared" si="181"/>
        <v>-45309</v>
      </c>
      <c r="I137" s="7">
        <f t="shared" si="181"/>
        <v>-51630</v>
      </c>
      <c r="J137" s="7">
        <f t="shared" si="181"/>
        <v>-61691</v>
      </c>
      <c r="K137" s="7">
        <f t="shared" si="181"/>
        <v>-73278</v>
      </c>
      <c r="L137" s="7">
        <f t="shared" si="181"/>
        <v>-65854</v>
      </c>
      <c r="M137" s="7">
        <f t="shared" si="181"/>
        <v>-56475</v>
      </c>
      <c r="N137" s="7">
        <f t="shared" si="181"/>
        <v>-68127</v>
      </c>
      <c r="O137" s="7">
        <f t="shared" si="181"/>
        <v>-103300</v>
      </c>
      <c r="P137" s="7">
        <f t="shared" si="181"/>
        <v>-82704</v>
      </c>
      <c r="Q137" s="7">
        <f t="shared" ref="Q137" si="182">+SUM(Q132:Q136)</f>
        <v>-87515</v>
      </c>
      <c r="AE137" s="7">
        <f>+SUM(AE132:AE136)</f>
        <v>-214820</v>
      </c>
      <c r="AF137" s="7">
        <f t="shared" ref="AF137:AH137" si="183">+SUM(AF132:AF136)</f>
        <v>-162814</v>
      </c>
      <c r="AG137" s="7">
        <f t="shared" si="183"/>
        <v>-195104</v>
      </c>
      <c r="AH137" s="7">
        <f t="shared" si="183"/>
        <v>-263734</v>
      </c>
    </row>
    <row r="139" spans="1:34">
      <c r="B139" s="2" t="s">
        <v>100</v>
      </c>
      <c r="H139" s="4">
        <f>-50000-G139</f>
        <v>-50000</v>
      </c>
      <c r="I139" s="4">
        <f>+-50000-SUM(G139:H139)</f>
        <v>0</v>
      </c>
      <c r="J139" s="4">
        <f>+AG139-SUM(G139:I139)</f>
        <v>-90000</v>
      </c>
      <c r="L139" s="4">
        <f>+-25000-K139</f>
        <v>-25000</v>
      </c>
      <c r="M139" s="4">
        <f>-25000-SUM(K139:L139)</f>
        <v>0</v>
      </c>
      <c r="N139" s="4">
        <f>+AH139-SUM(K139:M139)</f>
        <v>-25000</v>
      </c>
      <c r="O139" s="4">
        <v>-50000</v>
      </c>
      <c r="P139" s="4">
        <f>+-50000-O139</f>
        <v>0</v>
      </c>
      <c r="Q139" s="4">
        <f>+-50000-SUM(O139:P139)</f>
        <v>0</v>
      </c>
      <c r="AE139" s="4">
        <v>0</v>
      </c>
      <c r="AF139" s="4">
        <v>240000</v>
      </c>
      <c r="AG139" s="4">
        <v>-140000</v>
      </c>
      <c r="AH139" s="4">
        <v>-50000</v>
      </c>
    </row>
    <row r="140" spans="1:34">
      <c r="B140" s="2" t="s">
        <v>101</v>
      </c>
      <c r="H140" s="4">
        <f>+-708-G140</f>
        <v>-708</v>
      </c>
      <c r="I140" s="4">
        <f>+-708-SUM(G140:H140)</f>
        <v>0</v>
      </c>
      <c r="J140" s="4">
        <f>+AG140-SUM(G140:I140)</f>
        <v>0</v>
      </c>
      <c r="L140" s="4">
        <f>0-K140</f>
        <v>0</v>
      </c>
      <c r="M140" s="4">
        <f>0-SUM(K140:L140)</f>
        <v>0</v>
      </c>
      <c r="N140" s="4">
        <f>+AH140-SUM(K140:M140)</f>
        <v>0</v>
      </c>
      <c r="O140" s="4">
        <v>0</v>
      </c>
      <c r="AE140" s="4">
        <v>0</v>
      </c>
      <c r="AF140" s="4">
        <v>-641</v>
      </c>
      <c r="AG140" s="4">
        <v>-708</v>
      </c>
      <c r="AH140" s="4">
        <v>0</v>
      </c>
    </row>
    <row r="141" spans="1:34">
      <c r="B141" s="2" t="s">
        <v>81</v>
      </c>
      <c r="G141" s="4">
        <v>-1429</v>
      </c>
      <c r="H141" s="4">
        <f>+-4423-G141</f>
        <v>-2994</v>
      </c>
      <c r="I141" s="4">
        <f>+-6448-SUM(G141:H141)</f>
        <v>-2025</v>
      </c>
      <c r="J141" s="4">
        <f>+AG141-SUM(G141:I141)</f>
        <v>-1758</v>
      </c>
      <c r="K141" s="4">
        <v>-2007</v>
      </c>
      <c r="L141" s="4">
        <f>-4137-K141</f>
        <v>-2130</v>
      </c>
      <c r="M141" s="4">
        <f>+-5841-SUM(K141:L141)</f>
        <v>-1704</v>
      </c>
      <c r="N141" s="4">
        <f>+AH141-SUM(K141:M141)</f>
        <v>-1934</v>
      </c>
      <c r="O141" s="4">
        <v>0</v>
      </c>
      <c r="AE141" s="4">
        <v>-6357</v>
      </c>
      <c r="AF141" s="4">
        <v>-3432</v>
      </c>
      <c r="AG141" s="4">
        <v>-8206</v>
      </c>
      <c r="AH141" s="4">
        <v>-7775</v>
      </c>
    </row>
    <row r="142" spans="1:34">
      <c r="B142" s="2" t="s">
        <v>35</v>
      </c>
      <c r="H142" s="4">
        <f>0-G142</f>
        <v>0</v>
      </c>
      <c r="I142" s="4">
        <f>0-SUM(G142:H142)</f>
        <v>0</v>
      </c>
      <c r="J142" s="4">
        <f>+AG142-SUM(G142:I142)</f>
        <v>0</v>
      </c>
      <c r="L142" s="4">
        <f>+-1735-K142</f>
        <v>-1735</v>
      </c>
      <c r="M142" s="4">
        <f>+-1735-SUM(K142:L142)</f>
        <v>0</v>
      </c>
      <c r="N142" s="4">
        <f>+AH142-SUM(K142:M142)</f>
        <v>0</v>
      </c>
      <c r="O142" s="4">
        <v>-1950</v>
      </c>
      <c r="P142" s="4">
        <f>+-4127-O142</f>
        <v>-2177</v>
      </c>
      <c r="Q142" s="4">
        <f>+-6021-SUM(O142:P142)</f>
        <v>-1894</v>
      </c>
      <c r="AE142" s="4">
        <v>-743</v>
      </c>
      <c r="AF142" s="4">
        <v>0</v>
      </c>
      <c r="AG142" s="4">
        <v>0</v>
      </c>
      <c r="AH142" s="4">
        <v>-1735</v>
      </c>
    </row>
    <row r="143" spans="1:34">
      <c r="B143" s="2" t="s">
        <v>93</v>
      </c>
      <c r="G143" s="4">
        <v>311</v>
      </c>
      <c r="H143" s="4">
        <f>459-G143</f>
        <v>148</v>
      </c>
      <c r="I143" s="4">
        <f>642-SUM(G143:H143)</f>
        <v>183</v>
      </c>
      <c r="J143" s="4">
        <f>+AG143-SUM(G143:I143)</f>
        <v>-40</v>
      </c>
      <c r="K143" s="4">
        <v>260</v>
      </c>
      <c r="L143" s="4">
        <f>137-K143</f>
        <v>-123</v>
      </c>
      <c r="M143" s="4">
        <f>91-SUM(K143:L143)</f>
        <v>-46</v>
      </c>
      <c r="N143" s="4">
        <f>+AH143-SUM(K143:M143)</f>
        <v>216</v>
      </c>
      <c r="O143" s="4">
        <v>482</v>
      </c>
      <c r="P143" s="4">
        <f>356-O143</f>
        <v>-126</v>
      </c>
      <c r="Q143" s="4">
        <f>485-SUM(O143:P143)</f>
        <v>129</v>
      </c>
      <c r="AE143" s="4">
        <v>62</v>
      </c>
      <c r="AF143" s="4">
        <v>-823</v>
      </c>
      <c r="AG143" s="4">
        <v>602</v>
      </c>
      <c r="AH143" s="4">
        <v>307</v>
      </c>
    </row>
    <row r="144" spans="1:34">
      <c r="B144" s="2" t="s">
        <v>94</v>
      </c>
      <c r="G144" s="4">
        <v>-7930</v>
      </c>
      <c r="H144" s="4">
        <f>+-12195-G144</f>
        <v>-4265</v>
      </c>
      <c r="I144" s="4">
        <f>+-14842-SUM(G144:H144)</f>
        <v>-2647</v>
      </c>
      <c r="J144" s="4">
        <f>+AG144-SUM(G144:I144)</f>
        <v>-2786</v>
      </c>
      <c r="K144" s="4">
        <v>-6166</v>
      </c>
      <c r="L144" s="4">
        <f>+-8664-K144</f>
        <v>-2498</v>
      </c>
      <c r="M144" s="4">
        <f>+-11108-SUM(K144:L144)</f>
        <v>-2444</v>
      </c>
      <c r="N144" s="4">
        <f>+AH144-SUM(K144:M144)</f>
        <v>-2468</v>
      </c>
      <c r="O144" s="4">
        <v>-5430</v>
      </c>
      <c r="P144" s="4">
        <f>+-8239-O144</f>
        <v>-2809</v>
      </c>
      <c r="Q144" s="4">
        <f>+-10599-SUM(O144:P144)</f>
        <v>-2360</v>
      </c>
      <c r="AE144" s="4">
        <v>-12471</v>
      </c>
      <c r="AF144" s="4">
        <v>-11684</v>
      </c>
      <c r="AG144" s="4">
        <v>-17628</v>
      </c>
      <c r="AH144" s="4">
        <v>-13576</v>
      </c>
    </row>
    <row r="145" spans="1:34">
      <c r="B145" s="2" t="s">
        <v>95</v>
      </c>
      <c r="G145" s="4">
        <v>0</v>
      </c>
      <c r="H145" s="4">
        <f>0-G145</f>
        <v>0</v>
      </c>
      <c r="I145" s="4">
        <f>+-14683-SUM(G145:H145)</f>
        <v>-14683</v>
      </c>
      <c r="J145" s="4">
        <f>+AG145-SUM(G145:I145)</f>
        <v>-36951</v>
      </c>
      <c r="K145" s="4">
        <v>-84705</v>
      </c>
      <c r="L145" s="4">
        <f>+-212859-K145</f>
        <v>-128154</v>
      </c>
      <c r="M145" s="4">
        <f>+-212859-SUM(K145:L145)</f>
        <v>0</v>
      </c>
      <c r="N145" s="4">
        <f>+AH145-SUM(K145:M145)</f>
        <v>0</v>
      </c>
      <c r="O145" s="4">
        <v>-9623</v>
      </c>
      <c r="P145" s="4">
        <f>+-33058-O145</f>
        <v>-23435</v>
      </c>
      <c r="Q145" s="4">
        <f>+-45193-SUM(O145:P145)</f>
        <v>-12135</v>
      </c>
      <c r="AE145" s="4">
        <v>-139849</v>
      </c>
      <c r="AF145" s="4">
        <v>-12621</v>
      </c>
      <c r="AG145" s="4">
        <v>-51634</v>
      </c>
      <c r="AH145" s="4">
        <v>-212859</v>
      </c>
    </row>
    <row r="146" spans="1:34">
      <c r="B146" s="2" t="s">
        <v>96</v>
      </c>
      <c r="G146" s="4">
        <v>0</v>
      </c>
      <c r="H146" s="4">
        <f>+-27932-G146</f>
        <v>-27932</v>
      </c>
      <c r="I146" s="4">
        <f>+-55849-SUM(G146:H146)</f>
        <v>-27917</v>
      </c>
      <c r="J146" s="4">
        <f>+AG146-SUM(G146:I146)</f>
        <v>-27809</v>
      </c>
      <c r="K146" s="4">
        <v>-31795</v>
      </c>
      <c r="L146" s="4">
        <f>+-62547-K146</f>
        <v>-30752</v>
      </c>
      <c r="M146" s="4">
        <f>+-93328-SUM(K146:L146)</f>
        <v>-30781</v>
      </c>
      <c r="N146" s="4">
        <f>+AH146-SUM(K146:M146)</f>
        <v>-30809</v>
      </c>
      <c r="O146" s="4">
        <v>-36878</v>
      </c>
      <c r="P146" s="4">
        <f>+-73698-O146</f>
        <v>-36820</v>
      </c>
      <c r="Q146" s="4">
        <f>+-110429-SUM(O146:P146)</f>
        <v>-36731</v>
      </c>
      <c r="AE146" s="4">
        <v>-102366</v>
      </c>
      <c r="AF146" s="4">
        <v>-24989</v>
      </c>
      <c r="AG146" s="4">
        <v>-83658</v>
      </c>
      <c r="AH146" s="4">
        <v>-124137</v>
      </c>
    </row>
    <row r="147" spans="1:34" s="7" customFormat="1">
      <c r="A147" s="6"/>
      <c r="B147" s="6" t="s">
        <v>74</v>
      </c>
      <c r="G147" s="7">
        <f>+SUM(G141:G146)</f>
        <v>-9048</v>
      </c>
      <c r="H147" s="7">
        <f>+SUM(H139:H146)</f>
        <v>-85751</v>
      </c>
      <c r="I147" s="7">
        <f>+SUM(I139:I146)</f>
        <v>-47089</v>
      </c>
      <c r="J147" s="7">
        <f>+SUM(J139:J146)</f>
        <v>-159344</v>
      </c>
      <c r="K147" s="7">
        <f>+SUM(K141:K146)</f>
        <v>-124413</v>
      </c>
      <c r="L147" s="7">
        <f>+SUM(L139:L146)</f>
        <v>-190392</v>
      </c>
      <c r="M147" s="7">
        <f>+SUM(M139:M146)</f>
        <v>-34975</v>
      </c>
      <c r="N147" s="7">
        <f t="shared" ref="N147:P147" si="184">+SUM(N139:N146)</f>
        <v>-59995</v>
      </c>
      <c r="O147" s="7">
        <f t="shared" si="184"/>
        <v>-103399</v>
      </c>
      <c r="P147" s="7">
        <f t="shared" si="184"/>
        <v>-65367</v>
      </c>
      <c r="Q147" s="7">
        <f>+SUM(Q139:Q146)</f>
        <v>-52991</v>
      </c>
      <c r="AE147" s="7">
        <f>+SUM(AE139:AE146)</f>
        <v>-261724</v>
      </c>
      <c r="AF147" s="7">
        <f t="shared" ref="AF147:AH147" si="185">+SUM(AF139:AF146)</f>
        <v>185810</v>
      </c>
      <c r="AG147" s="7">
        <f t="shared" si="185"/>
        <v>-301232</v>
      </c>
      <c r="AH147" s="7">
        <f t="shared" si="185"/>
        <v>-409775</v>
      </c>
    </row>
    <row r="149" spans="1:34" s="7" customFormat="1">
      <c r="A149" s="6"/>
      <c r="B149" s="6" t="s">
        <v>73</v>
      </c>
      <c r="G149" s="7">
        <f t="shared" ref="G149:Q149" si="186">+G130+G137+G147</f>
        <v>132491</v>
      </c>
      <c r="H149" s="7">
        <f t="shared" si="186"/>
        <v>-12227</v>
      </c>
      <c r="I149" s="7">
        <f t="shared" si="186"/>
        <v>-46856</v>
      </c>
      <c r="J149" s="7">
        <f t="shared" si="186"/>
        <v>-100918</v>
      </c>
      <c r="K149" s="7">
        <f t="shared" si="186"/>
        <v>-9922</v>
      </c>
      <c r="L149" s="7">
        <f t="shared" si="186"/>
        <v>-145312</v>
      </c>
      <c r="M149" s="7">
        <f t="shared" si="186"/>
        <v>4904</v>
      </c>
      <c r="N149" s="7">
        <f t="shared" si="186"/>
        <v>-11454</v>
      </c>
      <c r="O149" s="7">
        <f t="shared" si="186"/>
        <v>-17718</v>
      </c>
      <c r="P149" s="7">
        <f t="shared" si="186"/>
        <v>-48819</v>
      </c>
      <c r="Q149" s="7">
        <f t="shared" si="186"/>
        <v>-38000</v>
      </c>
      <c r="AE149" s="7">
        <f>+AE130+AE137+AE147</f>
        <v>-102246</v>
      </c>
      <c r="AF149" s="7">
        <f t="shared" ref="AF149:AH149" si="187">+AF130+AF137+AF147</f>
        <v>253434</v>
      </c>
      <c r="AG149" s="7">
        <f t="shared" si="187"/>
        <v>-27510</v>
      </c>
      <c r="AH149" s="7">
        <f t="shared" si="187"/>
        <v>-161784</v>
      </c>
    </row>
    <row r="150" spans="1:34">
      <c r="B150" s="2" t="s">
        <v>97</v>
      </c>
      <c r="G150" s="4">
        <f t="shared" ref="G150:M150" si="188">+F68</f>
        <v>363155</v>
      </c>
      <c r="H150" s="4">
        <f t="shared" si="188"/>
        <v>495646</v>
      </c>
      <c r="I150" s="4">
        <f t="shared" si="188"/>
        <v>483419</v>
      </c>
      <c r="J150" s="4">
        <f t="shared" si="188"/>
        <v>436563</v>
      </c>
      <c r="K150" s="4">
        <f t="shared" si="188"/>
        <v>335645</v>
      </c>
      <c r="L150" s="4">
        <f t="shared" si="188"/>
        <v>325723</v>
      </c>
      <c r="M150" s="4">
        <f t="shared" si="188"/>
        <v>180411</v>
      </c>
      <c r="N150" s="4">
        <f t="shared" ref="N150:Q150" si="189">+M68</f>
        <v>185315</v>
      </c>
      <c r="O150" s="4">
        <f t="shared" si="189"/>
        <v>173861</v>
      </c>
      <c r="P150" s="4">
        <f t="shared" si="189"/>
        <v>156143</v>
      </c>
      <c r="Q150" s="4">
        <f t="shared" si="189"/>
        <v>107324</v>
      </c>
      <c r="AE150" s="4">
        <v>210125</v>
      </c>
      <c r="AF150" s="4">
        <v>107879</v>
      </c>
      <c r="AG150" s="4">
        <v>363155</v>
      </c>
      <c r="AH150" s="4">
        <f>+AG151</f>
        <v>335645</v>
      </c>
    </row>
    <row r="151" spans="1:34" s="7" customFormat="1">
      <c r="A151" s="6"/>
      <c r="B151" s="6" t="s">
        <v>98</v>
      </c>
      <c r="G151" s="7">
        <f t="shared" ref="G151:Q151" si="190">+SUM(G149:G150)</f>
        <v>495646</v>
      </c>
      <c r="H151" s="7">
        <f t="shared" si="190"/>
        <v>483419</v>
      </c>
      <c r="I151" s="7">
        <f t="shared" si="190"/>
        <v>436563</v>
      </c>
      <c r="J151" s="7">
        <f t="shared" si="190"/>
        <v>335645</v>
      </c>
      <c r="K151" s="7">
        <f t="shared" si="190"/>
        <v>325723</v>
      </c>
      <c r="L151" s="7">
        <f t="shared" si="190"/>
        <v>180411</v>
      </c>
      <c r="M151" s="7">
        <f t="shared" si="190"/>
        <v>185315</v>
      </c>
      <c r="N151" s="7">
        <f t="shared" si="190"/>
        <v>173861</v>
      </c>
      <c r="O151" s="7">
        <f t="shared" si="190"/>
        <v>156143</v>
      </c>
      <c r="P151" s="7">
        <f t="shared" si="190"/>
        <v>107324</v>
      </c>
      <c r="Q151" s="7">
        <f t="shared" si="190"/>
        <v>69324</v>
      </c>
      <c r="AE151" s="7">
        <f>+SUM(AE149:AE150)</f>
        <v>107879</v>
      </c>
      <c r="AF151" s="7">
        <f t="shared" ref="AF151:AH151" si="191">+SUM(AF149:AF150)</f>
        <v>361313</v>
      </c>
      <c r="AG151" s="7">
        <f t="shared" si="191"/>
        <v>335645</v>
      </c>
      <c r="AH151" s="7">
        <f t="shared" si="191"/>
        <v>173861</v>
      </c>
    </row>
    <row r="154" spans="1:34">
      <c r="B154" s="2" t="s">
        <v>139</v>
      </c>
      <c r="C154" s="4">
        <f>SUM(C130,C132)</f>
        <v>0</v>
      </c>
      <c r="D154" s="4">
        <f t="shared" ref="D154:Q154" si="192">SUM(D130,D132)</f>
        <v>0</v>
      </c>
      <c r="E154" s="4">
        <f t="shared" si="192"/>
        <v>0</v>
      </c>
      <c r="F154" s="4">
        <f t="shared" si="192"/>
        <v>0</v>
      </c>
      <c r="G154" s="4">
        <f t="shared" si="192"/>
        <v>139347</v>
      </c>
      <c r="H154" s="4">
        <f t="shared" si="192"/>
        <v>72431</v>
      </c>
      <c r="I154" s="4">
        <f t="shared" si="192"/>
        <v>-2070</v>
      </c>
      <c r="J154" s="4">
        <f t="shared" si="192"/>
        <v>58426</v>
      </c>
      <c r="K154" s="4">
        <f t="shared" si="192"/>
        <v>138740</v>
      </c>
      <c r="L154" s="4">
        <f t="shared" si="192"/>
        <v>51396</v>
      </c>
      <c r="M154" s="4">
        <f t="shared" si="192"/>
        <v>30727</v>
      </c>
      <c r="N154" s="4">
        <f t="shared" si="192"/>
        <v>44741</v>
      </c>
      <c r="O154" s="4">
        <f t="shared" si="192"/>
        <v>122248</v>
      </c>
      <c r="P154" s="4">
        <f t="shared" si="192"/>
        <v>11405</v>
      </c>
      <c r="Q154" s="4">
        <f t="shared" si="192"/>
        <v>13191</v>
      </c>
      <c r="S154" s="4">
        <f t="shared" ref="S154" si="193">SUM(S130,S132)</f>
        <v>165767</v>
      </c>
      <c r="AE154" s="4">
        <f t="shared" ref="AE154:AG154" si="194">SUM(AE130,AE132)</f>
        <v>159958</v>
      </c>
      <c r="AF154" s="4">
        <f t="shared" si="194"/>
        <v>76037</v>
      </c>
      <c r="AG154" s="4">
        <f t="shared" si="194"/>
        <v>268134</v>
      </c>
      <c r="AH154" s="4">
        <f t="shared" ref="AH154" si="195">SUM(AH130,AH132)</f>
        <v>265604</v>
      </c>
    </row>
    <row r="155" spans="1:34">
      <c r="B155" s="2" t="s">
        <v>34</v>
      </c>
      <c r="C155" s="4">
        <f>+C34</f>
        <v>16624</v>
      </c>
      <c r="D155" s="4">
        <f t="shared" ref="D155:Q155" si="196">+D34</f>
        <v>-33993</v>
      </c>
      <c r="E155" s="4">
        <f t="shared" si="196"/>
        <v>29946</v>
      </c>
      <c r="F155" s="4">
        <f t="shared" si="196"/>
        <v>20941</v>
      </c>
      <c r="G155" s="4">
        <f t="shared" si="196"/>
        <v>64654</v>
      </c>
      <c r="H155" s="4">
        <f t="shared" si="196"/>
        <v>75497</v>
      </c>
      <c r="I155" s="4">
        <f t="shared" si="196"/>
        <v>52635</v>
      </c>
      <c r="J155" s="4">
        <f t="shared" si="196"/>
        <v>53242</v>
      </c>
      <c r="K155" s="4">
        <f t="shared" si="196"/>
        <v>74556</v>
      </c>
      <c r="L155" s="4">
        <f t="shared" si="196"/>
        <v>72830</v>
      </c>
      <c r="M155" s="4">
        <f t="shared" si="196"/>
        <v>63100</v>
      </c>
      <c r="N155" s="4">
        <f t="shared" si="196"/>
        <v>60932</v>
      </c>
      <c r="O155" s="4">
        <f t="shared" si="196"/>
        <v>86442</v>
      </c>
      <c r="P155" s="4">
        <f t="shared" si="196"/>
        <v>82349</v>
      </c>
      <c r="Q155" s="4">
        <f t="shared" si="196"/>
        <v>63786</v>
      </c>
      <c r="S155" s="4">
        <f t="shared" ref="S155" si="197">+S34</f>
        <v>113407</v>
      </c>
      <c r="AE155" s="4">
        <f t="shared" ref="AE155:AG155" si="198">+AE34</f>
        <v>173553</v>
      </c>
      <c r="AF155" s="4">
        <f t="shared" si="198"/>
        <v>33518</v>
      </c>
      <c r="AG155" s="4">
        <f t="shared" si="198"/>
        <v>246028</v>
      </c>
      <c r="AH155" s="4">
        <f t="shared" ref="AH155" si="199">+AH34</f>
        <v>271418</v>
      </c>
    </row>
    <row r="157" spans="1:34">
      <c r="B157" s="2" t="s">
        <v>140</v>
      </c>
      <c r="J157" s="4">
        <f t="shared" ref="J157:P158" si="200">SUM(G154:J154)</f>
        <v>268134</v>
      </c>
      <c r="K157" s="4">
        <f t="shared" si="200"/>
        <v>267527</v>
      </c>
      <c r="L157" s="4">
        <f t="shared" si="200"/>
        <v>246492</v>
      </c>
      <c r="M157" s="4">
        <f t="shared" si="200"/>
        <v>279289</v>
      </c>
      <c r="N157" s="4">
        <f t="shared" si="200"/>
        <v>265604</v>
      </c>
      <c r="O157" s="4">
        <f t="shared" si="200"/>
        <v>249112</v>
      </c>
      <c r="P157" s="4">
        <f t="shared" si="200"/>
        <v>209121</v>
      </c>
      <c r="Q157" s="4">
        <f>SUM(N154:Q154)</f>
        <v>191585</v>
      </c>
      <c r="S157" s="4">
        <f>SUM(P154:S154)</f>
        <v>190363</v>
      </c>
    </row>
    <row r="158" spans="1:34">
      <c r="B158" s="2" t="s">
        <v>141</v>
      </c>
      <c r="J158" s="4">
        <f t="shared" si="200"/>
        <v>246028</v>
      </c>
      <c r="K158" s="4">
        <f t="shared" si="200"/>
        <v>255930</v>
      </c>
      <c r="L158" s="4">
        <f t="shared" si="200"/>
        <v>253263</v>
      </c>
      <c r="M158" s="4">
        <f t="shared" si="200"/>
        <v>263728</v>
      </c>
      <c r="N158" s="4">
        <f t="shared" si="200"/>
        <v>271418</v>
      </c>
      <c r="O158" s="4">
        <f t="shared" si="200"/>
        <v>283304</v>
      </c>
      <c r="P158" s="4">
        <f t="shared" si="200"/>
        <v>292823</v>
      </c>
      <c r="Q158" s="4">
        <f t="shared" ref="Q158:S158" si="201">SUM(N155:Q155)</f>
        <v>293509</v>
      </c>
      <c r="S158" s="4">
        <f t="shared" si="201"/>
        <v>259542</v>
      </c>
    </row>
    <row r="164" spans="2:17">
      <c r="B164" s="13" t="s">
        <v>142</v>
      </c>
    </row>
    <row r="165" spans="2:17">
      <c r="B165" s="2" t="s">
        <v>143</v>
      </c>
      <c r="Q165" s="4">
        <v>107593</v>
      </c>
    </row>
    <row r="166" spans="2:17">
      <c r="B166" s="2" t="s">
        <v>144</v>
      </c>
      <c r="Q166" s="4">
        <f>12.1*1000</f>
        <v>12100</v>
      </c>
    </row>
    <row r="167" spans="2:17">
      <c r="B167" s="2" t="s">
        <v>145</v>
      </c>
      <c r="Q167" s="4">
        <f>+Q166*1000/Q165</f>
        <v>112.46084782467261</v>
      </c>
    </row>
    <row r="168" spans="2:17">
      <c r="B168" s="2" t="s">
        <v>132</v>
      </c>
      <c r="Q168" s="4">
        <f>+O!H6</f>
        <v>169.64</v>
      </c>
    </row>
  </sheetData>
  <pageMargins left="0.7" right="0.7" top="0.75" bottom="0.75" header="0.3" footer="0.3"/>
  <ignoredErrors>
    <ignoredError sqref="J18:J24 F18:F24 K147 AJ29:AQ29 AJ26:AQ26 AJ27:AQ27 AL31:AQ31 AJ30:AQ30 AJ33:AQ33 AJ32:AQ32 AK36:AQ36 AJ34:AQ34 J25:J36 F25:F36 AJ18:AQ18 AJ35:AQ35 N12:N13 AR18 N30:N33 AR25:AR27 AR29:AR34 N15:N19 AR22:AR24 AH10 R18:R3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EB1D-DEFF-054A-9D11-3C431D34F3A5}">
  <dimension ref="A1"/>
  <sheetViews>
    <sheetView workbookViewId="0">
      <selection activeCell="D61" sqref="D61"/>
    </sheetView>
  </sheetViews>
  <sheetFormatPr baseColWidth="10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</vt:lpstr>
      <vt:lpstr>E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2022-10-29T04:41:21Z</dcterms:created>
  <dcterms:modified xsi:type="dcterms:W3CDTF">2024-05-18T12:02:30Z</dcterms:modified>
</cp:coreProperties>
</file>