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E0DD2AA-1ECC-5549-B2B8-4BB15864650F}" xr6:coauthVersionLast="47" xr6:coauthVersionMax="47" xr10:uidLastSave="{00000000-0000-0000-0000-000000000000}"/>
  <bookViews>
    <workbookView xWindow="14920" yWindow="700" windowWidth="36280" windowHeight="28100" xr2:uid="{80797661-05F0-0446-91BE-A481A2BB65BD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N11" i="2"/>
  <c r="M40" i="2"/>
  <c r="L40" i="2"/>
  <c r="K40" i="2"/>
  <c r="J40" i="2"/>
  <c r="F38" i="2"/>
  <c r="E38" i="2"/>
  <c r="D38" i="2"/>
  <c r="C38" i="2"/>
  <c r="G36" i="2"/>
  <c r="G37" i="2" s="1"/>
  <c r="G35" i="2"/>
  <c r="K36" i="2"/>
  <c r="M36" i="2" s="1"/>
  <c r="N36" i="2" s="1"/>
  <c r="K35" i="2"/>
  <c r="H36" i="2"/>
  <c r="H35" i="2"/>
  <c r="I35" i="2" s="1"/>
  <c r="J35" i="2" s="1"/>
  <c r="L36" i="2"/>
  <c r="S4" i="2"/>
  <c r="R4" i="2"/>
  <c r="AF28" i="2"/>
  <c r="AF26" i="2"/>
  <c r="AF24" i="2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T17" i="2"/>
  <c r="U17" i="2" s="1"/>
  <c r="V17" i="2" s="1"/>
  <c r="W17" i="2" s="1"/>
  <c r="X17" i="2" s="1"/>
  <c r="Y17" i="2" s="1"/>
  <c r="Z17" i="2" s="1"/>
  <c r="AA17" i="2" s="1"/>
  <c r="AB17" i="2" s="1"/>
  <c r="AC17" i="2" s="1"/>
  <c r="T3" i="2"/>
  <c r="U3" i="2" s="1"/>
  <c r="T8" i="2"/>
  <c r="Q21" i="2"/>
  <c r="Q22" i="2"/>
  <c r="P8" i="2"/>
  <c r="P14" i="2" s="1"/>
  <c r="P16" i="2" s="1"/>
  <c r="P18" i="2" s="1"/>
  <c r="K22" i="2"/>
  <c r="K21" i="2"/>
  <c r="J15" i="2"/>
  <c r="J13" i="2"/>
  <c r="J12" i="2"/>
  <c r="J10" i="2"/>
  <c r="J9" i="2"/>
  <c r="J7" i="2"/>
  <c r="J6" i="2"/>
  <c r="J8" i="2" s="1"/>
  <c r="N15" i="2"/>
  <c r="N13" i="2"/>
  <c r="N12" i="2"/>
  <c r="N10" i="2"/>
  <c r="N9" i="2"/>
  <c r="N7" i="2"/>
  <c r="N22" i="2" s="1"/>
  <c r="N6" i="2"/>
  <c r="N21" i="2" s="1"/>
  <c r="G8" i="2"/>
  <c r="G14" i="2" s="1"/>
  <c r="G16" i="2" s="1"/>
  <c r="G18" i="2" s="1"/>
  <c r="K8" i="2"/>
  <c r="K14" i="2" s="1"/>
  <c r="K16" i="2" s="1"/>
  <c r="K18" i="2" s="1"/>
  <c r="H8" i="2"/>
  <c r="L22" i="2"/>
  <c r="L21" i="2"/>
  <c r="L8" i="2"/>
  <c r="L14" i="2" s="1"/>
  <c r="L16" i="2" s="1"/>
  <c r="L18" i="2" s="1"/>
  <c r="M22" i="2"/>
  <c r="M21" i="2"/>
  <c r="I8" i="2"/>
  <c r="I14" i="2" s="1"/>
  <c r="I16" i="2" s="1"/>
  <c r="I18" i="2" s="1"/>
  <c r="M8" i="2"/>
  <c r="M14" i="2" s="1"/>
  <c r="M16" i="2" s="1"/>
  <c r="M18" i="2" s="1"/>
  <c r="R22" i="2"/>
  <c r="R21" i="2"/>
  <c r="S22" i="2"/>
  <c r="S21" i="2"/>
  <c r="Q8" i="2"/>
  <c r="Q14" i="2" s="1"/>
  <c r="Q16" i="2" s="1"/>
  <c r="Q18" i="2" s="1"/>
  <c r="R8" i="2"/>
  <c r="R14" i="2" s="1"/>
  <c r="R16" i="2" s="1"/>
  <c r="R18" i="2" s="1"/>
  <c r="S8" i="2"/>
  <c r="S23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K7" i="1"/>
  <c r="K5" i="1"/>
  <c r="K8" i="1" s="1"/>
  <c r="L6" i="1"/>
  <c r="L7" i="1" s="1"/>
  <c r="I38" i="2" l="1"/>
  <c r="K38" i="2"/>
  <c r="L38" i="2"/>
  <c r="M38" i="2"/>
  <c r="G38" i="2"/>
  <c r="V3" i="2"/>
  <c r="H37" i="2"/>
  <c r="T9" i="2"/>
  <c r="T25" i="2" s="1"/>
  <c r="T10" i="2"/>
  <c r="T4" i="2"/>
  <c r="U4" i="2" s="1"/>
  <c r="V4" i="2" s="1"/>
  <c r="W4" i="2" s="1"/>
  <c r="X4" i="2" s="1"/>
  <c r="Y4" i="2" s="1"/>
  <c r="Z4" i="2" s="1"/>
  <c r="AA4" i="2" s="1"/>
  <c r="AB4" i="2" s="1"/>
  <c r="AC4" i="2" s="1"/>
  <c r="T12" i="2"/>
  <c r="T23" i="2"/>
  <c r="Q4" i="2"/>
  <c r="K37" i="2"/>
  <c r="L35" i="2"/>
  <c r="I36" i="2"/>
  <c r="J36" i="2" s="1"/>
  <c r="J37" i="2" s="1"/>
  <c r="R23" i="2"/>
  <c r="L23" i="2"/>
  <c r="L25" i="2"/>
  <c r="P25" i="2"/>
  <c r="Q25" i="2"/>
  <c r="J14" i="2"/>
  <c r="J16" i="2" s="1"/>
  <c r="J38" i="2" s="1"/>
  <c r="J25" i="2"/>
  <c r="Q23" i="2"/>
  <c r="M25" i="2"/>
  <c r="S14" i="2"/>
  <c r="S16" i="2" s="1"/>
  <c r="S18" i="2" s="1"/>
  <c r="N18" i="2" s="1"/>
  <c r="K25" i="2"/>
  <c r="M23" i="2"/>
  <c r="N8" i="2"/>
  <c r="K23" i="2"/>
  <c r="G25" i="2"/>
  <c r="H25" i="2"/>
  <c r="R25" i="2"/>
  <c r="I25" i="2"/>
  <c r="S25" i="2"/>
  <c r="H14" i="2"/>
  <c r="H16" i="2" s="1"/>
  <c r="M41" i="2" l="1"/>
  <c r="H18" i="2"/>
  <c r="J18" i="2" s="1"/>
  <c r="J17" i="2" s="1"/>
  <c r="H38" i="2"/>
  <c r="K41" i="2" s="1"/>
  <c r="L41" i="2"/>
  <c r="W3" i="2"/>
  <c r="V8" i="2"/>
  <c r="T14" i="2"/>
  <c r="U8" i="2"/>
  <c r="I37" i="2"/>
  <c r="L37" i="2"/>
  <c r="M35" i="2"/>
  <c r="M37" i="2" s="1"/>
  <c r="N23" i="2"/>
  <c r="N14" i="2"/>
  <c r="N16" i="2" s="1"/>
  <c r="N25" i="2"/>
  <c r="N17" i="2" l="1"/>
  <c r="N38" i="2"/>
  <c r="N41" i="2" s="1"/>
  <c r="J41" i="2"/>
  <c r="V23" i="2"/>
  <c r="U10" i="2"/>
  <c r="V10" i="2" s="1"/>
  <c r="U9" i="2"/>
  <c r="U13" i="2"/>
  <c r="V13" i="2" s="1"/>
  <c r="U12" i="2"/>
  <c r="V12" i="2" s="1"/>
  <c r="W12" i="2" s="1"/>
  <c r="U23" i="2"/>
  <c r="T15" i="2"/>
  <c r="T16" i="2" s="1"/>
  <c r="T18" i="2" s="1"/>
  <c r="X3" i="2"/>
  <c r="W8" i="2"/>
  <c r="N35" i="2"/>
  <c r="N37" i="2" s="1"/>
  <c r="N40" i="2" s="1"/>
  <c r="U14" i="2" l="1"/>
  <c r="U15" i="2" s="1"/>
  <c r="U16" i="2" s="1"/>
  <c r="U18" i="2" s="1"/>
  <c r="Y3" i="2"/>
  <c r="X8" i="2"/>
  <c r="V9" i="2"/>
  <c r="U25" i="2"/>
  <c r="W23" i="2"/>
  <c r="W10" i="2"/>
  <c r="W13" i="2"/>
  <c r="X12" i="2" l="1"/>
  <c r="X23" i="2"/>
  <c r="X13" i="2"/>
  <c r="X10" i="2"/>
  <c r="Z3" i="2"/>
  <c r="Y8" i="2"/>
  <c r="V25" i="2"/>
  <c r="V14" i="2"/>
  <c r="W9" i="2"/>
  <c r="Y23" i="2" l="1"/>
  <c r="AA3" i="2"/>
  <c r="Z8" i="2"/>
  <c r="Y10" i="2"/>
  <c r="Y13" i="2"/>
  <c r="W25" i="2"/>
  <c r="W14" i="2"/>
  <c r="X9" i="2"/>
  <c r="V15" i="2"/>
  <c r="W15" i="2" s="1"/>
  <c r="W16" i="2" s="1"/>
  <c r="W18" i="2" s="1"/>
  <c r="V16" i="2"/>
  <c r="V18" i="2" s="1"/>
  <c r="Y12" i="2"/>
  <c r="Z10" i="2" l="1"/>
  <c r="Z13" i="2"/>
  <c r="Z12" i="2"/>
  <c r="Z23" i="2"/>
  <c r="AB3" i="2"/>
  <c r="AA8" i="2"/>
  <c r="X25" i="2"/>
  <c r="X14" i="2"/>
  <c r="Y9" i="2"/>
  <c r="AA23" i="2" l="1"/>
  <c r="AA12" i="2"/>
  <c r="AC3" i="2"/>
  <c r="AC8" i="2" s="1"/>
  <c r="AC23" i="2" s="1"/>
  <c r="AB8" i="2"/>
  <c r="AA13" i="2"/>
  <c r="Y25" i="2"/>
  <c r="Y14" i="2"/>
  <c r="AA10" i="2"/>
  <c r="X15" i="2"/>
  <c r="X16" i="2" s="1"/>
  <c r="X18" i="2" s="1"/>
  <c r="Z9" i="2"/>
  <c r="AB23" i="2" l="1"/>
  <c r="AB10" i="2"/>
  <c r="AC10" i="2" s="1"/>
  <c r="AB12" i="2"/>
  <c r="AC12" i="2" s="1"/>
  <c r="AB13" i="2"/>
  <c r="AC13" i="2" s="1"/>
  <c r="AA9" i="2"/>
  <c r="Z25" i="2"/>
  <c r="Z14" i="2"/>
  <c r="Y15" i="2"/>
  <c r="Y16" i="2" s="1"/>
  <c r="Y18" i="2" s="1"/>
  <c r="AA25" i="2" l="1"/>
  <c r="AA14" i="2"/>
  <c r="Z15" i="2"/>
  <c r="AA15" i="2" s="1"/>
  <c r="AA16" i="2" s="1"/>
  <c r="AA18" i="2" s="1"/>
  <c r="Z16" i="2"/>
  <c r="Z18" i="2" s="1"/>
  <c r="AB9" i="2"/>
  <c r="AC9" i="2" l="1"/>
  <c r="AB14" i="2"/>
  <c r="AB25" i="2"/>
  <c r="AB15" i="2" l="1"/>
  <c r="AB16" i="2"/>
  <c r="AB18" i="2" s="1"/>
  <c r="AC25" i="2"/>
  <c r="AC14" i="2"/>
  <c r="AC15" i="2" l="1"/>
  <c r="AC16" i="2" s="1"/>
  <c r="AC18" i="2" l="1"/>
  <c r="AD16" i="2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FK16" i="2" s="1"/>
  <c r="FL16" i="2" s="1"/>
  <c r="FM16" i="2" s="1"/>
  <c r="FN16" i="2" s="1"/>
  <c r="FO16" i="2" s="1"/>
  <c r="FP16" i="2" s="1"/>
  <c r="FQ16" i="2" s="1"/>
  <c r="FR16" i="2" s="1"/>
  <c r="FS16" i="2" s="1"/>
  <c r="FT16" i="2" s="1"/>
  <c r="FU16" i="2" s="1"/>
  <c r="FV16" i="2" s="1"/>
  <c r="FW16" i="2" s="1"/>
  <c r="FX16" i="2" s="1"/>
  <c r="FY16" i="2" s="1"/>
  <c r="FZ16" i="2" s="1"/>
  <c r="GA16" i="2" s="1"/>
  <c r="GB16" i="2" s="1"/>
  <c r="GC16" i="2" s="1"/>
  <c r="GD16" i="2" s="1"/>
  <c r="GE16" i="2" s="1"/>
  <c r="GF16" i="2" s="1"/>
  <c r="GG16" i="2" s="1"/>
  <c r="GH16" i="2" s="1"/>
  <c r="GI16" i="2" s="1"/>
  <c r="GJ16" i="2" s="1"/>
  <c r="GK16" i="2" s="1"/>
  <c r="GL16" i="2" s="1"/>
  <c r="GM16" i="2" s="1"/>
  <c r="GN16" i="2" s="1"/>
  <c r="GO16" i="2" s="1"/>
  <c r="GP16" i="2" s="1"/>
  <c r="GQ16" i="2" s="1"/>
  <c r="GR16" i="2" s="1"/>
  <c r="GS16" i="2" s="1"/>
  <c r="GT16" i="2" s="1"/>
  <c r="GU16" i="2" s="1"/>
  <c r="GV16" i="2" s="1"/>
  <c r="GW16" i="2" s="1"/>
  <c r="GX16" i="2" s="1"/>
  <c r="GY16" i="2" s="1"/>
  <c r="GZ16" i="2" s="1"/>
  <c r="HA16" i="2" s="1"/>
  <c r="HB16" i="2" s="1"/>
  <c r="HC16" i="2" s="1"/>
  <c r="HD16" i="2" s="1"/>
  <c r="HE16" i="2" s="1"/>
  <c r="HF16" i="2" s="1"/>
  <c r="HG16" i="2" s="1"/>
  <c r="HH16" i="2" s="1"/>
  <c r="HI16" i="2" s="1"/>
  <c r="HJ16" i="2" s="1"/>
  <c r="HK16" i="2" s="1"/>
  <c r="AF23" i="2" s="1"/>
  <c r="AF25" i="2" s="1"/>
  <c r="AF27" i="2" s="1"/>
  <c r="AF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tc={5A375C27-8521-5B4C-B670-CF2434183906}</author>
    <author>jameel</author>
    <author>tc={BAB21364-CA28-A94D-834A-462FECE46973}</author>
    <author>tc={A23FB84E-2846-2543-A418-0B0A54C011BF}</author>
    <author>tc={73B7DF9D-4A1B-7F49-92E9-8B0B6E9B3098}</author>
  </authors>
  <commentList>
    <comment ref="T3" authorId="0" shapeId="0" xr:uid="{5A375C27-8521-5B4C-B670-CF243418390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is 100 new stores</t>
      </text>
    </comment>
    <comment ref="B4" authorId="1" shapeId="0" xr:uid="{64DFDCD3-9AC8-B744-AE51-E8FCFD5506BD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sales per unit</t>
        </r>
      </text>
    </comment>
    <comment ref="T8" authorId="2" shapeId="0" xr:uid="{BAB21364-CA28-A94D-834A-462FECE46973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9-11%</t>
      </text>
    </comment>
    <comment ref="T11" authorId="3" shapeId="0" xr:uid="{A23FB84E-2846-2543-A418-0B0A54C011B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S13" authorId="1" shapeId="0" xr:uid="{ACA244AB-FDBA-7B4E-9691-DCBE590E68D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>driven by higher interest rates</t>
        </r>
      </text>
    </comment>
    <comment ref="T13" authorId="4" shapeId="0" xr:uid="{73B7DF9D-4A1B-7F49-92E9-8B0B6E9B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S25" authorId="1" shapeId="0" xr:uid="{9DC7ED33-35AC-2C47-A69B-DEDD46FED27E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merchandise margins and improved freight</t>
        </r>
      </text>
    </comment>
    <comment ref="N35" authorId="1" shapeId="0" xr:uid="{83D3CB9D-C4D2-1F47-AD56-FC2FDE7C8FA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sales, margins, and changes in a/p</t>
        </r>
      </text>
    </comment>
  </commentList>
</comments>
</file>

<file path=xl/sharedStrings.xml><?xml version="1.0" encoding="utf-8"?>
<sst xmlns="http://schemas.openxmlformats.org/spreadsheetml/2006/main" count="62" uniqueCount="56">
  <si>
    <t>P</t>
  </si>
  <si>
    <t>S</t>
  </si>
  <si>
    <t>MC</t>
  </si>
  <si>
    <t>C</t>
  </si>
  <si>
    <t>D</t>
  </si>
  <si>
    <t>EV</t>
  </si>
  <si>
    <t>10K</t>
  </si>
  <si>
    <t>Q122</t>
  </si>
  <si>
    <t>Q222</t>
  </si>
  <si>
    <t>Q322</t>
  </si>
  <si>
    <t>Q422</t>
  </si>
  <si>
    <t>Q123</t>
  </si>
  <si>
    <t>Q223</t>
  </si>
  <si>
    <t>Q323</t>
  </si>
  <si>
    <t>Q423</t>
  </si>
  <si>
    <t>Q121</t>
  </si>
  <si>
    <t>Q221</t>
  </si>
  <si>
    <t>Q321</t>
  </si>
  <si>
    <t>Q421</t>
  </si>
  <si>
    <t>Total Sales</t>
  </si>
  <si>
    <t>D&amp;A</t>
  </si>
  <si>
    <t>Other</t>
  </si>
  <si>
    <t>Interest E</t>
  </si>
  <si>
    <t>EBT</t>
  </si>
  <si>
    <t>Net Income</t>
  </si>
  <si>
    <t>SG&amp;A</t>
  </si>
  <si>
    <t>Diluted</t>
  </si>
  <si>
    <t>EPS</t>
  </si>
  <si>
    <t>T</t>
  </si>
  <si>
    <t>Growth y/y</t>
  </si>
  <si>
    <t>GM%</t>
  </si>
  <si>
    <t>Founded</t>
  </si>
  <si>
    <t xml:space="preserve">Units </t>
  </si>
  <si>
    <t xml:space="preserve">Terminal </t>
  </si>
  <si>
    <t>Discount</t>
  </si>
  <si>
    <t>NPV</t>
  </si>
  <si>
    <t>Shares</t>
  </si>
  <si>
    <t xml:space="preserve">Net Cash </t>
  </si>
  <si>
    <t xml:space="preserve">Total Value </t>
  </si>
  <si>
    <t>Estimate</t>
  </si>
  <si>
    <t>Current</t>
  </si>
  <si>
    <t>Upside</t>
  </si>
  <si>
    <t>CFFO</t>
  </si>
  <si>
    <t>Capex</t>
  </si>
  <si>
    <t xml:space="preserve">Free Cash Flow </t>
  </si>
  <si>
    <t>4Q FCF</t>
  </si>
  <si>
    <t>4Q NI</t>
  </si>
  <si>
    <t>NI</t>
  </si>
  <si>
    <t xml:space="preserve">Founder </t>
  </si>
  <si>
    <t>Monroe Milstein and his dad</t>
  </si>
  <si>
    <t>SPU</t>
  </si>
  <si>
    <t>News</t>
  </si>
  <si>
    <t>Acquired 64 leases from Bed, bath, and beyond in 2023</t>
  </si>
  <si>
    <t>Started paying rent immediately upon acquisition</t>
  </si>
  <si>
    <t>32 of the stores were opened during 2023</t>
  </si>
  <si>
    <t>remaining planned to be open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</si>
</sst>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8" fontId="0" fillId="0" borderId="0" xfId="0" applyNumberFormat="1"/>
    <xf numFmtId="9" fontId="1" fillId="0" borderId="0" xfId="0" applyNumberFormat="1" applyFont="1"/>
    <xf numFmtId="8" fontId="1" fillId="0" borderId="0" xfId="0" applyNumberFormat="1" applyFont="1"/>
    <xf numFmtId="10" fontId="0" fillId="0" borderId="0" xfId="0" applyNumberFormat="1"/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23850</xdr:rowOff>
    </xdr:from>
    <xdr:to>
      <xdr:col>19</xdr:col>
      <xdr:colOff>11925</xdr:colOff>
      <xdr:row>46</xdr:row>
      <xdr:rowOff>101361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15F287-7DAD-0B6F-1CA9-800A44CB95C3}"/>
            </a:ext>
          </a:extLst>
        </xdr:cNvPr>
        <xdr:cNvCxnSpPr/>
      </xdr:nvCxnSpPr>
      <xdr:spPr>
        <a:xfrm>
          <a:off x="8931737" y="23850"/>
          <a:ext cx="11925" cy="70893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11925</xdr:colOff>
      <xdr:row>0</xdr:row>
      <xdr:rowOff>5962</xdr:rowOff>
    </xdr:from>
    <xdr:to>
      <xdr:col>14</xdr:col>
      <xdr:colOff>23850</xdr:colOff>
      <xdr:row>46</xdr:row>
      <xdr:rowOff>83473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8E4D028-FA65-474A-A2D3-2EF13822944C}"/>
            </a:ext>
          </a:extLst>
        </xdr:cNvPr>
        <xdr:cNvCxnSpPr/>
      </xdr:nvCxnSpPr>
      <xdr:spPr>
        <a:xfrm>
          <a:off x="6129390" y="5962"/>
          <a:ext cx="11925" cy="70893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F144E2D2-00E2-F24E-9DA6-C703B9932ACB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" dT="2024-03-28T04:19:16.05" personId="{F144E2D2-00E2-F24E-9DA6-C703B9932ACB}" id="{5A375C27-8521-5B4C-B670-CF2434183906}">
    <text>Guide is 100 new stores</text>
  </threadedComment>
  <threadedComment ref="T8" dT="2024-03-28T04:18:40.90" personId="{F144E2D2-00E2-F24E-9DA6-C703B9932ACB}" id="{BAB21364-CA28-A94D-834A-462FECE46973}">
    <text>guide: 9-11%</text>
  </threadedComment>
  <threadedComment ref="T11" dT="2024-03-28T04:19:42.52" personId="{F144E2D2-00E2-F24E-9DA6-C703B9932ACB}" id="{A23FB84E-2846-2543-A418-0B0A54C011BF}">
    <text>Guidance</text>
  </threadedComment>
  <threadedComment ref="T13" dT="2024-03-28T04:19:58.38" personId="{F144E2D2-00E2-F24E-9DA6-C703B9932ACB}" id="{73B7DF9D-4A1B-7F49-92E9-8B0B6E9B3098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3862-D3CC-FB4F-B6CF-1BC0964D760A}">
  <dimension ref="B2:L13"/>
  <sheetViews>
    <sheetView tabSelected="1" zoomScale="170" zoomScaleNormal="170" workbookViewId="0">
      <selection activeCell="G2" sqref="G2"/>
    </sheetView>
  </sheetViews>
  <sheetFormatPr baseColWidth="10" defaultColWidth="7.1640625" defaultRowHeight="13"/>
  <cols>
    <col min="1" max="2" width="7.1640625" style="1"/>
    <col min="3" max="3" width="7.1640625" style="11"/>
    <col min="4" max="9" width="7.1640625" style="1"/>
    <col min="10" max="10" width="3.6640625" style="1" bestFit="1" customWidth="1"/>
    <col min="11" max="11" width="7.1640625" style="1"/>
    <col min="12" max="12" width="4.33203125" style="1" bestFit="1" customWidth="1"/>
    <col min="13" max="16384" width="7.1640625" style="1"/>
  </cols>
  <sheetData>
    <row r="2" spans="2:12">
      <c r="B2" s="1" t="s">
        <v>31</v>
      </c>
      <c r="C2" s="10">
        <v>1972</v>
      </c>
    </row>
    <row r="3" spans="2:12">
      <c r="B3" s="1" t="s">
        <v>48</v>
      </c>
      <c r="C3" s="11" t="s">
        <v>49</v>
      </c>
      <c r="J3" s="1" t="s">
        <v>0</v>
      </c>
      <c r="K3" s="1">
        <v>230.62</v>
      </c>
    </row>
    <row r="4" spans="2:12">
      <c r="J4" s="1" t="s">
        <v>1</v>
      </c>
      <c r="K4" s="1">
        <v>63.919381999999999</v>
      </c>
      <c r="L4" s="1" t="s">
        <v>6</v>
      </c>
    </row>
    <row r="5" spans="2:12">
      <c r="J5" s="1" t="s">
        <v>2</v>
      </c>
      <c r="K5" s="1">
        <f>+K3*K4</f>
        <v>14741.08787684</v>
      </c>
    </row>
    <row r="6" spans="2:12">
      <c r="J6" s="1" t="s">
        <v>3</v>
      </c>
      <c r="K6" s="1">
        <v>925.35900000000004</v>
      </c>
      <c r="L6" s="1" t="str">
        <f>+L4</f>
        <v>10K</v>
      </c>
    </row>
    <row r="7" spans="2:12">
      <c r="J7" s="1" t="s">
        <v>4</v>
      </c>
      <c r="K7" s="1">
        <f>13.703+1394.942</f>
        <v>1408.645</v>
      </c>
      <c r="L7" s="1" t="str">
        <f>+L6</f>
        <v>10K</v>
      </c>
    </row>
    <row r="8" spans="2:12">
      <c r="J8" s="1" t="s">
        <v>5</v>
      </c>
      <c r="K8" s="1">
        <f>+K5-K6+K7</f>
        <v>15224.37387684</v>
      </c>
    </row>
    <row r="9" spans="2:12">
      <c r="B9" s="4" t="s">
        <v>51</v>
      </c>
    </row>
    <row r="10" spans="2:12">
      <c r="B10" s="1" t="s">
        <v>52</v>
      </c>
    </row>
    <row r="11" spans="2:12">
      <c r="B11" s="12" t="s">
        <v>53</v>
      </c>
    </row>
    <row r="12" spans="2:12">
      <c r="B12" s="12" t="s">
        <v>54</v>
      </c>
    </row>
    <row r="13" spans="2:12">
      <c r="B13" s="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5802-F5BC-5D44-A410-0D3F09A5C34B}">
  <dimension ref="B1:HK41"/>
  <sheetViews>
    <sheetView zoomScale="150" zoomScaleNormal="15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S53" sqref="S53"/>
    </sheetView>
  </sheetViews>
  <sheetFormatPr baseColWidth="10" defaultRowHeight="13"/>
  <cols>
    <col min="1" max="1" width="3" customWidth="1"/>
    <col min="2" max="2" width="13.6640625" bestFit="1" customWidth="1"/>
    <col min="3" max="6" width="5.5" bestFit="1" customWidth="1"/>
    <col min="7" max="14" width="5.6640625" bestFit="1" customWidth="1"/>
    <col min="16" max="19" width="5.6640625" bestFit="1" customWidth="1"/>
    <col min="20" max="29" width="6.6640625" bestFit="1" customWidth="1"/>
    <col min="30" max="30" width="5.6640625" bestFit="1" customWidth="1"/>
    <col min="31" max="31" width="10.83203125" bestFit="1" customWidth="1"/>
    <col min="32" max="32" width="10.6640625" bestFit="1" customWidth="1"/>
    <col min="33" max="219" width="5.6640625" bestFit="1" customWidth="1"/>
  </cols>
  <sheetData>
    <row r="1" spans="2:219">
      <c r="T1">
        <v>1</v>
      </c>
      <c r="U1">
        <f>+T1+1</f>
        <v>2</v>
      </c>
      <c r="V1">
        <f t="shared" ref="V1:AD1" si="0">+U1+1</f>
        <v>3</v>
      </c>
      <c r="W1">
        <f t="shared" si="0"/>
        <v>4</v>
      </c>
      <c r="X1">
        <f t="shared" si="0"/>
        <v>5</v>
      </c>
      <c r="Y1">
        <f t="shared" si="0"/>
        <v>6</v>
      </c>
      <c r="Z1">
        <f t="shared" si="0"/>
        <v>7</v>
      </c>
      <c r="AA1">
        <f t="shared" si="0"/>
        <v>8</v>
      </c>
      <c r="AB1">
        <f t="shared" si="0"/>
        <v>9</v>
      </c>
      <c r="AC1">
        <f t="shared" si="0"/>
        <v>10</v>
      </c>
      <c r="AD1">
        <f t="shared" si="0"/>
        <v>11</v>
      </c>
      <c r="AE1">
        <f t="shared" ref="AE1:CP1" si="1">+AD1+1</f>
        <v>12</v>
      </c>
      <c r="AF1">
        <f t="shared" si="1"/>
        <v>13</v>
      </c>
      <c r="AG1">
        <f t="shared" si="1"/>
        <v>14</v>
      </c>
      <c r="AH1">
        <f t="shared" si="1"/>
        <v>15</v>
      </c>
      <c r="AI1">
        <f t="shared" si="1"/>
        <v>16</v>
      </c>
      <c r="AJ1">
        <f t="shared" si="1"/>
        <v>17</v>
      </c>
      <c r="AK1">
        <f t="shared" si="1"/>
        <v>18</v>
      </c>
      <c r="AL1">
        <f t="shared" si="1"/>
        <v>19</v>
      </c>
      <c r="AM1">
        <f t="shared" si="1"/>
        <v>20</v>
      </c>
      <c r="AN1">
        <f t="shared" si="1"/>
        <v>21</v>
      </c>
      <c r="AO1">
        <f t="shared" si="1"/>
        <v>22</v>
      </c>
      <c r="AP1">
        <f t="shared" si="1"/>
        <v>23</v>
      </c>
      <c r="AQ1">
        <f t="shared" si="1"/>
        <v>24</v>
      </c>
      <c r="AR1">
        <f t="shared" si="1"/>
        <v>25</v>
      </c>
      <c r="AS1">
        <f t="shared" si="1"/>
        <v>26</v>
      </c>
      <c r="AT1">
        <f t="shared" si="1"/>
        <v>27</v>
      </c>
      <c r="AU1">
        <f t="shared" si="1"/>
        <v>28</v>
      </c>
      <c r="AV1">
        <f t="shared" si="1"/>
        <v>29</v>
      </c>
      <c r="AW1">
        <f t="shared" si="1"/>
        <v>30</v>
      </c>
      <c r="AX1">
        <f t="shared" si="1"/>
        <v>31</v>
      </c>
      <c r="AY1">
        <f t="shared" si="1"/>
        <v>32</v>
      </c>
      <c r="AZ1">
        <f t="shared" si="1"/>
        <v>33</v>
      </c>
      <c r="BA1">
        <f t="shared" si="1"/>
        <v>34</v>
      </c>
      <c r="BB1">
        <f t="shared" si="1"/>
        <v>35</v>
      </c>
      <c r="BC1">
        <f t="shared" si="1"/>
        <v>36</v>
      </c>
      <c r="BD1">
        <f t="shared" si="1"/>
        <v>37</v>
      </c>
      <c r="BE1">
        <f t="shared" si="1"/>
        <v>38</v>
      </c>
      <c r="BF1">
        <f t="shared" si="1"/>
        <v>39</v>
      </c>
      <c r="BG1">
        <f t="shared" si="1"/>
        <v>40</v>
      </c>
      <c r="BH1">
        <f t="shared" si="1"/>
        <v>41</v>
      </c>
      <c r="BI1">
        <f t="shared" si="1"/>
        <v>42</v>
      </c>
      <c r="BJ1">
        <f t="shared" si="1"/>
        <v>43</v>
      </c>
      <c r="BK1">
        <f t="shared" si="1"/>
        <v>44</v>
      </c>
      <c r="BL1">
        <f t="shared" si="1"/>
        <v>45</v>
      </c>
      <c r="BM1">
        <f t="shared" si="1"/>
        <v>46</v>
      </c>
      <c r="BN1">
        <f t="shared" si="1"/>
        <v>47</v>
      </c>
      <c r="BO1">
        <f t="shared" si="1"/>
        <v>48</v>
      </c>
      <c r="BP1">
        <f t="shared" si="1"/>
        <v>49</v>
      </c>
      <c r="BQ1">
        <f t="shared" si="1"/>
        <v>50</v>
      </c>
      <c r="BR1">
        <f t="shared" si="1"/>
        <v>51</v>
      </c>
      <c r="BS1">
        <f t="shared" si="1"/>
        <v>52</v>
      </c>
      <c r="BT1">
        <f t="shared" si="1"/>
        <v>53</v>
      </c>
      <c r="BU1">
        <f t="shared" si="1"/>
        <v>54</v>
      </c>
      <c r="BV1">
        <f t="shared" si="1"/>
        <v>55</v>
      </c>
      <c r="BW1">
        <f t="shared" si="1"/>
        <v>56</v>
      </c>
      <c r="BX1">
        <f t="shared" si="1"/>
        <v>57</v>
      </c>
      <c r="BY1">
        <f t="shared" si="1"/>
        <v>58</v>
      </c>
      <c r="BZ1">
        <f t="shared" si="1"/>
        <v>59</v>
      </c>
      <c r="CA1">
        <f t="shared" si="1"/>
        <v>60</v>
      </c>
      <c r="CB1">
        <f t="shared" si="1"/>
        <v>61</v>
      </c>
      <c r="CC1">
        <f t="shared" si="1"/>
        <v>62</v>
      </c>
      <c r="CD1">
        <f t="shared" si="1"/>
        <v>63</v>
      </c>
      <c r="CE1">
        <f t="shared" si="1"/>
        <v>64</v>
      </c>
      <c r="CF1">
        <f t="shared" si="1"/>
        <v>65</v>
      </c>
      <c r="CG1">
        <f t="shared" si="1"/>
        <v>66</v>
      </c>
      <c r="CH1">
        <f t="shared" si="1"/>
        <v>67</v>
      </c>
      <c r="CI1">
        <f t="shared" si="1"/>
        <v>68</v>
      </c>
      <c r="CJ1">
        <f t="shared" si="1"/>
        <v>69</v>
      </c>
      <c r="CK1">
        <f t="shared" si="1"/>
        <v>70</v>
      </c>
      <c r="CL1">
        <f t="shared" si="1"/>
        <v>71</v>
      </c>
      <c r="CM1">
        <f t="shared" si="1"/>
        <v>72</v>
      </c>
      <c r="CN1">
        <f t="shared" si="1"/>
        <v>73</v>
      </c>
      <c r="CO1">
        <f t="shared" si="1"/>
        <v>74</v>
      </c>
      <c r="CP1">
        <f t="shared" si="1"/>
        <v>75</v>
      </c>
      <c r="CQ1">
        <f t="shared" ref="CQ1:FB1" si="2">+CP1+1</f>
        <v>76</v>
      </c>
      <c r="CR1">
        <f t="shared" si="2"/>
        <v>77</v>
      </c>
      <c r="CS1">
        <f t="shared" si="2"/>
        <v>78</v>
      </c>
      <c r="CT1">
        <f t="shared" si="2"/>
        <v>79</v>
      </c>
      <c r="CU1">
        <f t="shared" si="2"/>
        <v>80</v>
      </c>
      <c r="CV1">
        <f t="shared" si="2"/>
        <v>81</v>
      </c>
      <c r="CW1">
        <f t="shared" si="2"/>
        <v>82</v>
      </c>
      <c r="CX1">
        <f t="shared" si="2"/>
        <v>83</v>
      </c>
      <c r="CY1">
        <f t="shared" si="2"/>
        <v>84</v>
      </c>
      <c r="CZ1">
        <f t="shared" si="2"/>
        <v>85</v>
      </c>
      <c r="DA1">
        <f t="shared" si="2"/>
        <v>86</v>
      </c>
      <c r="DB1">
        <f t="shared" si="2"/>
        <v>87</v>
      </c>
      <c r="DC1">
        <f t="shared" si="2"/>
        <v>88</v>
      </c>
      <c r="DD1">
        <f t="shared" si="2"/>
        <v>89</v>
      </c>
      <c r="DE1">
        <f t="shared" si="2"/>
        <v>90</v>
      </c>
      <c r="DF1">
        <f t="shared" si="2"/>
        <v>91</v>
      </c>
      <c r="DG1">
        <f t="shared" si="2"/>
        <v>92</v>
      </c>
      <c r="DH1">
        <f t="shared" si="2"/>
        <v>93</v>
      </c>
      <c r="DI1">
        <f t="shared" si="2"/>
        <v>94</v>
      </c>
      <c r="DJ1">
        <f t="shared" si="2"/>
        <v>95</v>
      </c>
      <c r="DK1">
        <f t="shared" si="2"/>
        <v>96</v>
      </c>
      <c r="DL1">
        <f t="shared" si="2"/>
        <v>97</v>
      </c>
      <c r="DM1">
        <f t="shared" si="2"/>
        <v>98</v>
      </c>
      <c r="DN1">
        <f t="shared" si="2"/>
        <v>99</v>
      </c>
      <c r="DO1">
        <f t="shared" si="2"/>
        <v>100</v>
      </c>
      <c r="DP1">
        <f t="shared" si="2"/>
        <v>101</v>
      </c>
      <c r="DQ1">
        <f t="shared" si="2"/>
        <v>102</v>
      </c>
      <c r="DR1">
        <f t="shared" si="2"/>
        <v>103</v>
      </c>
      <c r="DS1">
        <f t="shared" si="2"/>
        <v>104</v>
      </c>
      <c r="DT1">
        <f t="shared" si="2"/>
        <v>105</v>
      </c>
      <c r="DU1">
        <f t="shared" si="2"/>
        <v>106</v>
      </c>
      <c r="DV1">
        <f t="shared" si="2"/>
        <v>107</v>
      </c>
      <c r="DW1">
        <f t="shared" si="2"/>
        <v>108</v>
      </c>
      <c r="DX1">
        <f t="shared" si="2"/>
        <v>109</v>
      </c>
      <c r="DY1">
        <f t="shared" si="2"/>
        <v>110</v>
      </c>
      <c r="DZ1">
        <f t="shared" si="2"/>
        <v>111</v>
      </c>
      <c r="EA1">
        <f t="shared" si="2"/>
        <v>112</v>
      </c>
      <c r="EB1">
        <f t="shared" si="2"/>
        <v>113</v>
      </c>
      <c r="EC1">
        <f t="shared" si="2"/>
        <v>114</v>
      </c>
      <c r="ED1">
        <f t="shared" si="2"/>
        <v>115</v>
      </c>
      <c r="EE1">
        <f t="shared" si="2"/>
        <v>116</v>
      </c>
      <c r="EF1">
        <f t="shared" si="2"/>
        <v>117</v>
      </c>
      <c r="EG1">
        <f t="shared" si="2"/>
        <v>118</v>
      </c>
      <c r="EH1">
        <f t="shared" si="2"/>
        <v>119</v>
      </c>
      <c r="EI1">
        <f t="shared" si="2"/>
        <v>120</v>
      </c>
      <c r="EJ1">
        <f t="shared" si="2"/>
        <v>121</v>
      </c>
      <c r="EK1">
        <f t="shared" si="2"/>
        <v>122</v>
      </c>
      <c r="EL1">
        <f t="shared" si="2"/>
        <v>123</v>
      </c>
      <c r="EM1">
        <f t="shared" si="2"/>
        <v>124</v>
      </c>
      <c r="EN1">
        <f t="shared" si="2"/>
        <v>125</v>
      </c>
      <c r="EO1">
        <f t="shared" si="2"/>
        <v>126</v>
      </c>
      <c r="EP1">
        <f t="shared" si="2"/>
        <v>127</v>
      </c>
      <c r="EQ1">
        <f t="shared" si="2"/>
        <v>128</v>
      </c>
      <c r="ER1">
        <f t="shared" si="2"/>
        <v>129</v>
      </c>
      <c r="ES1">
        <f t="shared" si="2"/>
        <v>130</v>
      </c>
      <c r="ET1">
        <f t="shared" si="2"/>
        <v>131</v>
      </c>
      <c r="EU1">
        <f t="shared" si="2"/>
        <v>132</v>
      </c>
      <c r="EV1">
        <f t="shared" si="2"/>
        <v>133</v>
      </c>
      <c r="EW1">
        <f t="shared" si="2"/>
        <v>134</v>
      </c>
      <c r="EX1">
        <f t="shared" si="2"/>
        <v>135</v>
      </c>
      <c r="EY1">
        <f t="shared" si="2"/>
        <v>136</v>
      </c>
      <c r="EZ1">
        <f t="shared" si="2"/>
        <v>137</v>
      </c>
      <c r="FA1">
        <f t="shared" si="2"/>
        <v>138</v>
      </c>
      <c r="FB1">
        <f t="shared" si="2"/>
        <v>139</v>
      </c>
      <c r="FC1">
        <f t="shared" ref="FC1:HK1" si="3">+FB1+1</f>
        <v>140</v>
      </c>
      <c r="FD1">
        <f t="shared" si="3"/>
        <v>141</v>
      </c>
      <c r="FE1">
        <f t="shared" si="3"/>
        <v>142</v>
      </c>
      <c r="FF1">
        <f t="shared" si="3"/>
        <v>143</v>
      </c>
      <c r="FG1">
        <f t="shared" si="3"/>
        <v>144</v>
      </c>
      <c r="FH1">
        <f t="shared" si="3"/>
        <v>145</v>
      </c>
      <c r="FI1">
        <f t="shared" si="3"/>
        <v>146</v>
      </c>
      <c r="FJ1">
        <f t="shared" si="3"/>
        <v>147</v>
      </c>
      <c r="FK1">
        <f t="shared" si="3"/>
        <v>148</v>
      </c>
      <c r="FL1">
        <f t="shared" si="3"/>
        <v>149</v>
      </c>
      <c r="FM1">
        <f t="shared" si="3"/>
        <v>150</v>
      </c>
      <c r="FN1">
        <f t="shared" si="3"/>
        <v>151</v>
      </c>
      <c r="FO1">
        <f t="shared" si="3"/>
        <v>152</v>
      </c>
      <c r="FP1">
        <f t="shared" si="3"/>
        <v>153</v>
      </c>
      <c r="FQ1">
        <f t="shared" si="3"/>
        <v>154</v>
      </c>
      <c r="FR1">
        <f t="shared" si="3"/>
        <v>155</v>
      </c>
      <c r="FS1">
        <f t="shared" si="3"/>
        <v>156</v>
      </c>
      <c r="FT1">
        <f t="shared" si="3"/>
        <v>157</v>
      </c>
      <c r="FU1">
        <f t="shared" si="3"/>
        <v>158</v>
      </c>
      <c r="FV1">
        <f t="shared" si="3"/>
        <v>159</v>
      </c>
      <c r="FW1">
        <f t="shared" si="3"/>
        <v>160</v>
      </c>
      <c r="FX1">
        <f t="shared" si="3"/>
        <v>161</v>
      </c>
      <c r="FY1">
        <f t="shared" si="3"/>
        <v>162</v>
      </c>
      <c r="FZ1">
        <f t="shared" si="3"/>
        <v>163</v>
      </c>
      <c r="GA1">
        <f t="shared" si="3"/>
        <v>164</v>
      </c>
      <c r="GB1">
        <f t="shared" si="3"/>
        <v>165</v>
      </c>
      <c r="GC1">
        <f t="shared" si="3"/>
        <v>166</v>
      </c>
      <c r="GD1">
        <f t="shared" si="3"/>
        <v>167</v>
      </c>
      <c r="GE1">
        <f t="shared" si="3"/>
        <v>168</v>
      </c>
      <c r="GF1">
        <f t="shared" si="3"/>
        <v>169</v>
      </c>
      <c r="GG1">
        <f t="shared" si="3"/>
        <v>170</v>
      </c>
      <c r="GH1">
        <f t="shared" si="3"/>
        <v>171</v>
      </c>
      <c r="GI1">
        <f t="shared" si="3"/>
        <v>172</v>
      </c>
      <c r="GJ1">
        <f t="shared" si="3"/>
        <v>173</v>
      </c>
      <c r="GK1">
        <f t="shared" si="3"/>
        <v>174</v>
      </c>
      <c r="GL1">
        <f t="shared" si="3"/>
        <v>175</v>
      </c>
      <c r="GM1">
        <f t="shared" si="3"/>
        <v>176</v>
      </c>
      <c r="GN1">
        <f t="shared" si="3"/>
        <v>177</v>
      </c>
      <c r="GO1">
        <f t="shared" si="3"/>
        <v>178</v>
      </c>
      <c r="GP1">
        <f t="shared" si="3"/>
        <v>179</v>
      </c>
      <c r="GQ1">
        <f t="shared" si="3"/>
        <v>180</v>
      </c>
      <c r="GR1">
        <f t="shared" si="3"/>
        <v>181</v>
      </c>
      <c r="GS1">
        <f t="shared" si="3"/>
        <v>182</v>
      </c>
      <c r="GT1">
        <f t="shared" si="3"/>
        <v>183</v>
      </c>
      <c r="GU1">
        <f t="shared" si="3"/>
        <v>184</v>
      </c>
      <c r="GV1">
        <f t="shared" si="3"/>
        <v>185</v>
      </c>
      <c r="GW1">
        <f t="shared" si="3"/>
        <v>186</v>
      </c>
      <c r="GX1">
        <f t="shared" si="3"/>
        <v>187</v>
      </c>
      <c r="GY1">
        <f t="shared" si="3"/>
        <v>188</v>
      </c>
      <c r="GZ1">
        <f t="shared" si="3"/>
        <v>189</v>
      </c>
      <c r="HA1">
        <f t="shared" si="3"/>
        <v>190</v>
      </c>
      <c r="HB1">
        <f t="shared" si="3"/>
        <v>191</v>
      </c>
      <c r="HC1">
        <f t="shared" si="3"/>
        <v>192</v>
      </c>
      <c r="HD1">
        <f t="shared" si="3"/>
        <v>193</v>
      </c>
      <c r="HE1">
        <f t="shared" si="3"/>
        <v>194</v>
      </c>
      <c r="HF1">
        <f t="shared" si="3"/>
        <v>195</v>
      </c>
      <c r="HG1">
        <f t="shared" si="3"/>
        <v>196</v>
      </c>
      <c r="HH1">
        <f t="shared" si="3"/>
        <v>197</v>
      </c>
      <c r="HI1">
        <f t="shared" si="3"/>
        <v>198</v>
      </c>
      <c r="HJ1">
        <f t="shared" si="3"/>
        <v>199</v>
      </c>
      <c r="HK1">
        <f t="shared" si="3"/>
        <v>200</v>
      </c>
    </row>
    <row r="2" spans="2:219">
      <c r="C2" t="s">
        <v>15</v>
      </c>
      <c r="D2" t="s">
        <v>16</v>
      </c>
      <c r="E2" t="s">
        <v>17</v>
      </c>
      <c r="F2" t="s">
        <v>18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>
        <v>2020</v>
      </c>
      <c r="Q2">
        <v>2021</v>
      </c>
      <c r="R2">
        <f>+Q2+1</f>
        <v>2022</v>
      </c>
      <c r="S2">
        <f>+R2+1</f>
        <v>2023</v>
      </c>
      <c r="T2">
        <f t="shared" ref="T2:AC2" si="4">+S2+1</f>
        <v>2024</v>
      </c>
      <c r="U2">
        <f t="shared" si="4"/>
        <v>2025</v>
      </c>
      <c r="V2">
        <f t="shared" si="4"/>
        <v>2026</v>
      </c>
      <c r="W2">
        <f t="shared" si="4"/>
        <v>2027</v>
      </c>
      <c r="X2">
        <f t="shared" si="4"/>
        <v>2028</v>
      </c>
      <c r="Y2">
        <f t="shared" si="4"/>
        <v>2029</v>
      </c>
      <c r="Z2">
        <f t="shared" si="4"/>
        <v>2030</v>
      </c>
      <c r="AA2">
        <f t="shared" si="4"/>
        <v>2031</v>
      </c>
      <c r="AB2">
        <f t="shared" si="4"/>
        <v>2032</v>
      </c>
      <c r="AC2">
        <f t="shared" si="4"/>
        <v>2033</v>
      </c>
    </row>
    <row r="3" spans="2:219">
      <c r="B3" t="s">
        <v>32</v>
      </c>
      <c r="Q3">
        <v>840</v>
      </c>
      <c r="R3">
        <v>927</v>
      </c>
      <c r="S3">
        <v>1007</v>
      </c>
      <c r="T3">
        <f>+S3+100</f>
        <v>1107</v>
      </c>
      <c r="U3">
        <f>+T3+100</f>
        <v>1207</v>
      </c>
      <c r="V3">
        <f t="shared" ref="V3:AC3" si="5">+U3+100</f>
        <v>1307</v>
      </c>
      <c r="W3">
        <f t="shared" si="5"/>
        <v>1407</v>
      </c>
      <c r="X3">
        <f t="shared" si="5"/>
        <v>1507</v>
      </c>
      <c r="Y3">
        <f t="shared" si="5"/>
        <v>1607</v>
      </c>
      <c r="Z3">
        <f t="shared" si="5"/>
        <v>1707</v>
      </c>
      <c r="AA3">
        <f t="shared" si="5"/>
        <v>1807</v>
      </c>
      <c r="AB3">
        <f t="shared" si="5"/>
        <v>1907</v>
      </c>
      <c r="AC3">
        <f t="shared" si="5"/>
        <v>2007</v>
      </c>
    </row>
    <row r="4" spans="2:219">
      <c r="B4" t="s">
        <v>50</v>
      </c>
      <c r="Q4">
        <f>+Q8/Q3</f>
        <v>11.097923809523811</v>
      </c>
      <c r="R4">
        <f>+R8/R3</f>
        <v>9.3879223300970871</v>
      </c>
      <c r="S4">
        <f>+S8/S3</f>
        <v>9.6598480635551152</v>
      </c>
      <c r="T4">
        <f>+T8/T3</f>
        <v>9.6659563685636876</v>
      </c>
      <c r="U4">
        <f>+T4</f>
        <v>9.6659563685636876</v>
      </c>
      <c r="V4">
        <f t="shared" ref="V4:AC4" si="6">+U4</f>
        <v>9.6659563685636876</v>
      </c>
      <c r="W4">
        <f t="shared" si="6"/>
        <v>9.6659563685636876</v>
      </c>
      <c r="X4">
        <f t="shared" si="6"/>
        <v>9.6659563685636876</v>
      </c>
      <c r="Y4">
        <f t="shared" si="6"/>
        <v>9.6659563685636876</v>
      </c>
      <c r="Z4">
        <f t="shared" si="6"/>
        <v>9.6659563685636876</v>
      </c>
      <c r="AA4">
        <f t="shared" si="6"/>
        <v>9.6659563685636876</v>
      </c>
      <c r="AB4">
        <f t="shared" si="6"/>
        <v>9.6659563685636876</v>
      </c>
      <c r="AC4">
        <f t="shared" si="6"/>
        <v>9.6659563685636876</v>
      </c>
    </row>
    <row r="6" spans="2:219" s="1" customFormat="1">
      <c r="B6" s="1" t="s">
        <v>1</v>
      </c>
      <c r="G6" s="1">
        <v>1925.643</v>
      </c>
      <c r="H6" s="1">
        <v>1983.8889999999999</v>
      </c>
      <c r="I6" s="1">
        <v>2035.9269999999999</v>
      </c>
      <c r="J6" s="1">
        <f>+R6-SUM(G6:I6)</f>
        <v>2739.0860000000002</v>
      </c>
      <c r="K6" s="1">
        <v>2132.7930000000001</v>
      </c>
      <c r="L6" s="1">
        <v>2170.4450000000002</v>
      </c>
      <c r="M6" s="1">
        <v>2284.6729999999998</v>
      </c>
      <c r="N6" s="1">
        <f>+S6-SUM(K6:M6)</f>
        <v>3121.0619999999999</v>
      </c>
      <c r="P6" s="1">
        <v>5751.5410000000002</v>
      </c>
      <c r="Q6" s="1">
        <v>9306.5490000000009</v>
      </c>
      <c r="R6" s="1">
        <v>8684.5450000000001</v>
      </c>
      <c r="S6" s="1">
        <v>9708.973</v>
      </c>
    </row>
    <row r="7" spans="2:219" s="1" customFormat="1">
      <c r="B7" s="1" t="s">
        <v>21</v>
      </c>
      <c r="G7" s="1">
        <v>4.0490000000000004</v>
      </c>
      <c r="H7" s="1">
        <v>4.0519999999999996</v>
      </c>
      <c r="I7" s="1">
        <v>4.76</v>
      </c>
      <c r="J7" s="1">
        <f>+R7-SUM(G7:I7)</f>
        <v>5.1980000000000022</v>
      </c>
      <c r="K7" s="1">
        <v>4.1630000000000003</v>
      </c>
      <c r="L7" s="1">
        <v>4.3620000000000001</v>
      </c>
      <c r="M7" s="1">
        <v>4.673</v>
      </c>
      <c r="N7" s="1">
        <f>+S7-SUM(K7:M7)</f>
        <v>5.2959999999999994</v>
      </c>
      <c r="P7" s="1">
        <v>12.439</v>
      </c>
      <c r="Q7" s="1">
        <v>15.707000000000001</v>
      </c>
      <c r="R7" s="1">
        <v>18.059000000000001</v>
      </c>
      <c r="S7" s="1">
        <v>18.494</v>
      </c>
    </row>
    <row r="8" spans="2:219" s="2" customFormat="1">
      <c r="B8" s="2" t="s">
        <v>19</v>
      </c>
      <c r="G8" s="2">
        <f>+SUM(G6:G7)</f>
        <v>1929.692</v>
      </c>
      <c r="H8" s="2">
        <f>+SUM(H6:H7)</f>
        <v>1987.9409999999998</v>
      </c>
      <c r="I8" s="2">
        <f>+SUM(I6:I7)</f>
        <v>2040.6869999999999</v>
      </c>
      <c r="J8" s="2">
        <f>+SUM(J6:J7)</f>
        <v>2744.2840000000001</v>
      </c>
      <c r="K8" s="2">
        <f>+SUM(K6:K7)</f>
        <v>2136.9560000000001</v>
      </c>
      <c r="L8" s="2">
        <f>+SUM(L6:L7)</f>
        <v>2174.8070000000002</v>
      </c>
      <c r="M8" s="2">
        <f>+SUM(M6:M7)</f>
        <v>2289.3459999999995</v>
      </c>
      <c r="N8" s="2">
        <f>+SUM(N6:N7)</f>
        <v>3126.3579999999997</v>
      </c>
      <c r="P8" s="2">
        <f>+SUM(P6:P7)</f>
        <v>5763.9800000000005</v>
      </c>
      <c r="Q8" s="2">
        <f>+SUM(Q6:Q7)</f>
        <v>9322.2560000000012</v>
      </c>
      <c r="R8" s="2">
        <f>+SUM(R6:R7)</f>
        <v>8702.6039999999994</v>
      </c>
      <c r="S8" s="2">
        <f>+SUM(S6:S7)</f>
        <v>9727.4670000000006</v>
      </c>
      <c r="T8" s="2">
        <f>+S8*(1+AVERAGE(0.09,0.11))</f>
        <v>10700.213700000002</v>
      </c>
      <c r="U8" s="2">
        <f>+U3*U4</f>
        <v>11666.809336856371</v>
      </c>
      <c r="V8" s="2">
        <f t="shared" ref="V8:AC8" si="7">+V3*V4</f>
        <v>12633.404973712739</v>
      </c>
      <c r="W8" s="2">
        <f t="shared" si="7"/>
        <v>13600.000610569108</v>
      </c>
      <c r="X8" s="2">
        <f t="shared" si="7"/>
        <v>14566.596247425477</v>
      </c>
      <c r="Y8" s="2">
        <f t="shared" si="7"/>
        <v>15533.191884281847</v>
      </c>
      <c r="Z8" s="2">
        <f t="shared" si="7"/>
        <v>16499.787521138216</v>
      </c>
      <c r="AA8" s="2">
        <f t="shared" si="7"/>
        <v>17466.383157994584</v>
      </c>
      <c r="AB8" s="2">
        <f t="shared" si="7"/>
        <v>18432.978794850951</v>
      </c>
      <c r="AC8" s="2">
        <f t="shared" si="7"/>
        <v>19399.574431707322</v>
      </c>
    </row>
    <row r="9" spans="2:219" s="1" customFormat="1">
      <c r="B9" s="1" t="s">
        <v>3</v>
      </c>
      <c r="G9" s="1">
        <v>1136.9459999999999</v>
      </c>
      <c r="H9" s="1">
        <v>1211.268</v>
      </c>
      <c r="I9" s="1">
        <v>1198.126</v>
      </c>
      <c r="J9" s="1">
        <f>+R9-SUM(G9:I9)</f>
        <v>1625.375</v>
      </c>
      <c r="K9" s="1">
        <v>1231.646</v>
      </c>
      <c r="L9" s="1">
        <v>1266.21</v>
      </c>
      <c r="M9" s="1">
        <v>1297.8050000000001</v>
      </c>
      <c r="N9" s="1">
        <f>+S9-SUM(K9:M9)</f>
        <v>1788.3990000000003</v>
      </c>
      <c r="P9" s="1">
        <v>3555.0239999999999</v>
      </c>
      <c r="Q9" s="1">
        <v>5436.1549999999997</v>
      </c>
      <c r="R9" s="1">
        <v>5171.7150000000001</v>
      </c>
      <c r="S9" s="1">
        <v>5584.06</v>
      </c>
      <c r="T9" s="1">
        <f>+T$8*(S9/S$8)</f>
        <v>6142.4660000000013</v>
      </c>
      <c r="U9" s="1">
        <f>+U$8*(T9/T$8)</f>
        <v>6697.340977416442</v>
      </c>
      <c r="V9" s="1">
        <f t="shared" ref="V9:AC9" si="8">+V$8*(U9/U$8)</f>
        <v>7252.2159548328818</v>
      </c>
      <c r="W9" s="1">
        <f t="shared" si="8"/>
        <v>7807.0909322493235</v>
      </c>
      <c r="X9" s="1">
        <f t="shared" si="8"/>
        <v>8361.9659096657651</v>
      </c>
      <c r="Y9" s="1">
        <f t="shared" si="8"/>
        <v>8916.8408870822059</v>
      </c>
      <c r="Z9" s="1">
        <f t="shared" si="8"/>
        <v>9471.7158644986466</v>
      </c>
      <c r="AA9" s="1">
        <f t="shared" si="8"/>
        <v>10026.590841915087</v>
      </c>
      <c r="AB9" s="1">
        <f t="shared" si="8"/>
        <v>10581.465819331528</v>
      </c>
      <c r="AC9" s="1">
        <f t="shared" si="8"/>
        <v>11136.340796747969</v>
      </c>
    </row>
    <row r="10" spans="2:219" s="1" customFormat="1">
      <c r="B10" s="1" t="s">
        <v>25</v>
      </c>
      <c r="G10" s="1">
        <v>680.327</v>
      </c>
      <c r="H10" s="1">
        <v>685.50400000000002</v>
      </c>
      <c r="I10" s="1">
        <v>726.92600000000004</v>
      </c>
      <c r="J10" s="1">
        <f>+R10-SUM(G10:I10)</f>
        <v>784.59900000000016</v>
      </c>
      <c r="K10" s="1">
        <v>755.62800000000004</v>
      </c>
      <c r="L10" s="1">
        <v>775.28499999999997</v>
      </c>
      <c r="M10" s="1">
        <v>826.822</v>
      </c>
      <c r="N10" s="1">
        <f>+S10-SUM(K10:M10)</f>
        <v>930.57999999999993</v>
      </c>
      <c r="P10" s="1">
        <v>2326.9279999999999</v>
      </c>
      <c r="Q10" s="1">
        <v>2868.527</v>
      </c>
      <c r="R10" s="1">
        <v>2877.3560000000002</v>
      </c>
      <c r="S10" s="1">
        <v>3288.3150000000001</v>
      </c>
      <c r="T10" s="1">
        <f>+T$8*(S10/S$8)</f>
        <v>3617.1465000000003</v>
      </c>
      <c r="U10" s="1">
        <f>+U$8*(T10/T$8)</f>
        <v>3943.8986680216808</v>
      </c>
      <c r="V10" s="1">
        <f t="shared" ref="V10:AC10" si="9">+V$8*(U10/U$8)</f>
        <v>4270.6508360433609</v>
      </c>
      <c r="W10" s="1">
        <f t="shared" si="9"/>
        <v>4597.4030040650414</v>
      </c>
      <c r="X10" s="1">
        <f t="shared" si="9"/>
        <v>4924.1551720867219</v>
      </c>
      <c r="Y10" s="1">
        <f t="shared" si="9"/>
        <v>5250.9073401084024</v>
      </c>
      <c r="Z10" s="1">
        <f t="shared" si="9"/>
        <v>5577.6595081300829</v>
      </c>
      <c r="AA10" s="1">
        <f t="shared" si="9"/>
        <v>5904.4116761517625</v>
      </c>
      <c r="AB10" s="1">
        <f t="shared" si="9"/>
        <v>6231.1638441734422</v>
      </c>
      <c r="AC10" s="1">
        <f t="shared" si="9"/>
        <v>6557.9160121951236</v>
      </c>
    </row>
    <row r="11" spans="2:219" s="1" customFormat="1">
      <c r="B11" s="1" t="s">
        <v>20</v>
      </c>
      <c r="G11" s="1">
        <v>66.304000000000002</v>
      </c>
      <c r="H11" s="1">
        <v>67.97</v>
      </c>
      <c r="I11" s="1">
        <v>67.634</v>
      </c>
      <c r="J11" s="1">
        <f>+R11-SUM(G11:I11)</f>
        <v>68.490000000000009</v>
      </c>
      <c r="K11" s="1">
        <v>70.528999999999996</v>
      </c>
      <c r="L11" s="1">
        <v>73.132999999999996</v>
      </c>
      <c r="M11" s="1">
        <v>76.087000000000003</v>
      </c>
      <c r="N11" s="1">
        <f>+S11-SUM(K11:M11)</f>
        <v>87.315000000000055</v>
      </c>
      <c r="P11" s="1">
        <v>220.39</v>
      </c>
      <c r="Q11" s="1">
        <v>249.21700000000001</v>
      </c>
      <c r="R11" s="1">
        <v>270.39800000000002</v>
      </c>
      <c r="S11" s="1">
        <v>307.06400000000002</v>
      </c>
      <c r="T11" s="1">
        <v>350</v>
      </c>
    </row>
    <row r="12" spans="2:219" s="1" customFormat="1">
      <c r="B12" s="1" t="s">
        <v>21</v>
      </c>
      <c r="G12" s="1">
        <v>-3.3980000000000001</v>
      </c>
      <c r="H12" s="1">
        <v>-12.608000000000001</v>
      </c>
      <c r="I12" s="1">
        <v>-2.8279999999999998</v>
      </c>
      <c r="J12" s="1">
        <f>+R12-SUM(G12:I12)</f>
        <v>-8.0730000000000004</v>
      </c>
      <c r="K12" s="1">
        <v>-8.9979999999999993</v>
      </c>
      <c r="L12" s="1">
        <v>-6.165</v>
      </c>
      <c r="M12" s="1">
        <v>-12.384</v>
      </c>
      <c r="N12" s="1">
        <f>+S12-SUM(K12:M12)</f>
        <v>-13.334999999999997</v>
      </c>
      <c r="P12" s="1">
        <v>-8.3529999999999998</v>
      </c>
      <c r="Q12" s="1">
        <v>-11.63</v>
      </c>
      <c r="R12" s="1">
        <v>-26.907</v>
      </c>
      <c r="S12" s="1">
        <v>-40.881999999999998</v>
      </c>
      <c r="T12" s="1">
        <f>+T$8*(S12/S$8)</f>
        <v>-44.970200000000006</v>
      </c>
      <c r="U12" s="1">
        <f>+U$8*(T12/T$8)</f>
        <v>-49.032548690153575</v>
      </c>
      <c r="V12" s="1">
        <f t="shared" ref="V12:AC12" si="10">+V$8*(U12/U$8)</f>
        <v>-53.094897380307138</v>
      </c>
      <c r="W12" s="1">
        <f t="shared" si="10"/>
        <v>-57.157246070460708</v>
      </c>
      <c r="X12" s="1">
        <f t="shared" si="10"/>
        <v>-61.219594760614285</v>
      </c>
      <c r="Y12" s="1">
        <f t="shared" si="10"/>
        <v>-65.281943450767855</v>
      </c>
      <c r="Z12" s="1">
        <f t="shared" si="10"/>
        <v>-69.344292140921425</v>
      </c>
      <c r="AA12" s="1">
        <f t="shared" si="10"/>
        <v>-73.406640831074981</v>
      </c>
      <c r="AB12" s="1">
        <f t="shared" si="10"/>
        <v>-77.468989521228551</v>
      </c>
      <c r="AC12" s="1">
        <f t="shared" si="10"/>
        <v>-81.531338211382135</v>
      </c>
    </row>
    <row r="13" spans="2:219" s="1" customFormat="1">
      <c r="B13" s="1" t="s">
        <v>22</v>
      </c>
      <c r="G13" s="1">
        <v>14.606</v>
      </c>
      <c r="H13" s="1">
        <v>15.435</v>
      </c>
      <c r="I13" s="1">
        <v>17.411999999999999</v>
      </c>
      <c r="J13" s="1">
        <f>+R13-SUM(G13:I13)</f>
        <v>19.021000000000001</v>
      </c>
      <c r="K13" s="1">
        <v>19.344999999999999</v>
      </c>
      <c r="L13" s="1">
        <v>19.545000000000002</v>
      </c>
      <c r="M13" s="1">
        <v>19.68</v>
      </c>
      <c r="N13" s="1">
        <f>+S13-SUM(K13:M13)</f>
        <v>19.829000000000001</v>
      </c>
      <c r="P13" s="1">
        <v>97.766999999999996</v>
      </c>
      <c r="Q13" s="1">
        <v>67.501999999999995</v>
      </c>
      <c r="R13" s="1">
        <v>66.474000000000004</v>
      </c>
      <c r="S13" s="1">
        <v>78.399000000000001</v>
      </c>
      <c r="T13" s="1">
        <v>43</v>
      </c>
      <c r="U13" s="1">
        <f>+U$8*(T13/T$8)</f>
        <v>46.884372177055099</v>
      </c>
      <c r="V13" s="1">
        <f t="shared" ref="V13:AC13" si="11">+V$8*(U13/U$8)</f>
        <v>50.768744354110197</v>
      </c>
      <c r="W13" s="1">
        <f t="shared" si="11"/>
        <v>54.653116531165303</v>
      </c>
      <c r="X13" s="1">
        <f t="shared" si="11"/>
        <v>58.537488708220415</v>
      </c>
      <c r="Y13" s="1">
        <f t="shared" si="11"/>
        <v>62.421860885275521</v>
      </c>
      <c r="Z13" s="1">
        <f t="shared" si="11"/>
        <v>66.30623306233062</v>
      </c>
      <c r="AA13" s="1">
        <f t="shared" si="11"/>
        <v>70.190605239385718</v>
      </c>
      <c r="AB13" s="1">
        <f t="shared" si="11"/>
        <v>74.074977416440817</v>
      </c>
      <c r="AC13" s="1">
        <f t="shared" si="11"/>
        <v>77.959349593495929</v>
      </c>
    </row>
    <row r="14" spans="2:219" s="1" customFormat="1">
      <c r="B14" s="1" t="s">
        <v>23</v>
      </c>
      <c r="G14" s="1">
        <f>+G8-SUM(G9:G13)</f>
        <v>34.906999999999925</v>
      </c>
      <c r="H14" s="1">
        <f>+H8-SUM(H9:H13)</f>
        <v>20.371999999999844</v>
      </c>
      <c r="I14" s="1">
        <f>+I8-SUM(I9:I13)</f>
        <v>33.416999999999689</v>
      </c>
      <c r="J14" s="1">
        <f>+J8-SUM(J9:J13)</f>
        <v>254.87199999999984</v>
      </c>
      <c r="K14" s="1">
        <f>+K8-SUM(K9:K13)</f>
        <v>68.806000000000495</v>
      </c>
      <c r="L14" s="1">
        <f>+L8-SUM(L9:L13)</f>
        <v>46.799000000000433</v>
      </c>
      <c r="M14" s="1">
        <f>+M8-SUM(M9:M13)</f>
        <v>81.335999999999785</v>
      </c>
      <c r="N14" s="1">
        <f>+N8-SUM(N9:N13)</f>
        <v>313.56999999999925</v>
      </c>
      <c r="P14" s="1">
        <f>+P8-SUM(P9:P13)</f>
        <v>-427.77599999999893</v>
      </c>
      <c r="Q14" s="1">
        <f>+Q8-SUM(Q9:Q13)</f>
        <v>712.48499999999876</v>
      </c>
      <c r="R14" s="1">
        <f>+R8-SUM(R9:R13)</f>
        <v>343.5679999999993</v>
      </c>
      <c r="S14" s="1">
        <f>+S8-SUM(S9:S13)</f>
        <v>510.51100000000042</v>
      </c>
      <c r="T14" s="1">
        <f>+T8-SUM(T9:T13)</f>
        <v>592.57140000000072</v>
      </c>
      <c r="U14" s="1">
        <f>+U8-SUM(U9:U13)</f>
        <v>1027.7178679313456</v>
      </c>
      <c r="V14" s="1">
        <f t="shared" ref="V14:AC14" si="12">+V8-SUM(V9:V13)</f>
        <v>1112.8643358626923</v>
      </c>
      <c r="W14" s="1">
        <f t="shared" si="12"/>
        <v>1198.0108037940408</v>
      </c>
      <c r="X14" s="1">
        <f t="shared" si="12"/>
        <v>1283.1572717253839</v>
      </c>
      <c r="Y14" s="1">
        <f t="shared" si="12"/>
        <v>1368.3037396567306</v>
      </c>
      <c r="Z14" s="1">
        <f t="shared" si="12"/>
        <v>1453.4502075880791</v>
      </c>
      <c r="AA14" s="1">
        <f t="shared" si="12"/>
        <v>1538.596675519424</v>
      </c>
      <c r="AB14" s="1">
        <f t="shared" si="12"/>
        <v>1623.7431434507707</v>
      </c>
      <c r="AC14" s="1">
        <f t="shared" si="12"/>
        <v>1708.8896113821138</v>
      </c>
    </row>
    <row r="15" spans="2:219" s="1" customFormat="1">
      <c r="B15" s="1" t="s">
        <v>28</v>
      </c>
      <c r="G15" s="1">
        <v>1.5329999999999999</v>
      </c>
      <c r="H15" s="1">
        <v>3.9910000000000001</v>
      </c>
      <c r="I15" s="1">
        <v>6.0350000000000001</v>
      </c>
      <c r="J15" s="1">
        <f>+R15-SUM(G15:I15)</f>
        <v>65.826999999999998</v>
      </c>
      <c r="K15" s="1">
        <v>10.57</v>
      </c>
      <c r="L15" s="1">
        <v>11.101000000000001</v>
      </c>
      <c r="M15" s="1">
        <v>18.341000000000001</v>
      </c>
      <c r="N15" s="1">
        <f>+S15-SUM(K15:M15)</f>
        <v>86.111999999999995</v>
      </c>
      <c r="P15" s="1">
        <v>-221.124</v>
      </c>
      <c r="Q15" s="1">
        <v>136.459</v>
      </c>
      <c r="R15" s="1">
        <v>77.385999999999996</v>
      </c>
      <c r="S15" s="1">
        <v>126.124</v>
      </c>
      <c r="T15" s="1">
        <f>+T14*(S15/S14)</f>
        <v>146.39738468632413</v>
      </c>
      <c r="U15" s="1">
        <f>+U14*(T15/T14)</f>
        <v>253.90224378117787</v>
      </c>
      <c r="V15" s="1">
        <f t="shared" ref="V15:AC15" si="13">+V14*(U15/U14)</f>
        <v>274.93805519635436</v>
      </c>
      <c r="W15" s="1">
        <f t="shared" si="13"/>
        <v>295.97386661153132</v>
      </c>
      <c r="X15" s="1">
        <f t="shared" si="13"/>
        <v>317.00967802670692</v>
      </c>
      <c r="Y15" s="1">
        <f t="shared" si="13"/>
        <v>338.04548944188338</v>
      </c>
      <c r="Z15" s="1">
        <f t="shared" si="13"/>
        <v>359.08130085706028</v>
      </c>
      <c r="AA15" s="1">
        <f t="shared" si="13"/>
        <v>380.11711227223634</v>
      </c>
      <c r="AB15" s="1">
        <f t="shared" si="13"/>
        <v>401.15292368741279</v>
      </c>
      <c r="AC15" s="1">
        <f t="shared" si="13"/>
        <v>422.1887351025884</v>
      </c>
    </row>
    <row r="16" spans="2:219" s="1" customFormat="1">
      <c r="B16" s="1" t="s">
        <v>24</v>
      </c>
      <c r="G16" s="1">
        <f>+G14-G15</f>
        <v>33.373999999999924</v>
      </c>
      <c r="H16" s="1">
        <f>+H14-H15</f>
        <v>16.380999999999844</v>
      </c>
      <c r="I16" s="1">
        <f>+I14-I15</f>
        <v>27.381999999999689</v>
      </c>
      <c r="J16" s="1">
        <f>+J14-J15</f>
        <v>189.04499999999985</v>
      </c>
      <c r="K16" s="1">
        <f>+K14-K15</f>
        <v>58.236000000000494</v>
      </c>
      <c r="L16" s="1">
        <f>+L14-L15</f>
        <v>35.698000000000434</v>
      </c>
      <c r="M16" s="1">
        <f>+M14-M15</f>
        <v>62.994999999999784</v>
      </c>
      <c r="N16" s="1">
        <f>+N14-N15</f>
        <v>227.45799999999926</v>
      </c>
      <c r="P16" s="1">
        <f>+P14-P15</f>
        <v>-206.65199999999894</v>
      </c>
      <c r="Q16" s="1">
        <f>+Q14-Q15</f>
        <v>576.0259999999987</v>
      </c>
      <c r="R16" s="1">
        <f>+R14-R15</f>
        <v>266.18199999999933</v>
      </c>
      <c r="S16" s="1">
        <f>+S14-S15</f>
        <v>384.3870000000004</v>
      </c>
      <c r="T16" s="1">
        <f>+T14-T15</f>
        <v>446.17401531367659</v>
      </c>
      <c r="U16" s="1">
        <f>+U14-U15</f>
        <v>773.81562415016776</v>
      </c>
      <c r="V16" s="1">
        <f t="shared" ref="V16:AC16" si="14">+V14-V15</f>
        <v>837.92628066633802</v>
      </c>
      <c r="W16" s="1">
        <f t="shared" si="14"/>
        <v>902.03693718250952</v>
      </c>
      <c r="X16" s="1">
        <f t="shared" si="14"/>
        <v>966.14759369867693</v>
      </c>
      <c r="Y16" s="1">
        <f t="shared" si="14"/>
        <v>1030.2582502148473</v>
      </c>
      <c r="Z16" s="1">
        <f t="shared" si="14"/>
        <v>1094.3689067310188</v>
      </c>
      <c r="AA16" s="1">
        <f t="shared" si="14"/>
        <v>1158.4795632471878</v>
      </c>
      <c r="AB16" s="1">
        <f t="shared" si="14"/>
        <v>1222.5902197633579</v>
      </c>
      <c r="AC16" s="1">
        <f t="shared" si="14"/>
        <v>1286.7008762795253</v>
      </c>
      <c r="AD16" s="1">
        <f>+AC16*(1+$AF$21)</f>
        <v>1299.5678850423205</v>
      </c>
      <c r="AE16" s="1">
        <f t="shared" ref="AE16:CP16" si="15">+AD16*(1+$AF$21)</f>
        <v>1312.5635638927438</v>
      </c>
      <c r="AF16" s="1">
        <f t="shared" si="15"/>
        <v>1325.6891995316712</v>
      </c>
      <c r="AG16" s="1">
        <f t="shared" si="15"/>
        <v>1338.9460915269879</v>
      </c>
      <c r="AH16" s="1">
        <f t="shared" si="15"/>
        <v>1352.3355524422577</v>
      </c>
      <c r="AI16" s="1">
        <f t="shared" si="15"/>
        <v>1365.8589079666804</v>
      </c>
      <c r="AJ16" s="1">
        <f t="shared" si="15"/>
        <v>1379.5174970463472</v>
      </c>
      <c r="AK16" s="1">
        <f t="shared" si="15"/>
        <v>1393.3126720168107</v>
      </c>
      <c r="AL16" s="1">
        <f t="shared" si="15"/>
        <v>1407.2457987369787</v>
      </c>
      <c r="AM16" s="1">
        <f t="shared" si="15"/>
        <v>1421.3182567243484</v>
      </c>
      <c r="AN16" s="1">
        <f t="shared" si="15"/>
        <v>1435.5314392915918</v>
      </c>
      <c r="AO16" s="1">
        <f t="shared" si="15"/>
        <v>1449.8867536845078</v>
      </c>
      <c r="AP16" s="1">
        <f t="shared" si="15"/>
        <v>1464.3856212213529</v>
      </c>
      <c r="AQ16" s="1">
        <f t="shared" si="15"/>
        <v>1479.0294774335664</v>
      </c>
      <c r="AR16" s="1">
        <f t="shared" si="15"/>
        <v>1493.8197722079021</v>
      </c>
      <c r="AS16" s="1">
        <f t="shared" si="15"/>
        <v>1508.7579699299811</v>
      </c>
      <c r="AT16" s="1">
        <f t="shared" si="15"/>
        <v>1523.8455496292809</v>
      </c>
      <c r="AU16" s="1">
        <f t="shared" si="15"/>
        <v>1539.0840051255736</v>
      </c>
      <c r="AV16" s="1">
        <f t="shared" si="15"/>
        <v>1554.4748451768294</v>
      </c>
      <c r="AW16" s="1">
        <f t="shared" si="15"/>
        <v>1570.0195936285977</v>
      </c>
      <c r="AX16" s="1">
        <f t="shared" si="15"/>
        <v>1585.7197895648837</v>
      </c>
      <c r="AY16" s="1">
        <f t="shared" si="15"/>
        <v>1601.5769874605326</v>
      </c>
      <c r="AZ16" s="1">
        <f t="shared" si="15"/>
        <v>1617.592757335138</v>
      </c>
      <c r="BA16" s="1">
        <f t="shared" si="15"/>
        <v>1633.7686849084894</v>
      </c>
      <c r="BB16" s="1">
        <f t="shared" si="15"/>
        <v>1650.1063717575744</v>
      </c>
      <c r="BC16" s="1">
        <f t="shared" si="15"/>
        <v>1666.6074354751502</v>
      </c>
      <c r="BD16" s="1">
        <f t="shared" si="15"/>
        <v>1683.2735098299017</v>
      </c>
      <c r="BE16" s="1">
        <f t="shared" si="15"/>
        <v>1700.1062449282008</v>
      </c>
      <c r="BF16" s="1">
        <f t="shared" si="15"/>
        <v>1717.1073073774828</v>
      </c>
      <c r="BG16" s="1">
        <f t="shared" si="15"/>
        <v>1734.2783804512576</v>
      </c>
      <c r="BH16" s="1">
        <f t="shared" si="15"/>
        <v>1751.6211642557703</v>
      </c>
      <c r="BI16" s="1">
        <f t="shared" si="15"/>
        <v>1769.1373758983279</v>
      </c>
      <c r="BJ16" s="1">
        <f t="shared" si="15"/>
        <v>1786.8287496573112</v>
      </c>
      <c r="BK16" s="1">
        <f t="shared" si="15"/>
        <v>1804.6970371538844</v>
      </c>
      <c r="BL16" s="1">
        <f t="shared" si="15"/>
        <v>1822.7440075254233</v>
      </c>
      <c r="BM16" s="1">
        <f t="shared" si="15"/>
        <v>1840.9714476006775</v>
      </c>
      <c r="BN16" s="1">
        <f t="shared" si="15"/>
        <v>1859.3811620766842</v>
      </c>
      <c r="BO16" s="1">
        <f t="shared" si="15"/>
        <v>1877.9749736974511</v>
      </c>
      <c r="BP16" s="1">
        <f t="shared" si="15"/>
        <v>1896.7547234344256</v>
      </c>
      <c r="BQ16" s="1">
        <f t="shared" si="15"/>
        <v>1915.7222706687699</v>
      </c>
      <c r="BR16" s="1">
        <f t="shared" si="15"/>
        <v>1934.8794933754575</v>
      </c>
      <c r="BS16" s="1">
        <f t="shared" si="15"/>
        <v>1954.2282883092121</v>
      </c>
      <c r="BT16" s="1">
        <f t="shared" si="15"/>
        <v>1973.7705711923043</v>
      </c>
      <c r="BU16" s="1">
        <f t="shared" si="15"/>
        <v>1993.5082769042274</v>
      </c>
      <c r="BV16" s="1">
        <f t="shared" si="15"/>
        <v>2013.4433596732697</v>
      </c>
      <c r="BW16" s="1">
        <f t="shared" si="15"/>
        <v>2033.5777932700023</v>
      </c>
      <c r="BX16" s="1">
        <f t="shared" si="15"/>
        <v>2053.9135712027023</v>
      </c>
      <c r="BY16" s="1">
        <f t="shared" si="15"/>
        <v>2074.4527069147293</v>
      </c>
      <c r="BZ16" s="1">
        <f t="shared" si="15"/>
        <v>2095.1972339838767</v>
      </c>
      <c r="CA16" s="1">
        <f t="shared" si="15"/>
        <v>2116.1492063237156</v>
      </c>
      <c r="CB16" s="1">
        <f t="shared" si="15"/>
        <v>2137.3106983869529</v>
      </c>
      <c r="CC16" s="1">
        <f t="shared" si="15"/>
        <v>2158.6838053708225</v>
      </c>
      <c r="CD16" s="1">
        <f t="shared" si="15"/>
        <v>2180.2706434245306</v>
      </c>
      <c r="CE16" s="1">
        <f t="shared" si="15"/>
        <v>2202.0733498587761</v>
      </c>
      <c r="CF16" s="1">
        <f t="shared" si="15"/>
        <v>2224.0940833573636</v>
      </c>
      <c r="CG16" s="1">
        <f t="shared" si="15"/>
        <v>2246.3350241909375</v>
      </c>
      <c r="CH16" s="1">
        <f t="shared" si="15"/>
        <v>2268.7983744328467</v>
      </c>
      <c r="CI16" s="1">
        <f t="shared" si="15"/>
        <v>2291.4863581771751</v>
      </c>
      <c r="CJ16" s="1">
        <f t="shared" si="15"/>
        <v>2314.401221758947</v>
      </c>
      <c r="CK16" s="1">
        <f t="shared" si="15"/>
        <v>2337.5452339765366</v>
      </c>
      <c r="CL16" s="1">
        <f t="shared" si="15"/>
        <v>2360.9206863163017</v>
      </c>
      <c r="CM16" s="1">
        <f t="shared" si="15"/>
        <v>2384.5298931794646</v>
      </c>
      <c r="CN16" s="1">
        <f t="shared" si="15"/>
        <v>2408.3751921112594</v>
      </c>
      <c r="CO16" s="1">
        <f t="shared" si="15"/>
        <v>2432.4589440323721</v>
      </c>
      <c r="CP16" s="1">
        <f t="shared" si="15"/>
        <v>2456.783533472696</v>
      </c>
      <c r="CQ16" s="1">
        <f t="shared" ref="CQ16:FB16" si="16">+CP16*(1+$AF$21)</f>
        <v>2481.3513688074231</v>
      </c>
      <c r="CR16" s="1">
        <f t="shared" si="16"/>
        <v>2506.1648824954973</v>
      </c>
      <c r="CS16" s="1">
        <f t="shared" si="16"/>
        <v>2531.2265313204521</v>
      </c>
      <c r="CT16" s="1">
        <f t="shared" si="16"/>
        <v>2556.5387966336566</v>
      </c>
      <c r="CU16" s="1">
        <f t="shared" si="16"/>
        <v>2582.104184599993</v>
      </c>
      <c r="CV16" s="1">
        <f t="shared" si="16"/>
        <v>2607.9252264459928</v>
      </c>
      <c r="CW16" s="1">
        <f t="shared" si="16"/>
        <v>2634.004478710453</v>
      </c>
      <c r="CX16" s="1">
        <f t="shared" si="16"/>
        <v>2660.3445234975575</v>
      </c>
      <c r="CY16" s="1">
        <f t="shared" si="16"/>
        <v>2686.9479687325329</v>
      </c>
      <c r="CZ16" s="1">
        <f t="shared" si="16"/>
        <v>2713.8174484198585</v>
      </c>
      <c r="DA16" s="1">
        <f t="shared" si="16"/>
        <v>2740.9556229040572</v>
      </c>
      <c r="DB16" s="1">
        <f t="shared" si="16"/>
        <v>2768.3651791330976</v>
      </c>
      <c r="DC16" s="1">
        <f t="shared" si="16"/>
        <v>2796.0488309244288</v>
      </c>
      <c r="DD16" s="1">
        <f t="shared" si="16"/>
        <v>2824.0093192336731</v>
      </c>
      <c r="DE16" s="1">
        <f t="shared" si="16"/>
        <v>2852.2494124260097</v>
      </c>
      <c r="DF16" s="1">
        <f t="shared" si="16"/>
        <v>2880.7719065502697</v>
      </c>
      <c r="DG16" s="1">
        <f t="shared" si="16"/>
        <v>2909.5796256157723</v>
      </c>
      <c r="DH16" s="1">
        <f t="shared" si="16"/>
        <v>2938.6754218719302</v>
      </c>
      <c r="DI16" s="1">
        <f t="shared" si="16"/>
        <v>2968.0621760906497</v>
      </c>
      <c r="DJ16" s="1">
        <f t="shared" si="16"/>
        <v>2997.7427978515561</v>
      </c>
      <c r="DK16" s="1">
        <f t="shared" si="16"/>
        <v>3027.7202258300717</v>
      </c>
      <c r="DL16" s="1">
        <f t="shared" si="16"/>
        <v>3057.9974280883725</v>
      </c>
      <c r="DM16" s="1">
        <f t="shared" si="16"/>
        <v>3088.5774023692561</v>
      </c>
      <c r="DN16" s="1">
        <f t="shared" si="16"/>
        <v>3119.4631763929488</v>
      </c>
      <c r="DO16" s="1">
        <f t="shared" si="16"/>
        <v>3150.6578081568782</v>
      </c>
      <c r="DP16" s="1">
        <f t="shared" si="16"/>
        <v>3182.1643862384472</v>
      </c>
      <c r="DQ16" s="1">
        <f t="shared" si="16"/>
        <v>3213.9860301008316</v>
      </c>
      <c r="DR16" s="1">
        <f t="shared" si="16"/>
        <v>3246.12589040184</v>
      </c>
      <c r="DS16" s="1">
        <f t="shared" si="16"/>
        <v>3278.5871493058585</v>
      </c>
      <c r="DT16" s="1">
        <f t="shared" si="16"/>
        <v>3311.373020798917</v>
      </c>
      <c r="DU16" s="1">
        <f t="shared" si="16"/>
        <v>3344.4867510069062</v>
      </c>
      <c r="DV16" s="1">
        <f t="shared" si="16"/>
        <v>3377.931618516975</v>
      </c>
      <c r="DW16" s="1">
        <f t="shared" si="16"/>
        <v>3411.7109347021446</v>
      </c>
      <c r="DX16" s="1">
        <f t="shared" si="16"/>
        <v>3445.8280440491662</v>
      </c>
      <c r="DY16" s="1">
        <f t="shared" si="16"/>
        <v>3480.286324489658</v>
      </c>
      <c r="DZ16" s="1">
        <f t="shared" si="16"/>
        <v>3515.0891877345548</v>
      </c>
      <c r="EA16" s="1">
        <f t="shared" si="16"/>
        <v>3550.2400796119005</v>
      </c>
      <c r="EB16" s="1">
        <f t="shared" si="16"/>
        <v>3585.7424804080197</v>
      </c>
      <c r="EC16" s="1">
        <f t="shared" si="16"/>
        <v>3621.5999052121001</v>
      </c>
      <c r="ED16" s="1">
        <f t="shared" si="16"/>
        <v>3657.815904264221</v>
      </c>
      <c r="EE16" s="1">
        <f t="shared" si="16"/>
        <v>3694.3940633068632</v>
      </c>
      <c r="EF16" s="1">
        <f t="shared" si="16"/>
        <v>3731.3380039399317</v>
      </c>
      <c r="EG16" s="1">
        <f t="shared" si="16"/>
        <v>3768.6513839793311</v>
      </c>
      <c r="EH16" s="1">
        <f t="shared" si="16"/>
        <v>3806.3378978191245</v>
      </c>
      <c r="EI16" s="1">
        <f t="shared" si="16"/>
        <v>3844.4012767973159</v>
      </c>
      <c r="EJ16" s="1">
        <f t="shared" si="16"/>
        <v>3882.845289565289</v>
      </c>
      <c r="EK16" s="1">
        <f t="shared" si="16"/>
        <v>3921.6737424609419</v>
      </c>
      <c r="EL16" s="1">
        <f t="shared" si="16"/>
        <v>3960.8904798855515</v>
      </c>
      <c r="EM16" s="1">
        <f t="shared" si="16"/>
        <v>4000.4993846844072</v>
      </c>
      <c r="EN16" s="1">
        <f t="shared" si="16"/>
        <v>4040.5043785312514</v>
      </c>
      <c r="EO16" s="1">
        <f t="shared" si="16"/>
        <v>4080.9094223165639</v>
      </c>
      <c r="EP16" s="1">
        <f t="shared" si="16"/>
        <v>4121.7185165397295</v>
      </c>
      <c r="EQ16" s="1">
        <f t="shared" si="16"/>
        <v>4162.935701705127</v>
      </c>
      <c r="ER16" s="1">
        <f t="shared" si="16"/>
        <v>4204.565058722178</v>
      </c>
      <c r="ES16" s="1">
        <f t="shared" si="16"/>
        <v>4246.6107093093997</v>
      </c>
      <c r="ET16" s="1">
        <f t="shared" si="16"/>
        <v>4289.0768164024939</v>
      </c>
      <c r="EU16" s="1">
        <f t="shared" si="16"/>
        <v>4331.9675845665188</v>
      </c>
      <c r="EV16" s="1">
        <f t="shared" si="16"/>
        <v>4375.287260412184</v>
      </c>
      <c r="EW16" s="1">
        <f t="shared" si="16"/>
        <v>4419.0401330163058</v>
      </c>
      <c r="EX16" s="1">
        <f t="shared" si="16"/>
        <v>4463.2305343464686</v>
      </c>
      <c r="EY16" s="1">
        <f t="shared" si="16"/>
        <v>4507.862839689933</v>
      </c>
      <c r="EZ16" s="1">
        <f t="shared" si="16"/>
        <v>4552.9414680868322</v>
      </c>
      <c r="FA16" s="1">
        <f t="shared" si="16"/>
        <v>4598.4708827677005</v>
      </c>
      <c r="FB16" s="1">
        <f t="shared" si="16"/>
        <v>4644.4555915953779</v>
      </c>
      <c r="FC16" s="1">
        <f t="shared" ref="FC16:HK16" si="17">+FB16*(1+$AF$21)</f>
        <v>4690.9001475113319</v>
      </c>
      <c r="FD16" s="1">
        <f t="shared" si="17"/>
        <v>4737.8091489864455</v>
      </c>
      <c r="FE16" s="1">
        <f t="shared" si="17"/>
        <v>4785.1872404763099</v>
      </c>
      <c r="FF16" s="1">
        <f t="shared" si="17"/>
        <v>4833.0391128810734</v>
      </c>
      <c r="FG16" s="1">
        <f t="shared" si="17"/>
        <v>4881.3695040098837</v>
      </c>
      <c r="FH16" s="1">
        <f t="shared" si="17"/>
        <v>4930.1831990499822</v>
      </c>
      <c r="FI16" s="1">
        <f t="shared" si="17"/>
        <v>4979.4850310404818</v>
      </c>
      <c r="FJ16" s="1">
        <f t="shared" si="17"/>
        <v>5029.2798813508871</v>
      </c>
      <c r="FK16" s="1">
        <f t="shared" si="17"/>
        <v>5079.5726801643959</v>
      </c>
      <c r="FL16" s="1">
        <f t="shared" si="17"/>
        <v>5130.3684069660403</v>
      </c>
      <c r="FM16" s="1">
        <f t="shared" si="17"/>
        <v>5181.6720910357008</v>
      </c>
      <c r="FN16" s="1">
        <f t="shared" si="17"/>
        <v>5233.4888119460575</v>
      </c>
      <c r="FO16" s="1">
        <f t="shared" si="17"/>
        <v>5285.8237000655181</v>
      </c>
      <c r="FP16" s="1">
        <f t="shared" si="17"/>
        <v>5338.6819370661733</v>
      </c>
      <c r="FQ16" s="1">
        <f t="shared" si="17"/>
        <v>5392.0687564368354</v>
      </c>
      <c r="FR16" s="1">
        <f t="shared" si="17"/>
        <v>5445.989444001204</v>
      </c>
      <c r="FS16" s="1">
        <f t="shared" si="17"/>
        <v>5500.4493384412162</v>
      </c>
      <c r="FT16" s="1">
        <f t="shared" si="17"/>
        <v>5555.4538318256282</v>
      </c>
      <c r="FU16" s="1">
        <f t="shared" si="17"/>
        <v>5611.0083701438843</v>
      </c>
      <c r="FV16" s="1">
        <f t="shared" si="17"/>
        <v>5667.1184538453235</v>
      </c>
      <c r="FW16" s="1">
        <f t="shared" si="17"/>
        <v>5723.7896383837769</v>
      </c>
      <c r="FX16" s="1">
        <f t="shared" si="17"/>
        <v>5781.0275347676152</v>
      </c>
      <c r="FY16" s="1">
        <f t="shared" si="17"/>
        <v>5838.8378101152912</v>
      </c>
      <c r="FZ16" s="1">
        <f t="shared" si="17"/>
        <v>5897.2261882164439</v>
      </c>
      <c r="GA16" s="1">
        <f t="shared" si="17"/>
        <v>5956.1984500986082</v>
      </c>
      <c r="GB16" s="1">
        <f t="shared" si="17"/>
        <v>6015.7604345995942</v>
      </c>
      <c r="GC16" s="1">
        <f t="shared" si="17"/>
        <v>6075.9180389455905</v>
      </c>
      <c r="GD16" s="1">
        <f t="shared" si="17"/>
        <v>6136.6772193350462</v>
      </c>
      <c r="GE16" s="1">
        <f t="shared" si="17"/>
        <v>6198.0439915283969</v>
      </c>
      <c r="GF16" s="1">
        <f t="shared" si="17"/>
        <v>6260.0244314436814</v>
      </c>
      <c r="GG16" s="1">
        <f t="shared" si="17"/>
        <v>6322.6246757581184</v>
      </c>
      <c r="GH16" s="1">
        <f t="shared" si="17"/>
        <v>6385.8509225156995</v>
      </c>
      <c r="GI16" s="1">
        <f t="shared" si="17"/>
        <v>6449.7094317408564</v>
      </c>
      <c r="GJ16" s="1">
        <f t="shared" si="17"/>
        <v>6514.2065260582649</v>
      </c>
      <c r="GK16" s="1">
        <f t="shared" si="17"/>
        <v>6579.3485913188479</v>
      </c>
      <c r="GL16" s="1">
        <f t="shared" si="17"/>
        <v>6645.1420772320362</v>
      </c>
      <c r="GM16" s="1">
        <f t="shared" si="17"/>
        <v>6711.5934980043567</v>
      </c>
      <c r="GN16" s="1">
        <f t="shared" si="17"/>
        <v>6778.7094329844003</v>
      </c>
      <c r="GO16" s="1">
        <f t="shared" si="17"/>
        <v>6846.4965273142443</v>
      </c>
      <c r="GP16" s="1">
        <f t="shared" si="17"/>
        <v>6914.9614925873866</v>
      </c>
      <c r="GQ16" s="1">
        <f t="shared" si="17"/>
        <v>6984.1111075132603</v>
      </c>
      <c r="GR16" s="1">
        <f t="shared" si="17"/>
        <v>7053.9522185883934</v>
      </c>
      <c r="GS16" s="1">
        <f t="shared" si="17"/>
        <v>7124.4917407742778</v>
      </c>
      <c r="GT16" s="1">
        <f t="shared" si="17"/>
        <v>7195.7366581820206</v>
      </c>
      <c r="GU16" s="1">
        <f t="shared" si="17"/>
        <v>7267.6940247638413</v>
      </c>
      <c r="GV16" s="1">
        <f t="shared" si="17"/>
        <v>7340.3709650114797</v>
      </c>
      <c r="GW16" s="1">
        <f t="shared" si="17"/>
        <v>7413.7746746615949</v>
      </c>
      <c r="GX16" s="1">
        <f t="shared" si="17"/>
        <v>7487.9124214082112</v>
      </c>
      <c r="GY16" s="1">
        <f t="shared" si="17"/>
        <v>7562.7915456222936</v>
      </c>
      <c r="GZ16" s="1">
        <f t="shared" si="17"/>
        <v>7638.4194610785162</v>
      </c>
      <c r="HA16" s="1">
        <f t="shared" si="17"/>
        <v>7714.8036556893012</v>
      </c>
      <c r="HB16" s="1">
        <f t="shared" si="17"/>
        <v>7791.9516922461944</v>
      </c>
      <c r="HC16" s="1">
        <f t="shared" si="17"/>
        <v>7869.8712091686566</v>
      </c>
      <c r="HD16" s="1">
        <f t="shared" si="17"/>
        <v>7948.5699212603431</v>
      </c>
      <c r="HE16" s="1">
        <f t="shared" si="17"/>
        <v>8028.0556204729464</v>
      </c>
      <c r="HF16" s="1">
        <f t="shared" si="17"/>
        <v>8108.3361766776761</v>
      </c>
      <c r="HG16" s="1">
        <f t="shared" si="17"/>
        <v>8189.4195384444529</v>
      </c>
      <c r="HH16" s="1">
        <f t="shared" si="17"/>
        <v>8271.313733828898</v>
      </c>
      <c r="HI16" s="1">
        <f t="shared" si="17"/>
        <v>8354.026871167187</v>
      </c>
      <c r="HJ16" s="1">
        <f t="shared" si="17"/>
        <v>8437.5671398788581</v>
      </c>
      <c r="HK16" s="1">
        <f t="shared" si="17"/>
        <v>8521.9428112776477</v>
      </c>
    </row>
    <row r="17" spans="2:32" s="1" customFormat="1">
      <c r="B17" s="1" t="s">
        <v>26</v>
      </c>
      <c r="G17" s="1">
        <v>66.644999999999996</v>
      </c>
      <c r="H17" s="1">
        <v>65.962000000000003</v>
      </c>
      <c r="I17" s="1">
        <v>65.504000000000005</v>
      </c>
      <c r="J17" s="1">
        <f>+J16/J18</f>
        <v>65.823781799182925</v>
      </c>
      <c r="K17" s="1">
        <v>65.290999999999997</v>
      </c>
      <c r="L17" s="1">
        <v>65.039000000000001</v>
      </c>
      <c r="M17" s="1">
        <v>64.802000000000007</v>
      </c>
      <c r="N17" s="1">
        <f>+N16/N18</f>
        <v>64.834692756931872</v>
      </c>
      <c r="P17" s="1">
        <v>65.962000000000003</v>
      </c>
      <c r="Q17" s="1">
        <v>68.126000000000005</v>
      </c>
      <c r="R17" s="1">
        <v>65.900999999999996</v>
      </c>
      <c r="S17" s="1">
        <v>64.917000000000002</v>
      </c>
      <c r="T17" s="1">
        <f>+S17</f>
        <v>64.917000000000002</v>
      </c>
      <c r="U17" s="1">
        <f>+T17</f>
        <v>64.917000000000002</v>
      </c>
      <c r="V17" s="1">
        <f t="shared" ref="V17:AC17" si="18">+U17</f>
        <v>64.917000000000002</v>
      </c>
      <c r="W17" s="1">
        <f t="shared" si="18"/>
        <v>64.917000000000002</v>
      </c>
      <c r="X17" s="1">
        <f t="shared" si="18"/>
        <v>64.917000000000002</v>
      </c>
      <c r="Y17" s="1">
        <f t="shared" si="18"/>
        <v>64.917000000000002</v>
      </c>
      <c r="Z17" s="1">
        <f t="shared" si="18"/>
        <v>64.917000000000002</v>
      </c>
      <c r="AA17" s="1">
        <f t="shared" si="18"/>
        <v>64.917000000000002</v>
      </c>
      <c r="AB17" s="1">
        <f t="shared" si="18"/>
        <v>64.917000000000002</v>
      </c>
      <c r="AC17" s="1">
        <f t="shared" si="18"/>
        <v>64.917000000000002</v>
      </c>
    </row>
    <row r="18" spans="2:32" s="5" customFormat="1">
      <c r="B18" s="5" t="s">
        <v>27</v>
      </c>
      <c r="G18" s="5">
        <f>+G16/G17</f>
        <v>0.50077275114412079</v>
      </c>
      <c r="H18" s="5">
        <f>+H16/H17</f>
        <v>0.24833995330644679</v>
      </c>
      <c r="I18" s="5">
        <f>+I16/I17</f>
        <v>0.41802027357107485</v>
      </c>
      <c r="J18" s="5">
        <f>+R18-SUM(G18:I18)</f>
        <v>2.8719863069664355</v>
      </c>
      <c r="K18" s="5">
        <f>+K16/K17</f>
        <v>0.89194529108147369</v>
      </c>
      <c r="L18" s="5">
        <f>+L16/L17</f>
        <v>0.54887067759345054</v>
      </c>
      <c r="M18" s="5">
        <f>+M16/M17</f>
        <v>0.97211505817721333</v>
      </c>
      <c r="N18" s="5">
        <f>+S18-SUM(K18:M18)</f>
        <v>3.5082760529574708</v>
      </c>
      <c r="P18" s="5">
        <f>+P16/P17</f>
        <v>-3.1328946969467104</v>
      </c>
      <c r="Q18" s="5">
        <f>+Q16/Q17</f>
        <v>8.455303408390316</v>
      </c>
      <c r="R18" s="5">
        <f>+R16/R17</f>
        <v>4.0391192849880779</v>
      </c>
      <c r="S18" s="5">
        <f>+S16/S17</f>
        <v>5.9212070798096086</v>
      </c>
      <c r="T18" s="5">
        <f>+T16/T17</f>
        <v>6.8729919021778052</v>
      </c>
      <c r="U18" s="5">
        <f>+U16/U17</f>
        <v>11.920076777272021</v>
      </c>
      <c r="V18" s="5">
        <f t="shared" ref="V18:AC18" si="19">+V16/V17</f>
        <v>12.907655632058443</v>
      </c>
      <c r="W18" s="5">
        <f t="shared" si="19"/>
        <v>13.895234486844886</v>
      </c>
      <c r="X18" s="5">
        <f t="shared" si="19"/>
        <v>14.882813341631266</v>
      </c>
      <c r="Y18" s="5">
        <f t="shared" si="19"/>
        <v>15.870392196417692</v>
      </c>
      <c r="Z18" s="5">
        <f t="shared" si="19"/>
        <v>16.857971051204135</v>
      </c>
      <c r="AA18" s="5">
        <f t="shared" si="19"/>
        <v>17.845549905990538</v>
      </c>
      <c r="AB18" s="5">
        <f t="shared" si="19"/>
        <v>18.833128760776958</v>
      </c>
      <c r="AC18" s="5">
        <f t="shared" si="19"/>
        <v>19.820707615563339</v>
      </c>
    </row>
    <row r="20" spans="2:32">
      <c r="B20" s="4" t="s">
        <v>29</v>
      </c>
    </row>
    <row r="21" spans="2:32" s="3" customFormat="1">
      <c r="B21" s="1" t="s">
        <v>1</v>
      </c>
      <c r="K21" s="3">
        <f>+K6/G6-1</f>
        <v>0.10757445694762735</v>
      </c>
      <c r="L21" s="3">
        <f>+L6/H6-1</f>
        <v>9.4035502994371356E-2</v>
      </c>
      <c r="M21" s="3">
        <f>+M6/I6-1</f>
        <v>0.12217825098837043</v>
      </c>
      <c r="N21" s="3">
        <f>+N6/J6-1</f>
        <v>0.13945381780637756</v>
      </c>
      <c r="Q21" s="3">
        <f>+Q6/P6-1</f>
        <v>0.6180966109778232</v>
      </c>
      <c r="R21" s="3">
        <f>+R6/Q6-1</f>
        <v>-6.6835085701477559E-2</v>
      </c>
      <c r="S21" s="3">
        <f>+S6/R6-1</f>
        <v>0.11795989312048016</v>
      </c>
      <c r="AE21" s="3" t="s">
        <v>33</v>
      </c>
      <c r="AF21" s="3">
        <v>0.01</v>
      </c>
    </row>
    <row r="22" spans="2:32" s="3" customFormat="1">
      <c r="B22" s="1" t="s">
        <v>21</v>
      </c>
      <c r="K22" s="3">
        <f t="shared" ref="K22:N23" si="20">+K7/G7-1</f>
        <v>2.8155100024697344E-2</v>
      </c>
      <c r="L22" s="3">
        <f t="shared" si="20"/>
        <v>7.6505429417571769E-2</v>
      </c>
      <c r="M22" s="3">
        <f t="shared" si="20"/>
        <v>-1.8277310924369683E-2</v>
      </c>
      <c r="N22" s="3">
        <f t="shared" si="20"/>
        <v>1.8853405155828673E-2</v>
      </c>
      <c r="Q22" s="3">
        <f t="shared" ref="Q22" si="21">+Q7/P7-1</f>
        <v>0.2627220837687918</v>
      </c>
      <c r="R22" s="3">
        <f t="shared" ref="R22:S23" si="22">+R7/Q7-1</f>
        <v>0.14974215318011086</v>
      </c>
      <c r="S22" s="3">
        <f t="shared" si="22"/>
        <v>2.4087712497923297E-2</v>
      </c>
      <c r="AE22" s="3" t="s">
        <v>34</v>
      </c>
      <c r="AF22" s="9">
        <v>0.08</v>
      </c>
    </row>
    <row r="23" spans="2:32" s="3" customFormat="1">
      <c r="B23" s="2" t="s">
        <v>19</v>
      </c>
      <c r="K23" s="3">
        <f t="shared" si="20"/>
        <v>0.10740781430404445</v>
      </c>
      <c r="L23" s="3">
        <f t="shared" si="20"/>
        <v>9.3999771623001216E-2</v>
      </c>
      <c r="M23" s="3">
        <f t="shared" si="20"/>
        <v>0.12185063167452914</v>
      </c>
      <c r="N23" s="3">
        <f t="shared" si="20"/>
        <v>0.13922538629383818</v>
      </c>
      <c r="Q23" s="3">
        <f t="shared" ref="Q23" si="23">+Q8/P8-1</f>
        <v>0.61732969233064661</v>
      </c>
      <c r="R23" s="3">
        <f t="shared" si="22"/>
        <v>-6.6470176317835694E-2</v>
      </c>
      <c r="S23" s="3">
        <f t="shared" si="22"/>
        <v>0.11776509651593958</v>
      </c>
      <c r="T23" s="3">
        <f t="shared" ref="T23:AC23" si="24">+T8/S8-1</f>
        <v>0.10000000000000009</v>
      </c>
      <c r="U23" s="3">
        <f t="shared" si="24"/>
        <v>9.0334236675700064E-2</v>
      </c>
      <c r="V23" s="3">
        <f t="shared" si="24"/>
        <v>8.2850041425020615E-2</v>
      </c>
      <c r="W23" s="3">
        <f t="shared" si="24"/>
        <v>7.6511094108645761E-2</v>
      </c>
      <c r="X23" s="3">
        <f t="shared" si="24"/>
        <v>7.1073205401563699E-2</v>
      </c>
      <c r="Y23" s="3">
        <f t="shared" si="24"/>
        <v>6.6357000663570087E-2</v>
      </c>
      <c r="Z23" s="3">
        <f t="shared" si="24"/>
        <v>6.2227753578095957E-2</v>
      </c>
      <c r="AA23" s="3">
        <f t="shared" si="24"/>
        <v>5.8582308142940853E-2</v>
      </c>
      <c r="AB23" s="3">
        <f t="shared" si="24"/>
        <v>5.5340343110127144E-2</v>
      </c>
      <c r="AC23" s="3">
        <f t="shared" si="24"/>
        <v>5.2438384897745216E-2</v>
      </c>
      <c r="AE23" s="3" t="s">
        <v>35</v>
      </c>
      <c r="AF23" s="6">
        <f>NPV(AF22,T16:HK16)</f>
        <v>14782.83972331428</v>
      </c>
    </row>
    <row r="24" spans="2:32">
      <c r="AE24" s="3" t="s">
        <v>37</v>
      </c>
      <c r="AF24" s="1">
        <f>+Main!K6-Main!K7</f>
        <v>-483.28599999999994</v>
      </c>
    </row>
    <row r="25" spans="2:32">
      <c r="B25" t="s">
        <v>30</v>
      </c>
      <c r="G25" s="3">
        <f t="shared" ref="G25:N25" si="25">(G8-G9)/G8</f>
        <v>0.41081478287726753</v>
      </c>
      <c r="H25" s="3">
        <f t="shared" si="25"/>
        <v>0.39069217849020665</v>
      </c>
      <c r="I25" s="3">
        <f t="shared" si="25"/>
        <v>0.41288105427240923</v>
      </c>
      <c r="J25" s="3">
        <f t="shared" si="25"/>
        <v>0.4077234717689569</v>
      </c>
      <c r="K25" s="3">
        <f t="shared" si="25"/>
        <v>0.42364466091019193</v>
      </c>
      <c r="L25" s="3">
        <f t="shared" si="25"/>
        <v>0.41778281934902733</v>
      </c>
      <c r="M25" s="3">
        <f t="shared" si="25"/>
        <v>0.43311102821504466</v>
      </c>
      <c r="N25" s="3">
        <f>(N8-N9)/N8</f>
        <v>0.42796090530898878</v>
      </c>
      <c r="P25" s="3">
        <f>(P8-P9)/P8</f>
        <v>0.38323450116065644</v>
      </c>
      <c r="Q25" s="3">
        <f>(Q8-Q9)/Q8</f>
        <v>0.41686272078346709</v>
      </c>
      <c r="R25" s="3">
        <f>(R8-R9)/R8</f>
        <v>0.4057278717956142</v>
      </c>
      <c r="S25" s="3">
        <f>(S8-S9)/S8</f>
        <v>0.42594922193002555</v>
      </c>
      <c r="T25" s="3">
        <f t="shared" ref="T25:AC25" si="26">(T8-T9)/T8</f>
        <v>0.42594922193002555</v>
      </c>
      <c r="U25" s="3">
        <f t="shared" si="26"/>
        <v>0.4259492219300256</v>
      </c>
      <c r="V25" s="3">
        <f t="shared" si="26"/>
        <v>0.42594922193002566</v>
      </c>
      <c r="W25" s="3">
        <f t="shared" si="26"/>
        <v>0.4259492219300256</v>
      </c>
      <c r="X25" s="3">
        <f t="shared" si="26"/>
        <v>0.42594922193002555</v>
      </c>
      <c r="Y25" s="3">
        <f t="shared" si="26"/>
        <v>0.4259492219300256</v>
      </c>
      <c r="Z25" s="3">
        <f t="shared" si="26"/>
        <v>0.42594922193002566</v>
      </c>
      <c r="AA25" s="3">
        <f t="shared" si="26"/>
        <v>0.4259492219300256</v>
      </c>
      <c r="AB25" s="3">
        <f t="shared" si="26"/>
        <v>0.42594922193002555</v>
      </c>
      <c r="AC25" s="3">
        <f t="shared" si="26"/>
        <v>0.42594922193002566</v>
      </c>
      <c r="AE25" s="7" t="s">
        <v>38</v>
      </c>
      <c r="AF25" s="8">
        <f>+SUM(AF23:AF24)</f>
        <v>14299.55372331428</v>
      </c>
    </row>
    <row r="26" spans="2:32">
      <c r="AE26" s="3" t="s">
        <v>36</v>
      </c>
      <c r="AF26" s="1">
        <f>+Main!K4</f>
        <v>63.919381999999999</v>
      </c>
    </row>
    <row r="27" spans="2:32">
      <c r="P27" s="3"/>
      <c r="Q27" s="3"/>
      <c r="R27" s="3"/>
      <c r="S27" s="3"/>
      <c r="T27" s="3"/>
      <c r="AE27" s="3" t="s">
        <v>39</v>
      </c>
      <c r="AF27" s="5">
        <f>+AF25/AF26</f>
        <v>223.71232755839662</v>
      </c>
    </row>
    <row r="28" spans="2:32">
      <c r="AE28" s="3" t="s">
        <v>40</v>
      </c>
      <c r="AF28" s="1">
        <f>+Main!K3</f>
        <v>230.62</v>
      </c>
    </row>
    <row r="29" spans="2:32">
      <c r="AE29" s="3" t="s">
        <v>41</v>
      </c>
      <c r="AF29" s="3">
        <f>+AF27/AF28-1</f>
        <v>-2.9952616605686377E-2</v>
      </c>
    </row>
    <row r="35" spans="2:14">
      <c r="B35" t="s">
        <v>42</v>
      </c>
      <c r="G35">
        <f>+-172.299</f>
        <v>-172.29900000000001</v>
      </c>
      <c r="H35">
        <f>+-152.862</f>
        <v>-152.86199999999999</v>
      </c>
      <c r="I35">
        <f>9.577-SUM(G35:H35)</f>
        <v>334.738</v>
      </c>
      <c r="J35">
        <f>596.385-SUM(G35:I35)</f>
        <v>586.80799999999999</v>
      </c>
      <c r="K35">
        <f>+-77.952</f>
        <v>-77.951999999999998</v>
      </c>
      <c r="L35">
        <f>29.826-K35</f>
        <v>107.77799999999999</v>
      </c>
      <c r="M35">
        <f>270.196-SUM(K35:L35)</f>
        <v>240.37000000000003</v>
      </c>
      <c r="N35">
        <f>868.735-SUM(K35:M35)</f>
        <v>598.53899999999999</v>
      </c>
    </row>
    <row r="36" spans="2:14">
      <c r="B36" t="s">
        <v>43</v>
      </c>
      <c r="G36">
        <f>+-106.899</f>
        <v>-106.899</v>
      </c>
      <c r="H36">
        <f>+-208.776</f>
        <v>-208.77600000000001</v>
      </c>
      <c r="I36">
        <f>+-338.979-SUM(G36:H36)</f>
        <v>-23.303999999999974</v>
      </c>
      <c r="J36">
        <f>+-447.393-SUM(G36:I36)</f>
        <v>-108.41399999999999</v>
      </c>
      <c r="K36">
        <f>+-95.688</f>
        <v>-95.688000000000002</v>
      </c>
      <c r="L36">
        <f>+-184.752</f>
        <v>-184.75200000000001</v>
      </c>
      <c r="M36">
        <f>+-304.442-SUM(K36:L36)</f>
        <v>-24.00200000000001</v>
      </c>
      <c r="N36">
        <f>+-492.644-SUM(K36:M36)</f>
        <v>-188.202</v>
      </c>
    </row>
    <row r="37" spans="2:14">
      <c r="B37" t="s">
        <v>44</v>
      </c>
      <c r="G37">
        <f t="shared" ref="G37:M37" si="27">SUM(G35:G36)</f>
        <v>-279.19799999999998</v>
      </c>
      <c r="H37">
        <f t="shared" si="27"/>
        <v>-361.63800000000003</v>
      </c>
      <c r="I37">
        <f t="shared" si="27"/>
        <v>311.43400000000003</v>
      </c>
      <c r="J37">
        <f t="shared" si="27"/>
        <v>478.39400000000001</v>
      </c>
      <c r="K37">
        <f t="shared" si="27"/>
        <v>-173.64</v>
      </c>
      <c r="L37">
        <f t="shared" si="27"/>
        <v>-76.974000000000018</v>
      </c>
      <c r="M37">
        <f t="shared" si="27"/>
        <v>216.36800000000002</v>
      </c>
      <c r="N37">
        <f>SUM(N35:N36)</f>
        <v>410.33699999999999</v>
      </c>
    </row>
    <row r="38" spans="2:14">
      <c r="B38" t="s">
        <v>47</v>
      </c>
      <c r="C38" s="1">
        <f>+C16</f>
        <v>0</v>
      </c>
      <c r="D38" s="1">
        <f t="shared" ref="D38:N38" si="28">+D16</f>
        <v>0</v>
      </c>
      <c r="E38" s="1">
        <f t="shared" si="28"/>
        <v>0</v>
      </c>
      <c r="F38" s="1">
        <f t="shared" si="28"/>
        <v>0</v>
      </c>
      <c r="G38" s="1">
        <f t="shared" si="28"/>
        <v>33.373999999999924</v>
      </c>
      <c r="H38" s="1">
        <f t="shared" si="28"/>
        <v>16.380999999999844</v>
      </c>
      <c r="I38" s="1">
        <f t="shared" si="28"/>
        <v>27.381999999999689</v>
      </c>
      <c r="J38" s="1">
        <f t="shared" si="28"/>
        <v>189.04499999999985</v>
      </c>
      <c r="K38" s="1">
        <f t="shared" si="28"/>
        <v>58.236000000000494</v>
      </c>
      <c r="L38" s="1">
        <f t="shared" si="28"/>
        <v>35.698000000000434</v>
      </c>
      <c r="M38" s="1">
        <f t="shared" si="28"/>
        <v>62.994999999999784</v>
      </c>
      <c r="N38" s="1">
        <f t="shared" si="28"/>
        <v>227.45799999999926</v>
      </c>
    </row>
    <row r="40" spans="2:14">
      <c r="B40" t="s">
        <v>45</v>
      </c>
      <c r="J40">
        <f t="shared" ref="J40:M40" si="29">SUM(G37:J37)</f>
        <v>148.99200000000002</v>
      </c>
      <c r="K40">
        <f t="shared" si="29"/>
        <v>254.55</v>
      </c>
      <c r="L40">
        <f t="shared" si="29"/>
        <v>539.21399999999994</v>
      </c>
      <c r="M40">
        <f t="shared" si="29"/>
        <v>444.14800000000002</v>
      </c>
      <c r="N40">
        <f>SUM(K37:N37)</f>
        <v>376.09100000000001</v>
      </c>
    </row>
    <row r="41" spans="2:14">
      <c r="B41" t="s">
        <v>46</v>
      </c>
      <c r="J41">
        <f t="shared" ref="J41:M41" si="30">SUM(G38:J38)</f>
        <v>266.18199999999933</v>
      </c>
      <c r="K41">
        <f t="shared" si="30"/>
        <v>291.04399999999987</v>
      </c>
      <c r="L41">
        <f t="shared" si="30"/>
        <v>310.36100000000044</v>
      </c>
      <c r="M41">
        <f t="shared" si="30"/>
        <v>345.97400000000056</v>
      </c>
      <c r="N41">
        <f>SUM(K38:N38)</f>
        <v>384.38699999999994</v>
      </c>
    </row>
  </sheetData>
  <pageMargins left="0.7" right="0.7" top="0.75" bottom="0.75" header="0.3" footer="0.3"/>
  <ignoredErrors>
    <ignoredError sqref="J8:J18 N8:N15" formula="1"/>
    <ignoredError sqref="P8:Q8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2024-03-27T20:23:17Z</dcterms:created>
  <dcterms:modified xsi:type="dcterms:W3CDTF">2024-03-28T04:40:36Z</dcterms:modified>
</cp:coreProperties>
</file>