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C05E55C4-6DA7-4B45-8DA4-FDF634E69C0F}" xr6:coauthVersionLast="47" xr6:coauthVersionMax="47" xr10:uidLastSave="{00000000-0000-0000-0000-000000000000}"/>
  <bookViews>
    <workbookView xWindow="1640" yWindow="740" windowWidth="48240" windowHeight="16940" activeTab="1" xr2:uid="{A3B08A1F-1CC9-5042-8389-99D1D3DAFAFB}"/>
  </bookViews>
  <sheets>
    <sheet name="cmg baseline model" sheetId="3" r:id="rId1"/>
    <sheet name="main" sheetId="1" r:id="rId2"/>
    <sheet name="Model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2" l="1"/>
  <c r="AE7" i="2" s="1"/>
  <c r="AF7" i="2" s="1"/>
  <c r="AG7" i="2" s="1"/>
  <c r="AH7" i="2" s="1"/>
  <c r="AI7" i="2" s="1"/>
  <c r="AJ7" i="2" s="1"/>
  <c r="AC7" i="2"/>
  <c r="AB7" i="2"/>
  <c r="AA7" i="2"/>
  <c r="AA8" i="2" s="1"/>
  <c r="AA30" i="2" s="1"/>
  <c r="AN32" i="2"/>
  <c r="AN30" i="2"/>
  <c r="AN28" i="2"/>
  <c r="IB2" i="2"/>
  <c r="HY2" i="2"/>
  <c r="HZ2" i="2" s="1"/>
  <c r="IA2" i="2" s="1"/>
  <c r="HV2" i="2"/>
  <c r="HW2" i="2" s="1"/>
  <c r="HX2" i="2" s="1"/>
  <c r="HP2" i="2"/>
  <c r="HQ2" i="2" s="1"/>
  <c r="HR2" i="2" s="1"/>
  <c r="HS2" i="2" s="1"/>
  <c r="HT2" i="2" s="1"/>
  <c r="HU2" i="2" s="1"/>
  <c r="HO2" i="2"/>
  <c r="HN2" i="2"/>
  <c r="HA2" i="2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GZ2" i="2"/>
  <c r="GE2" i="2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FQ2" i="2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EV2" i="2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DW2" i="2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DA2" i="2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CZ2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AK2" i="2"/>
  <c r="AB22" i="2"/>
  <c r="AC22" i="2" s="1"/>
  <c r="AD22" i="2" s="1"/>
  <c r="AE22" i="2" s="1"/>
  <c r="AF22" i="2" s="1"/>
  <c r="AG22" i="2" s="1"/>
  <c r="AH22" i="2" s="1"/>
  <c r="AI22" i="2" s="1"/>
  <c r="AJ22" i="2" s="1"/>
  <c r="AA22" i="2"/>
  <c r="AA12" i="2"/>
  <c r="AA34" i="2" s="1"/>
  <c r="AA11" i="2"/>
  <c r="AA33" i="2" s="1"/>
  <c r="AA10" i="2"/>
  <c r="AA32" i="2" s="1"/>
  <c r="AA9" i="2"/>
  <c r="AA31" i="2" s="1"/>
  <c r="Z36" i="2"/>
  <c r="Y36" i="2"/>
  <c r="X36" i="2"/>
  <c r="Z35" i="2"/>
  <c r="Y35" i="2"/>
  <c r="X35" i="2"/>
  <c r="Z34" i="2"/>
  <c r="Y34" i="2"/>
  <c r="X34" i="2"/>
  <c r="Z33" i="2"/>
  <c r="Y33" i="2"/>
  <c r="X33" i="2"/>
  <c r="Z32" i="2"/>
  <c r="Y32" i="2"/>
  <c r="X32" i="2"/>
  <c r="Z31" i="2"/>
  <c r="Y31" i="2"/>
  <c r="X31" i="2"/>
  <c r="Z30" i="2"/>
  <c r="Y30" i="2"/>
  <c r="X30" i="2"/>
  <c r="W36" i="2"/>
  <c r="W35" i="2"/>
  <c r="W34" i="2"/>
  <c r="W33" i="2"/>
  <c r="W32" i="2"/>
  <c r="W31" i="2"/>
  <c r="W30" i="2"/>
  <c r="O36" i="2"/>
  <c r="N36" i="2"/>
  <c r="M36" i="2"/>
  <c r="L36" i="2"/>
  <c r="K36" i="2"/>
  <c r="J36" i="2"/>
  <c r="I36" i="2"/>
  <c r="H36" i="2"/>
  <c r="G36" i="2"/>
  <c r="F36" i="2"/>
  <c r="E36" i="2"/>
  <c r="D36" i="2"/>
  <c r="O35" i="2"/>
  <c r="N35" i="2"/>
  <c r="M35" i="2"/>
  <c r="L35" i="2"/>
  <c r="K35" i="2"/>
  <c r="J35" i="2"/>
  <c r="I35" i="2"/>
  <c r="H35" i="2"/>
  <c r="G35" i="2"/>
  <c r="F35" i="2"/>
  <c r="E35" i="2"/>
  <c r="D35" i="2"/>
  <c r="O34" i="2"/>
  <c r="N34" i="2"/>
  <c r="M34" i="2"/>
  <c r="L34" i="2"/>
  <c r="K34" i="2"/>
  <c r="J34" i="2"/>
  <c r="I34" i="2"/>
  <c r="H34" i="2"/>
  <c r="G34" i="2"/>
  <c r="F34" i="2"/>
  <c r="E34" i="2"/>
  <c r="D34" i="2"/>
  <c r="O33" i="2"/>
  <c r="N33" i="2"/>
  <c r="M33" i="2"/>
  <c r="L33" i="2"/>
  <c r="K33" i="2"/>
  <c r="J33" i="2"/>
  <c r="I33" i="2"/>
  <c r="H33" i="2"/>
  <c r="G33" i="2"/>
  <c r="F33" i="2"/>
  <c r="E33" i="2"/>
  <c r="D33" i="2"/>
  <c r="O32" i="2"/>
  <c r="N32" i="2"/>
  <c r="M32" i="2"/>
  <c r="L32" i="2"/>
  <c r="K32" i="2"/>
  <c r="J32" i="2"/>
  <c r="I32" i="2"/>
  <c r="H32" i="2"/>
  <c r="G32" i="2"/>
  <c r="F32" i="2"/>
  <c r="E32" i="2"/>
  <c r="D32" i="2"/>
  <c r="O31" i="2"/>
  <c r="N31" i="2"/>
  <c r="M31" i="2"/>
  <c r="L31" i="2"/>
  <c r="K31" i="2"/>
  <c r="J31" i="2"/>
  <c r="I31" i="2"/>
  <c r="H31" i="2"/>
  <c r="G31" i="2"/>
  <c r="F31" i="2"/>
  <c r="E31" i="2"/>
  <c r="D31" i="2"/>
  <c r="O30" i="2"/>
  <c r="N30" i="2"/>
  <c r="M30" i="2"/>
  <c r="L30" i="2"/>
  <c r="K30" i="2"/>
  <c r="J30" i="2"/>
  <c r="I30" i="2"/>
  <c r="H30" i="2"/>
  <c r="G30" i="2"/>
  <c r="F30" i="2"/>
  <c r="E30" i="2"/>
  <c r="D30" i="2"/>
  <c r="C36" i="2"/>
  <c r="C35" i="2"/>
  <c r="C34" i="2"/>
  <c r="C33" i="2"/>
  <c r="C32" i="2"/>
  <c r="C31" i="2"/>
  <c r="C30" i="2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BE63" i="3"/>
  <c r="BE62" i="3"/>
  <c r="BE61" i="3"/>
  <c r="BE60" i="3"/>
  <c r="BE59" i="3"/>
  <c r="BE58" i="3"/>
  <c r="BE57" i="3"/>
  <c r="BS36" i="3"/>
  <c r="BS38" i="3"/>
  <c r="BS40" i="3"/>
  <c r="X44" i="3" s="1"/>
  <c r="BS44" i="3"/>
  <c r="D7" i="3"/>
  <c r="D9" i="3" s="1"/>
  <c r="E7" i="3"/>
  <c r="G7" i="3"/>
  <c r="K7" i="3"/>
  <c r="L7" i="3"/>
  <c r="M8" i="3" s="1"/>
  <c r="N7" i="3"/>
  <c r="D8" i="3"/>
  <c r="K8" i="3"/>
  <c r="L8" i="3"/>
  <c r="Z8" i="3"/>
  <c r="AN8" i="3"/>
  <c r="AO8" i="3"/>
  <c r="AP8" i="3"/>
  <c r="AQ8" i="3"/>
  <c r="C9" i="3"/>
  <c r="F9" i="3"/>
  <c r="G9" i="3"/>
  <c r="K9" i="3"/>
  <c r="L9" i="3"/>
  <c r="M9" i="3"/>
  <c r="AN9" i="3"/>
  <c r="AO9" i="3"/>
  <c r="AP9" i="3"/>
  <c r="AQ9" i="3"/>
  <c r="R12" i="3"/>
  <c r="Z12" i="3"/>
  <c r="Z32" i="3" s="1"/>
  <c r="AD12" i="3"/>
  <c r="R13" i="3"/>
  <c r="V33" i="3" s="1"/>
  <c r="Z13" i="3"/>
  <c r="Z33" i="3" s="1"/>
  <c r="AD13" i="3"/>
  <c r="F14" i="3"/>
  <c r="M14" i="3"/>
  <c r="M23" i="3" s="1"/>
  <c r="M25" i="3" s="1"/>
  <c r="M27" i="3" s="1"/>
  <c r="O14" i="3"/>
  <c r="Q14" i="3"/>
  <c r="S14" i="3"/>
  <c r="T14" i="3"/>
  <c r="U14" i="3"/>
  <c r="V14" i="3"/>
  <c r="V23" i="3" s="1"/>
  <c r="W14" i="3"/>
  <c r="W34" i="3" s="1"/>
  <c r="X14" i="3"/>
  <c r="AB34" i="3" s="1"/>
  <c r="Y14" i="3"/>
  <c r="Y34" i="3" s="1"/>
  <c r="AA14" i="3"/>
  <c r="AB14" i="3"/>
  <c r="AC14" i="3"/>
  <c r="AE14" i="3"/>
  <c r="AE23" i="3" s="1"/>
  <c r="AE40" i="3" s="1"/>
  <c r="F15" i="3"/>
  <c r="J15" i="3"/>
  <c r="J35" i="3" s="1"/>
  <c r="N15" i="3"/>
  <c r="R35" i="3" s="1"/>
  <c r="R15" i="3"/>
  <c r="Z15" i="3"/>
  <c r="AD15" i="3"/>
  <c r="F16" i="3"/>
  <c r="J16" i="3"/>
  <c r="J36" i="3" s="1"/>
  <c r="N16" i="3"/>
  <c r="N36" i="3" s="1"/>
  <c r="R16" i="3"/>
  <c r="R36" i="3" s="1"/>
  <c r="Z16" i="3"/>
  <c r="Z36" i="3" s="1"/>
  <c r="AD16" i="3"/>
  <c r="F17" i="3"/>
  <c r="J17" i="3"/>
  <c r="N17" i="3"/>
  <c r="R17" i="3"/>
  <c r="V37" i="3" s="1"/>
  <c r="Z17" i="3"/>
  <c r="AD17" i="3"/>
  <c r="AD37" i="3" s="1"/>
  <c r="F18" i="3"/>
  <c r="J38" i="3" s="1"/>
  <c r="J18" i="3"/>
  <c r="N18" i="3"/>
  <c r="R18" i="3"/>
  <c r="Z18" i="3"/>
  <c r="AD18" i="3"/>
  <c r="AD38" i="3" s="1"/>
  <c r="F19" i="3"/>
  <c r="J19" i="3"/>
  <c r="J39" i="3" s="1"/>
  <c r="N19" i="3"/>
  <c r="N39" i="3" s="1"/>
  <c r="R19" i="3"/>
  <c r="Z19" i="3"/>
  <c r="AD19" i="3"/>
  <c r="F20" i="3"/>
  <c r="J20" i="3"/>
  <c r="N20" i="3"/>
  <c r="R20" i="3"/>
  <c r="Z20" i="3"/>
  <c r="AD20" i="3"/>
  <c r="F21" i="3"/>
  <c r="J21" i="3"/>
  <c r="N21" i="3"/>
  <c r="R21" i="3"/>
  <c r="Z21" i="3"/>
  <c r="AD21" i="3"/>
  <c r="C23" i="3"/>
  <c r="C25" i="3" s="1"/>
  <c r="C27" i="3" s="1"/>
  <c r="D23" i="3"/>
  <c r="E23" i="3"/>
  <c r="G23" i="3"/>
  <c r="H23" i="3"/>
  <c r="H40" i="3" s="1"/>
  <c r="I23" i="3"/>
  <c r="K23" i="3"/>
  <c r="K25" i="3" s="1"/>
  <c r="L23" i="3"/>
  <c r="P23" i="3"/>
  <c r="P40" i="3" s="1"/>
  <c r="S23" i="3"/>
  <c r="S25" i="3" s="1"/>
  <c r="T23" i="3"/>
  <c r="U23" i="3"/>
  <c r="X23" i="3"/>
  <c r="X40" i="3" s="1"/>
  <c r="Y23" i="3"/>
  <c r="AA23" i="3"/>
  <c r="AA25" i="3" s="1"/>
  <c r="AB23" i="3"/>
  <c r="AC23" i="3"/>
  <c r="F24" i="3"/>
  <c r="J24" i="3"/>
  <c r="N24" i="3"/>
  <c r="R24" i="3"/>
  <c r="Z24" i="3"/>
  <c r="AD24" i="3"/>
  <c r="D25" i="3"/>
  <c r="E25" i="3"/>
  <c r="G25" i="3"/>
  <c r="G27" i="3" s="1"/>
  <c r="H25" i="3"/>
  <c r="H27" i="3" s="1"/>
  <c r="L25" i="3"/>
  <c r="T25" i="3"/>
  <c r="U25" i="3"/>
  <c r="V25" i="3"/>
  <c r="V27" i="3" s="1"/>
  <c r="AB25" i="3"/>
  <c r="AC25" i="3"/>
  <c r="AE25" i="3"/>
  <c r="AE27" i="3" s="1"/>
  <c r="AE28" i="3" s="1"/>
  <c r="F26" i="3"/>
  <c r="J26" i="3"/>
  <c r="N26" i="3"/>
  <c r="R26" i="3"/>
  <c r="Z26" i="3"/>
  <c r="AD26" i="3"/>
  <c r="D27" i="3"/>
  <c r="D29" i="3" s="1"/>
  <c r="E27" i="3"/>
  <c r="E29" i="3" s="1"/>
  <c r="K27" i="3"/>
  <c r="K29" i="3" s="1"/>
  <c r="L27" i="3"/>
  <c r="L29" i="3" s="1"/>
  <c r="S27" i="3"/>
  <c r="S29" i="3" s="1"/>
  <c r="S45" i="3" s="1"/>
  <c r="T27" i="3"/>
  <c r="U27" i="3"/>
  <c r="AA27" i="3"/>
  <c r="AB27" i="3"/>
  <c r="AB28" i="3" s="1"/>
  <c r="AC27" i="3"/>
  <c r="F28" i="3"/>
  <c r="J28" i="3"/>
  <c r="N28" i="3"/>
  <c r="R28" i="3"/>
  <c r="U28" i="3"/>
  <c r="V28" i="3"/>
  <c r="AC28" i="3"/>
  <c r="G29" i="3"/>
  <c r="H29" i="3"/>
  <c r="S32" i="3"/>
  <c r="T32" i="3"/>
  <c r="U32" i="3"/>
  <c r="V32" i="3"/>
  <c r="W32" i="3"/>
  <c r="X32" i="3"/>
  <c r="Y32" i="3"/>
  <c r="AA32" i="3"/>
  <c r="AB32" i="3"/>
  <c r="AC32" i="3"/>
  <c r="AD32" i="3"/>
  <c r="AE32" i="3"/>
  <c r="S33" i="3"/>
  <c r="T33" i="3"/>
  <c r="U33" i="3"/>
  <c r="W33" i="3"/>
  <c r="X33" i="3"/>
  <c r="Y33" i="3"/>
  <c r="AA33" i="3"/>
  <c r="AB33" i="3"/>
  <c r="AC33" i="3"/>
  <c r="AD33" i="3"/>
  <c r="AE33" i="3"/>
  <c r="G34" i="3"/>
  <c r="H34" i="3"/>
  <c r="I34" i="3"/>
  <c r="K34" i="3"/>
  <c r="L34" i="3"/>
  <c r="M34" i="3"/>
  <c r="P34" i="3"/>
  <c r="T34" i="3"/>
  <c r="U34" i="3"/>
  <c r="AE34" i="3"/>
  <c r="G35" i="3"/>
  <c r="H35" i="3"/>
  <c r="I35" i="3"/>
  <c r="K35" i="3"/>
  <c r="L35" i="3"/>
  <c r="M35" i="3"/>
  <c r="O35" i="3"/>
  <c r="P35" i="3"/>
  <c r="Q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G36" i="3"/>
  <c r="H36" i="3"/>
  <c r="I36" i="3"/>
  <c r="K36" i="3"/>
  <c r="L36" i="3"/>
  <c r="M36" i="3"/>
  <c r="O36" i="3"/>
  <c r="P36" i="3"/>
  <c r="Q36" i="3"/>
  <c r="S36" i="3"/>
  <c r="T36" i="3"/>
  <c r="U36" i="3"/>
  <c r="W36" i="3"/>
  <c r="X36" i="3"/>
  <c r="Y36" i="3"/>
  <c r="AA36" i="3"/>
  <c r="AB36" i="3"/>
  <c r="AC36" i="3"/>
  <c r="AE36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W37" i="3"/>
  <c r="X37" i="3"/>
  <c r="Y37" i="3"/>
  <c r="Z37" i="3"/>
  <c r="AA37" i="3"/>
  <c r="AB37" i="3"/>
  <c r="AC37" i="3"/>
  <c r="AE37" i="3"/>
  <c r="G38" i="3"/>
  <c r="H38" i="3"/>
  <c r="I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E38" i="3"/>
  <c r="G39" i="3"/>
  <c r="H39" i="3"/>
  <c r="I39" i="3"/>
  <c r="K39" i="3"/>
  <c r="L39" i="3"/>
  <c r="M39" i="3"/>
  <c r="O39" i="3"/>
  <c r="P39" i="3"/>
  <c r="Q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D40" i="3"/>
  <c r="E40" i="3"/>
  <c r="G40" i="3"/>
  <c r="K40" i="3"/>
  <c r="L40" i="3"/>
  <c r="S40" i="3"/>
  <c r="T40" i="3"/>
  <c r="U40" i="3"/>
  <c r="V40" i="3"/>
  <c r="AA40" i="3"/>
  <c r="AB40" i="3"/>
  <c r="AC40" i="3"/>
  <c r="T45" i="3"/>
  <c r="U45" i="3"/>
  <c r="V45" i="3"/>
  <c r="W45" i="3"/>
  <c r="X45" i="3"/>
  <c r="W46" i="3"/>
  <c r="X46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BE14" i="3"/>
  <c r="AD14" i="3" s="1"/>
  <c r="BD14" i="3"/>
  <c r="Z14" i="3" s="1"/>
  <c r="Z34" i="3" s="1"/>
  <c r="BE50" i="3"/>
  <c r="BF24" i="3" s="1"/>
  <c r="AY34" i="3"/>
  <c r="AX34" i="3"/>
  <c r="AW34" i="3"/>
  <c r="AV34" i="3"/>
  <c r="AU34" i="3"/>
  <c r="BF29" i="3"/>
  <c r="BG29" i="3" s="1"/>
  <c r="BH29" i="3" s="1"/>
  <c r="BI29" i="3" s="1"/>
  <c r="BJ29" i="3" s="1"/>
  <c r="BK29" i="3" s="1"/>
  <c r="BL29" i="3" s="1"/>
  <c r="BM29" i="3" s="1"/>
  <c r="BN29" i="3" s="1"/>
  <c r="BO29" i="3" s="1"/>
  <c r="BC26" i="3"/>
  <c r="BE23" i="3"/>
  <c r="AD23" i="3" s="1"/>
  <c r="AD40" i="3" s="1"/>
  <c r="AY23" i="3"/>
  <c r="AX23" i="3"/>
  <c r="AX40" i="3" s="1"/>
  <c r="AW23" i="3"/>
  <c r="AV23" i="3"/>
  <c r="AU23" i="3"/>
  <c r="AU40" i="3" s="1"/>
  <c r="AT23" i="3"/>
  <c r="AT40" i="3" s="1"/>
  <c r="AS23" i="3"/>
  <c r="AS40" i="3" s="1"/>
  <c r="BC21" i="3"/>
  <c r="BC19" i="3"/>
  <c r="BC18" i="3"/>
  <c r="BC17" i="3"/>
  <c r="BC16" i="3"/>
  <c r="BC15" i="3"/>
  <c r="BB14" i="3"/>
  <c r="R14" i="3" s="1"/>
  <c r="BA14" i="3"/>
  <c r="BA34" i="3" s="1"/>
  <c r="AZ14" i="3"/>
  <c r="AY9" i="3"/>
  <c r="AX9" i="3"/>
  <c r="AW9" i="3"/>
  <c r="AV9" i="3"/>
  <c r="AU9" i="3"/>
  <c r="AT9" i="3"/>
  <c r="AS9" i="3"/>
  <c r="AR9" i="3"/>
  <c r="AZ8" i="3"/>
  <c r="AY8" i="3"/>
  <c r="AX8" i="3"/>
  <c r="AW8" i="3"/>
  <c r="AV8" i="3"/>
  <c r="AU8" i="3"/>
  <c r="AT8" i="3"/>
  <c r="AS8" i="3"/>
  <c r="AR8" i="3"/>
  <c r="BE7" i="3"/>
  <c r="BD7" i="3"/>
  <c r="BA7" i="3"/>
  <c r="BH5" i="3"/>
  <c r="BD3" i="3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GB3" i="3" s="1"/>
  <c r="GC3" i="3" s="1"/>
  <c r="GD3" i="3" s="1"/>
  <c r="GE3" i="3" s="1"/>
  <c r="GF3" i="3" s="1"/>
  <c r="GG3" i="3" s="1"/>
  <c r="GH3" i="3" s="1"/>
  <c r="GI3" i="3" s="1"/>
  <c r="GJ3" i="3" s="1"/>
  <c r="GK3" i="3" s="1"/>
  <c r="GL3" i="3" s="1"/>
  <c r="GM3" i="3" s="1"/>
  <c r="GN3" i="3" s="1"/>
  <c r="GO3" i="3" s="1"/>
  <c r="GP3" i="3" s="1"/>
  <c r="GQ3" i="3" s="1"/>
  <c r="GR3" i="3" s="1"/>
  <c r="GS3" i="3" s="1"/>
  <c r="GT3" i="3" s="1"/>
  <c r="GU3" i="3" s="1"/>
  <c r="GV3" i="3" s="1"/>
  <c r="GW3" i="3" s="1"/>
  <c r="GX3" i="3" s="1"/>
  <c r="GY3" i="3" s="1"/>
  <c r="GZ3" i="3" s="1"/>
  <c r="HA3" i="3" s="1"/>
  <c r="HB3" i="3" s="1"/>
  <c r="HC3" i="3" s="1"/>
  <c r="HD3" i="3" s="1"/>
  <c r="HE3" i="3" s="1"/>
  <c r="HF3" i="3" s="1"/>
  <c r="HG3" i="3" s="1"/>
  <c r="HH3" i="3" s="1"/>
  <c r="HI3" i="3" s="1"/>
  <c r="HJ3" i="3" s="1"/>
  <c r="HK3" i="3" s="1"/>
  <c r="HL3" i="3" s="1"/>
  <c r="HM3" i="3" s="1"/>
  <c r="HN3" i="3" s="1"/>
  <c r="HO3" i="3" s="1"/>
  <c r="HP3" i="3" s="1"/>
  <c r="HQ3" i="3" s="1"/>
  <c r="HR3" i="3" s="1"/>
  <c r="HS3" i="3" s="1"/>
  <c r="HT3" i="3" s="1"/>
  <c r="HU3" i="3" s="1"/>
  <c r="HV3" i="3" s="1"/>
  <c r="HW3" i="3" s="1"/>
  <c r="HX3" i="3" s="1"/>
  <c r="HY3" i="3" s="1"/>
  <c r="HZ3" i="3" s="1"/>
  <c r="IA3" i="3" s="1"/>
  <c r="IB3" i="3" s="1"/>
  <c r="IC3" i="3" s="1"/>
  <c r="ID3" i="3" s="1"/>
  <c r="IE3" i="3" s="1"/>
  <c r="IF3" i="3" s="1"/>
  <c r="IG3" i="3" s="1"/>
  <c r="IH3" i="3" s="1"/>
  <c r="II3" i="3" s="1"/>
  <c r="IJ3" i="3" s="1"/>
  <c r="IK3" i="3" s="1"/>
  <c r="IL3" i="3" s="1"/>
  <c r="IM3" i="3" s="1"/>
  <c r="IN3" i="3" s="1"/>
  <c r="IO3" i="3" s="1"/>
  <c r="IP3" i="3" s="1"/>
  <c r="IQ3" i="3" s="1"/>
  <c r="IR3" i="3" s="1"/>
  <c r="IS3" i="3" s="1"/>
  <c r="IT3" i="3" s="1"/>
  <c r="IU3" i="3" s="1"/>
  <c r="IV3" i="3" s="1"/>
  <c r="IW3" i="3" s="1"/>
  <c r="IX3" i="3" s="1"/>
  <c r="IY3" i="3" s="1"/>
  <c r="IZ3" i="3" s="1"/>
  <c r="JA3" i="3" s="1"/>
  <c r="JB3" i="3" s="1"/>
  <c r="JC3" i="3" s="1"/>
  <c r="JD3" i="3" s="1"/>
  <c r="JE3" i="3" s="1"/>
  <c r="JF3" i="3" s="1"/>
  <c r="JG3" i="3" s="1"/>
  <c r="AY3" i="3"/>
  <c r="AX3" i="3" s="1"/>
  <c r="AW3" i="3" s="1"/>
  <c r="AR3" i="3"/>
  <c r="AQ3" i="3" s="1"/>
  <c r="AP3" i="3" s="1"/>
  <c r="AO3" i="3" s="1"/>
  <c r="AN3" i="3" s="1"/>
  <c r="AM3" i="3" s="1"/>
  <c r="BF2" i="3"/>
  <c r="BC2" i="3"/>
  <c r="BD1" i="3"/>
  <c r="AA13" i="2" l="1"/>
  <c r="AA35" i="2" s="1"/>
  <c r="AA14" i="2"/>
  <c r="AA36" i="2" s="1"/>
  <c r="AA15" i="2"/>
  <c r="AA26" i="2"/>
  <c r="V46" i="3"/>
  <c r="U46" i="3"/>
  <c r="C29" i="3"/>
  <c r="M29" i="3"/>
  <c r="R34" i="3"/>
  <c r="V34" i="3"/>
  <c r="AD34" i="3"/>
  <c r="BA9" i="3"/>
  <c r="AZ34" i="3"/>
  <c r="J14" i="3"/>
  <c r="BD23" i="3"/>
  <c r="M40" i="3"/>
  <c r="AD36" i="3"/>
  <c r="AA28" i="3"/>
  <c r="X25" i="3"/>
  <c r="X27" i="3" s="1"/>
  <c r="Y25" i="3"/>
  <c r="Y27" i="3" s="1"/>
  <c r="Y40" i="3"/>
  <c r="Q34" i="3"/>
  <c r="S34" i="3"/>
  <c r="O23" i="3"/>
  <c r="N8" i="3"/>
  <c r="O7" i="3"/>
  <c r="BE25" i="3"/>
  <c r="AD25" i="3" s="1"/>
  <c r="AA34" i="3"/>
  <c r="W23" i="3"/>
  <c r="N14" i="3"/>
  <c r="I25" i="3"/>
  <c r="I27" i="3" s="1"/>
  <c r="I40" i="3"/>
  <c r="R39" i="3"/>
  <c r="N35" i="3"/>
  <c r="O34" i="3"/>
  <c r="S46" i="3"/>
  <c r="P25" i="3"/>
  <c r="P27" i="3" s="1"/>
  <c r="H7" i="3"/>
  <c r="G8" i="3"/>
  <c r="T46" i="3"/>
  <c r="AC34" i="3"/>
  <c r="E8" i="3"/>
  <c r="F8" i="3"/>
  <c r="AZ9" i="3"/>
  <c r="AY25" i="3"/>
  <c r="F23" i="3"/>
  <c r="F40" i="3" s="1"/>
  <c r="C40" i="3"/>
  <c r="V36" i="3"/>
  <c r="X34" i="3"/>
  <c r="Q23" i="3"/>
  <c r="E9" i="3"/>
  <c r="AZ23" i="3"/>
  <c r="J23" i="3" s="1"/>
  <c r="J40" i="3" s="1"/>
  <c r="BA23" i="3"/>
  <c r="N23" i="3" s="1"/>
  <c r="N40" i="3" s="1"/>
  <c r="AY40" i="3"/>
  <c r="BF7" i="3"/>
  <c r="BF8" i="3" s="1"/>
  <c r="AT25" i="3"/>
  <c r="AT27" i="3" s="1"/>
  <c r="AT29" i="3" s="1"/>
  <c r="BA8" i="3"/>
  <c r="BE8" i="3"/>
  <c r="AU25" i="3"/>
  <c r="AU27" i="3" s="1"/>
  <c r="AU29" i="3" s="1"/>
  <c r="AW40" i="3"/>
  <c r="AW25" i="3"/>
  <c r="AW27" i="3" s="1"/>
  <c r="AW29" i="3" s="1"/>
  <c r="BE40" i="3"/>
  <c r="BB34" i="3"/>
  <c r="BB23" i="3"/>
  <c r="R23" i="3" s="1"/>
  <c r="R40" i="3" s="1"/>
  <c r="AV40" i="3"/>
  <c r="AV25" i="3"/>
  <c r="AV27" i="3" s="1"/>
  <c r="AV29" i="3" s="1"/>
  <c r="BD9" i="3"/>
  <c r="BE34" i="3"/>
  <c r="BE9" i="3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C23" i="3"/>
  <c r="BC14" i="3"/>
  <c r="AS25" i="3"/>
  <c r="AS27" i="3" s="1"/>
  <c r="AS29" i="3" s="1"/>
  <c r="AX25" i="3"/>
  <c r="AX27" i="3" s="1"/>
  <c r="AX29" i="3" s="1"/>
  <c r="AA16" i="2" l="1"/>
  <c r="AA17" i="2"/>
  <c r="AA18" i="2"/>
  <c r="AA19" i="2"/>
  <c r="AB8" i="2"/>
  <c r="AB30" i="2" s="1"/>
  <c r="AB26" i="2"/>
  <c r="AB11" i="2"/>
  <c r="AB33" i="2" s="1"/>
  <c r="AB9" i="2"/>
  <c r="AB31" i="2" s="1"/>
  <c r="AB14" i="2"/>
  <c r="AB36" i="2" s="1"/>
  <c r="AB13" i="2"/>
  <c r="AB35" i="2" s="1"/>
  <c r="AB10" i="2"/>
  <c r="AB32" i="2" s="1"/>
  <c r="AB12" i="2"/>
  <c r="AB34" i="2" s="1"/>
  <c r="BD40" i="3"/>
  <c r="Z23" i="3"/>
  <c r="Z40" i="3" s="1"/>
  <c r="J9" i="3"/>
  <c r="J34" i="3"/>
  <c r="P29" i="3"/>
  <c r="BE27" i="3"/>
  <c r="AD27" i="3" s="1"/>
  <c r="O8" i="3"/>
  <c r="P7" i="3"/>
  <c r="O9" i="3"/>
  <c r="X28" i="3"/>
  <c r="Q25" i="3"/>
  <c r="Q27" i="3" s="1"/>
  <c r="Q40" i="3"/>
  <c r="N9" i="3"/>
  <c r="N34" i="3"/>
  <c r="AZ40" i="3"/>
  <c r="Y28" i="3"/>
  <c r="W40" i="3"/>
  <c r="W25" i="3"/>
  <c r="W27" i="3" s="1"/>
  <c r="AZ25" i="3"/>
  <c r="J25" i="3" s="1"/>
  <c r="AY27" i="3"/>
  <c r="F25" i="3"/>
  <c r="BD25" i="3"/>
  <c r="BD27" i="3" s="1"/>
  <c r="Z27" i="3" s="1"/>
  <c r="I7" i="3"/>
  <c r="H8" i="3"/>
  <c r="H9" i="3"/>
  <c r="I29" i="3"/>
  <c r="O40" i="3"/>
  <c r="O25" i="3"/>
  <c r="O27" i="3" s="1"/>
  <c r="BA25" i="3"/>
  <c r="BA40" i="3"/>
  <c r="BG2" i="3"/>
  <c r="BG7" i="3"/>
  <c r="BH7" i="3" s="1"/>
  <c r="BC34" i="3"/>
  <c r="BC40" i="3"/>
  <c r="BC24" i="3"/>
  <c r="BC25" i="3" s="1"/>
  <c r="BD34" i="3"/>
  <c r="BF14" i="3"/>
  <c r="BG14" i="3"/>
  <c r="BG8" i="3"/>
  <c r="BC27" i="3"/>
  <c r="BE28" i="3"/>
  <c r="AD28" i="3" s="1"/>
  <c r="BB40" i="3"/>
  <c r="BB25" i="3"/>
  <c r="AZ27" i="3"/>
  <c r="J27" i="3" s="1"/>
  <c r="AB15" i="2" l="1"/>
  <c r="AB18" i="2" s="1"/>
  <c r="AB16" i="2"/>
  <c r="AC26" i="2"/>
  <c r="AC9" i="2"/>
  <c r="AC8" i="2"/>
  <c r="AC15" i="2" s="1"/>
  <c r="AC11" i="2"/>
  <c r="AC10" i="2"/>
  <c r="AC14" i="2"/>
  <c r="AC12" i="2"/>
  <c r="AC13" i="2"/>
  <c r="AA20" i="2"/>
  <c r="AA21" i="2"/>
  <c r="J29" i="3"/>
  <c r="AD29" i="3"/>
  <c r="I9" i="3"/>
  <c r="J8" i="3"/>
  <c r="I8" i="3"/>
  <c r="Z25" i="3"/>
  <c r="O29" i="3"/>
  <c r="BA27" i="3"/>
  <c r="N27" i="3" s="1"/>
  <c r="N25" i="3"/>
  <c r="P8" i="3"/>
  <c r="P9" i="3"/>
  <c r="Q7" i="3"/>
  <c r="Q29" i="3"/>
  <c r="R25" i="3"/>
  <c r="W28" i="3"/>
  <c r="AY29" i="3"/>
  <c r="F27" i="3"/>
  <c r="BA29" i="3"/>
  <c r="BF17" i="3"/>
  <c r="BG17" i="3" s="1"/>
  <c r="BF16" i="3"/>
  <c r="BF20" i="3"/>
  <c r="BG20" i="3" s="1"/>
  <c r="BF19" i="3"/>
  <c r="BG19" i="3" s="1"/>
  <c r="BF15" i="3"/>
  <c r="BG15" i="3" s="1"/>
  <c r="BF34" i="3"/>
  <c r="BF21" i="3"/>
  <c r="BG21" i="3" s="1"/>
  <c r="BF18" i="3"/>
  <c r="BG18" i="3" s="1"/>
  <c r="AZ29" i="3"/>
  <c r="BD28" i="3"/>
  <c r="BC28" i="3"/>
  <c r="BH14" i="3"/>
  <c r="BH8" i="3"/>
  <c r="BI7" i="3"/>
  <c r="BB27" i="3"/>
  <c r="R27" i="3" s="1"/>
  <c r="BG34" i="3"/>
  <c r="AB17" i="2" l="1"/>
  <c r="AB19" i="2"/>
  <c r="AB20" i="2" s="1"/>
  <c r="AB21" i="2" s="1"/>
  <c r="AB23" i="2" s="1"/>
  <c r="AC17" i="2"/>
  <c r="AC16" i="2"/>
  <c r="AA23" i="2"/>
  <c r="AD9" i="2"/>
  <c r="AC31" i="2"/>
  <c r="AD13" i="2"/>
  <c r="AC35" i="2"/>
  <c r="AD12" i="2"/>
  <c r="AC34" i="2"/>
  <c r="AD14" i="2"/>
  <c r="AC36" i="2"/>
  <c r="AD8" i="2"/>
  <c r="AC30" i="2"/>
  <c r="AD26" i="2"/>
  <c r="AD10" i="2"/>
  <c r="AC32" i="2"/>
  <c r="AD11" i="2"/>
  <c r="AC33" i="2"/>
  <c r="AC18" i="2"/>
  <c r="Z28" i="3"/>
  <c r="Z29" i="3" s="1"/>
  <c r="R29" i="3"/>
  <c r="F29" i="3"/>
  <c r="R7" i="3"/>
  <c r="Q8" i="3"/>
  <c r="Q9" i="3"/>
  <c r="N29" i="3"/>
  <c r="BF23" i="3"/>
  <c r="BF40" i="3" s="1"/>
  <c r="BG16" i="3"/>
  <c r="BG23" i="3" s="1"/>
  <c r="BI14" i="3"/>
  <c r="BI8" i="3"/>
  <c r="BJ7" i="3"/>
  <c r="BH15" i="3"/>
  <c r="BH17" i="3"/>
  <c r="BH34" i="3"/>
  <c r="BH20" i="3"/>
  <c r="BH18" i="3"/>
  <c r="BH21" i="3"/>
  <c r="BH19" i="3"/>
  <c r="BB29" i="3"/>
  <c r="BC29" i="3" s="1"/>
  <c r="AE26" i="2" l="1"/>
  <c r="AE8" i="2"/>
  <c r="AD30" i="2"/>
  <c r="AE14" i="2"/>
  <c r="AD36" i="2"/>
  <c r="AD18" i="2"/>
  <c r="AE11" i="2"/>
  <c r="AD33" i="2"/>
  <c r="AE9" i="2"/>
  <c r="AD31" i="2"/>
  <c r="AE13" i="2"/>
  <c r="AD35" i="2"/>
  <c r="AE10" i="2"/>
  <c r="AD32" i="2"/>
  <c r="AC19" i="2"/>
  <c r="AE12" i="2"/>
  <c r="AD34" i="2"/>
  <c r="AD15" i="2"/>
  <c r="AD17" i="2" s="1"/>
  <c r="S7" i="3"/>
  <c r="R8" i="3"/>
  <c r="R9" i="3"/>
  <c r="BB7" i="3"/>
  <c r="BF25" i="3"/>
  <c r="BF26" i="3" s="1"/>
  <c r="BF27" i="3" s="1"/>
  <c r="BG40" i="3"/>
  <c r="BH16" i="3"/>
  <c r="BH23" i="3" s="1"/>
  <c r="BJ8" i="3"/>
  <c r="BK7" i="3"/>
  <c r="BJ14" i="3"/>
  <c r="BI16" i="3"/>
  <c r="BI15" i="3"/>
  <c r="BI17" i="3"/>
  <c r="BI20" i="3"/>
  <c r="BI18" i="3"/>
  <c r="BI19" i="3"/>
  <c r="BI34" i="3"/>
  <c r="BI21" i="3"/>
  <c r="AF14" i="2" l="1"/>
  <c r="AE36" i="2"/>
  <c r="AF13" i="2"/>
  <c r="AE35" i="2"/>
  <c r="AF8" i="2"/>
  <c r="AE30" i="2"/>
  <c r="AF12" i="2"/>
  <c r="AF15" i="2" s="1"/>
  <c r="AE34" i="2"/>
  <c r="AF10" i="2"/>
  <c r="AE32" i="2"/>
  <c r="AD16" i="2"/>
  <c r="AD19" i="2"/>
  <c r="AF9" i="2"/>
  <c r="AE31" i="2"/>
  <c r="AE15" i="2"/>
  <c r="AE17" i="2" s="1"/>
  <c r="AC20" i="2"/>
  <c r="AC21" i="2" s="1"/>
  <c r="AF11" i="2"/>
  <c r="AE33" i="2"/>
  <c r="AF26" i="2"/>
  <c r="BS45" i="3"/>
  <c r="BB9" i="3"/>
  <c r="BB8" i="3"/>
  <c r="BI23" i="3"/>
  <c r="T7" i="3"/>
  <c r="S9" i="3"/>
  <c r="W9" i="3" s="1"/>
  <c r="AA9" i="3" s="1"/>
  <c r="AE9" i="3" s="1"/>
  <c r="S8" i="3"/>
  <c r="BI40" i="3"/>
  <c r="BH40" i="3"/>
  <c r="BJ34" i="3"/>
  <c r="BJ21" i="3"/>
  <c r="BJ15" i="3"/>
  <c r="BJ17" i="3"/>
  <c r="BJ20" i="3"/>
  <c r="BJ18" i="3"/>
  <c r="BJ16" i="3"/>
  <c r="BJ19" i="3"/>
  <c r="BF28" i="3"/>
  <c r="BF50" i="3"/>
  <c r="BK8" i="3"/>
  <c r="BK14" i="3"/>
  <c r="BL7" i="3"/>
  <c r="AD20" i="2" l="1"/>
  <c r="AD21" i="2"/>
  <c r="AD23" i="2" s="1"/>
  <c r="AG8" i="2"/>
  <c r="AF30" i="2"/>
  <c r="AF17" i="2"/>
  <c r="AG10" i="2"/>
  <c r="AF32" i="2"/>
  <c r="AG12" i="2"/>
  <c r="AF34" i="2"/>
  <c r="AG9" i="2"/>
  <c r="AF31" i="2"/>
  <c r="AG26" i="2"/>
  <c r="AG11" i="2"/>
  <c r="AF33" i="2"/>
  <c r="AG13" i="2"/>
  <c r="AF35" i="2"/>
  <c r="AC23" i="2"/>
  <c r="AG14" i="2"/>
  <c r="AF36" i="2"/>
  <c r="AE16" i="2"/>
  <c r="AF16" i="2" s="1"/>
  <c r="AE18" i="2"/>
  <c r="AF18" i="2" s="1"/>
  <c r="U7" i="3"/>
  <c r="T9" i="3"/>
  <c r="X9" i="3" s="1"/>
  <c r="AB9" i="3" s="1"/>
  <c r="T8" i="3"/>
  <c r="BJ23" i="3"/>
  <c r="BJ40" i="3" s="1"/>
  <c r="BL8" i="3"/>
  <c r="BM7" i="3"/>
  <c r="BL14" i="3"/>
  <c r="BK21" i="3"/>
  <c r="BK34" i="3"/>
  <c r="BK20" i="3"/>
  <c r="BK19" i="3"/>
  <c r="BK18" i="3"/>
  <c r="BK15" i="3"/>
  <c r="BK17" i="3"/>
  <c r="BK16" i="3"/>
  <c r="BG24" i="3"/>
  <c r="BG25" i="3" s="1"/>
  <c r="AG15" i="2" l="1"/>
  <c r="AF19" i="2"/>
  <c r="AG16" i="2"/>
  <c r="AG17" i="2"/>
  <c r="AH26" i="2"/>
  <c r="AH9" i="2"/>
  <c r="AG31" i="2"/>
  <c r="AG18" i="2"/>
  <c r="AH13" i="2"/>
  <c r="AG35" i="2"/>
  <c r="AH10" i="2"/>
  <c r="AG32" i="2"/>
  <c r="AH14" i="2"/>
  <c r="AG36" i="2"/>
  <c r="AH8" i="2"/>
  <c r="AG30" i="2"/>
  <c r="AE19" i="2"/>
  <c r="AH12" i="2"/>
  <c r="AG34" i="2"/>
  <c r="AH11" i="2"/>
  <c r="AG33" i="2"/>
  <c r="BK23" i="3"/>
  <c r="U8" i="3"/>
  <c r="V7" i="3"/>
  <c r="U9" i="3"/>
  <c r="Y9" i="3" s="1"/>
  <c r="AC9" i="3" s="1"/>
  <c r="BK40" i="3"/>
  <c r="BL34" i="3"/>
  <c r="BL20" i="3"/>
  <c r="BL19" i="3"/>
  <c r="BL18" i="3"/>
  <c r="BL15" i="3"/>
  <c r="BL21" i="3"/>
  <c r="BL16" i="3"/>
  <c r="BL17" i="3"/>
  <c r="BL23" i="3" s="1"/>
  <c r="BN7" i="3"/>
  <c r="BM8" i="3"/>
  <c r="BM14" i="3"/>
  <c r="BG26" i="3"/>
  <c r="BG27" i="3" s="1"/>
  <c r="AG19" i="2" l="1"/>
  <c r="AI12" i="2"/>
  <c r="AH34" i="2"/>
  <c r="AI14" i="2"/>
  <c r="AH36" i="2"/>
  <c r="AI26" i="2"/>
  <c r="AH15" i="2"/>
  <c r="AH17" i="2" s="1"/>
  <c r="AI11" i="2"/>
  <c r="AH33" i="2"/>
  <c r="AI10" i="2"/>
  <c r="AH32" i="2"/>
  <c r="AE20" i="2"/>
  <c r="AF20" i="2" s="1"/>
  <c r="AF21" i="2" s="1"/>
  <c r="AF23" i="2" s="1"/>
  <c r="AI13" i="2"/>
  <c r="AH35" i="2"/>
  <c r="AI8" i="2"/>
  <c r="AH30" i="2"/>
  <c r="AI9" i="2"/>
  <c r="AH31" i="2"/>
  <c r="BS46" i="3"/>
  <c r="V8" i="3"/>
  <c r="W7" i="3"/>
  <c r="V9" i="3"/>
  <c r="Z9" i="3" s="1"/>
  <c r="AD9" i="3" s="1"/>
  <c r="BC7" i="3"/>
  <c r="BL40" i="3"/>
  <c r="BG28" i="3"/>
  <c r="BG50" i="3"/>
  <c r="BM34" i="3"/>
  <c r="BM18" i="3"/>
  <c r="BM17" i="3"/>
  <c r="BM21" i="3"/>
  <c r="BM20" i="3"/>
  <c r="BM16" i="3"/>
  <c r="BM19" i="3"/>
  <c r="BM15" i="3"/>
  <c r="BO7" i="3"/>
  <c r="BN14" i="3"/>
  <c r="BN8" i="3"/>
  <c r="AH18" i="2" l="1"/>
  <c r="AJ9" i="2"/>
  <c r="AJ31" i="2" s="1"/>
  <c r="AI31" i="2"/>
  <c r="AJ8" i="2"/>
  <c r="AJ30" i="2" s="1"/>
  <c r="AI30" i="2"/>
  <c r="AJ14" i="2"/>
  <c r="AJ36" i="2" s="1"/>
  <c r="AI36" i="2"/>
  <c r="AJ26" i="2"/>
  <c r="AJ10" i="2"/>
  <c r="AJ32" i="2" s="1"/>
  <c r="AI32" i="2"/>
  <c r="AJ11" i="2"/>
  <c r="AJ33" i="2" s="1"/>
  <c r="AI33" i="2"/>
  <c r="AJ12" i="2"/>
  <c r="AJ34" i="2" s="1"/>
  <c r="AI34" i="2"/>
  <c r="AJ13" i="2"/>
  <c r="AJ35" i="2" s="1"/>
  <c r="AI35" i="2"/>
  <c r="AH16" i="2"/>
  <c r="AH19" i="2" s="1"/>
  <c r="AE21" i="2"/>
  <c r="AI15" i="2"/>
  <c r="AI18" i="2" s="1"/>
  <c r="AG20" i="2"/>
  <c r="AG21" i="2" s="1"/>
  <c r="AG23" i="2" s="1"/>
  <c r="BC8" i="3"/>
  <c r="BC9" i="3"/>
  <c r="BD8" i="3"/>
  <c r="W8" i="3"/>
  <c r="X7" i="3"/>
  <c r="BM23" i="3"/>
  <c r="BM40" i="3" s="1"/>
  <c r="BH24" i="3"/>
  <c r="BH25" i="3" s="1"/>
  <c r="BN34" i="3"/>
  <c r="BN17" i="3"/>
  <c r="BN16" i="3"/>
  <c r="BN20" i="3"/>
  <c r="BN19" i="3"/>
  <c r="BN18" i="3"/>
  <c r="BN21" i="3"/>
  <c r="BN15" i="3"/>
  <c r="BO14" i="3"/>
  <c r="BO8" i="3"/>
  <c r="AE23" i="2" l="1"/>
  <c r="AI16" i="2"/>
  <c r="AH20" i="2"/>
  <c r="AH21" i="2"/>
  <c r="AH23" i="2" s="1"/>
  <c r="AJ15" i="2"/>
  <c r="AJ16" i="2" s="1"/>
  <c r="AI17" i="2"/>
  <c r="AI19" i="2" s="1"/>
  <c r="BN23" i="3"/>
  <c r="X8" i="3"/>
  <c r="Y8" i="3"/>
  <c r="BN40" i="3"/>
  <c r="BO16" i="3"/>
  <c r="BO15" i="3"/>
  <c r="BO23" i="3" s="1"/>
  <c r="BO18" i="3"/>
  <c r="BO21" i="3"/>
  <c r="BO19" i="3"/>
  <c r="BO34" i="3"/>
  <c r="BO20" i="3"/>
  <c r="BO17" i="3"/>
  <c r="BH26" i="3"/>
  <c r="BH27" i="3"/>
  <c r="AI20" i="2" l="1"/>
  <c r="AI21" i="2"/>
  <c r="AI23" i="2" s="1"/>
  <c r="AJ17" i="2"/>
  <c r="AJ18" i="2"/>
  <c r="BO40" i="3"/>
  <c r="BH28" i="3"/>
  <c r="BH50" i="3"/>
  <c r="AJ19" i="2" l="1"/>
  <c r="AJ20" i="2" s="1"/>
  <c r="AJ21" i="2" s="1"/>
  <c r="AJ23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I21" i="2" s="1"/>
  <c r="CJ21" i="2" s="1"/>
  <c r="CK21" i="2" s="1"/>
  <c r="CL21" i="2" s="1"/>
  <c r="CM21" i="2" s="1"/>
  <c r="CN21" i="2" s="1"/>
  <c r="CO21" i="2" s="1"/>
  <c r="CP21" i="2" s="1"/>
  <c r="CQ21" i="2" s="1"/>
  <c r="CR21" i="2" s="1"/>
  <c r="CS21" i="2" s="1"/>
  <c r="CT21" i="2" s="1"/>
  <c r="CU21" i="2" s="1"/>
  <c r="CV21" i="2" s="1"/>
  <c r="CW21" i="2" s="1"/>
  <c r="CX21" i="2" s="1"/>
  <c r="CY21" i="2" s="1"/>
  <c r="CZ21" i="2" s="1"/>
  <c r="DA21" i="2" s="1"/>
  <c r="DB21" i="2" s="1"/>
  <c r="DC21" i="2" s="1"/>
  <c r="DD21" i="2" s="1"/>
  <c r="DE21" i="2" s="1"/>
  <c r="DF21" i="2" s="1"/>
  <c r="DG21" i="2" s="1"/>
  <c r="DH21" i="2" s="1"/>
  <c r="DI21" i="2" s="1"/>
  <c r="DJ21" i="2" s="1"/>
  <c r="DK21" i="2" s="1"/>
  <c r="DL21" i="2" s="1"/>
  <c r="DM21" i="2" s="1"/>
  <c r="DN21" i="2" s="1"/>
  <c r="DO21" i="2" s="1"/>
  <c r="DP21" i="2" s="1"/>
  <c r="DQ21" i="2" s="1"/>
  <c r="DR21" i="2" s="1"/>
  <c r="DS21" i="2" s="1"/>
  <c r="DT21" i="2" s="1"/>
  <c r="DU21" i="2" s="1"/>
  <c r="DV21" i="2" s="1"/>
  <c r="DW21" i="2" s="1"/>
  <c r="DX21" i="2" s="1"/>
  <c r="DY21" i="2" s="1"/>
  <c r="DZ21" i="2" s="1"/>
  <c r="EA21" i="2" s="1"/>
  <c r="EB21" i="2" s="1"/>
  <c r="EC21" i="2" s="1"/>
  <c r="ED21" i="2" s="1"/>
  <c r="EE21" i="2" s="1"/>
  <c r="EF21" i="2" s="1"/>
  <c r="EG21" i="2" s="1"/>
  <c r="EH21" i="2" s="1"/>
  <c r="EI21" i="2" s="1"/>
  <c r="EJ21" i="2" s="1"/>
  <c r="EK21" i="2" s="1"/>
  <c r="EL21" i="2" s="1"/>
  <c r="EM21" i="2" s="1"/>
  <c r="EN21" i="2" s="1"/>
  <c r="EO21" i="2" s="1"/>
  <c r="EP21" i="2" s="1"/>
  <c r="EQ21" i="2" s="1"/>
  <c r="ER21" i="2" s="1"/>
  <c r="ES21" i="2" s="1"/>
  <c r="ET21" i="2" s="1"/>
  <c r="EU21" i="2" s="1"/>
  <c r="EV21" i="2" s="1"/>
  <c r="EW21" i="2" s="1"/>
  <c r="EX21" i="2" s="1"/>
  <c r="EY21" i="2" s="1"/>
  <c r="EZ21" i="2" s="1"/>
  <c r="FA21" i="2" s="1"/>
  <c r="FB21" i="2" s="1"/>
  <c r="FC21" i="2" s="1"/>
  <c r="FD21" i="2" s="1"/>
  <c r="FE21" i="2" s="1"/>
  <c r="FF21" i="2" s="1"/>
  <c r="FG21" i="2" s="1"/>
  <c r="FH21" i="2" s="1"/>
  <c r="FI21" i="2" s="1"/>
  <c r="FJ21" i="2" s="1"/>
  <c r="FK21" i="2" s="1"/>
  <c r="FL21" i="2" s="1"/>
  <c r="FM21" i="2" s="1"/>
  <c r="FN21" i="2" s="1"/>
  <c r="FO21" i="2" s="1"/>
  <c r="FP21" i="2" s="1"/>
  <c r="FQ21" i="2" s="1"/>
  <c r="FR21" i="2" s="1"/>
  <c r="FS21" i="2" s="1"/>
  <c r="FT21" i="2" s="1"/>
  <c r="FU21" i="2" s="1"/>
  <c r="FV21" i="2" s="1"/>
  <c r="FW21" i="2" s="1"/>
  <c r="FX21" i="2" s="1"/>
  <c r="FY21" i="2" s="1"/>
  <c r="FZ21" i="2" s="1"/>
  <c r="GA21" i="2" s="1"/>
  <c r="GB21" i="2" s="1"/>
  <c r="GC21" i="2" s="1"/>
  <c r="GD21" i="2" s="1"/>
  <c r="GE21" i="2" s="1"/>
  <c r="GF21" i="2" s="1"/>
  <c r="GG21" i="2" s="1"/>
  <c r="GH21" i="2" s="1"/>
  <c r="GI21" i="2" s="1"/>
  <c r="GJ21" i="2" s="1"/>
  <c r="GK21" i="2" s="1"/>
  <c r="GL21" i="2" s="1"/>
  <c r="GM21" i="2" s="1"/>
  <c r="GN21" i="2" s="1"/>
  <c r="GO21" i="2" s="1"/>
  <c r="GP21" i="2" s="1"/>
  <c r="GQ21" i="2" s="1"/>
  <c r="GR21" i="2" s="1"/>
  <c r="GS21" i="2" s="1"/>
  <c r="GT21" i="2" s="1"/>
  <c r="GU21" i="2" s="1"/>
  <c r="GV21" i="2" s="1"/>
  <c r="GW21" i="2" s="1"/>
  <c r="GX21" i="2" s="1"/>
  <c r="GY21" i="2" s="1"/>
  <c r="GZ21" i="2" s="1"/>
  <c r="HA21" i="2" s="1"/>
  <c r="HB21" i="2" s="1"/>
  <c r="HC21" i="2" s="1"/>
  <c r="HD21" i="2" s="1"/>
  <c r="HE21" i="2" s="1"/>
  <c r="HF21" i="2" s="1"/>
  <c r="HG21" i="2" s="1"/>
  <c r="HH21" i="2" s="1"/>
  <c r="HI21" i="2" s="1"/>
  <c r="HJ21" i="2" s="1"/>
  <c r="HK21" i="2" s="1"/>
  <c r="HL21" i="2" s="1"/>
  <c r="HM21" i="2" s="1"/>
  <c r="HN21" i="2" s="1"/>
  <c r="HO21" i="2" s="1"/>
  <c r="HP21" i="2" s="1"/>
  <c r="HQ21" i="2" s="1"/>
  <c r="HR21" i="2" s="1"/>
  <c r="HS21" i="2" s="1"/>
  <c r="HT21" i="2" s="1"/>
  <c r="HU21" i="2" s="1"/>
  <c r="HV21" i="2" s="1"/>
  <c r="HW21" i="2" s="1"/>
  <c r="HX21" i="2" s="1"/>
  <c r="HY21" i="2" s="1"/>
  <c r="HZ21" i="2" s="1"/>
  <c r="IA21" i="2" s="1"/>
  <c r="IB21" i="2" s="1"/>
  <c r="AN27" i="2" s="1"/>
  <c r="AN29" i="2" s="1"/>
  <c r="AN31" i="2" s="1"/>
  <c r="AN33" i="2" s="1"/>
  <c r="BI24" i="3"/>
  <c r="BI25" i="3" s="1"/>
  <c r="BI26" i="3" l="1"/>
  <c r="BI27" i="3"/>
  <c r="BI28" i="3" l="1"/>
  <c r="BI50" i="3"/>
  <c r="BJ24" i="3" l="1"/>
  <c r="BJ25" i="3" s="1"/>
  <c r="BJ26" i="3" l="1"/>
  <c r="BJ27" i="3" s="1"/>
  <c r="BJ28" i="3" l="1"/>
  <c r="BJ50" i="3"/>
  <c r="BK24" i="3" l="1"/>
  <c r="BK25" i="3" s="1"/>
  <c r="BK26" i="3" l="1"/>
  <c r="BK27" i="3" s="1"/>
  <c r="BK28" i="3" l="1"/>
  <c r="BK50" i="3"/>
  <c r="BL24" i="3" l="1"/>
  <c r="BL25" i="3" s="1"/>
  <c r="BL26" i="3" l="1"/>
  <c r="BL27" i="3" s="1"/>
  <c r="BL28" i="3" l="1"/>
  <c r="BL50" i="3"/>
  <c r="BM24" i="3" l="1"/>
  <c r="BM25" i="3" s="1"/>
  <c r="BM26" i="3" l="1"/>
  <c r="BM27" i="3" s="1"/>
  <c r="BM28" i="3" l="1"/>
  <c r="BM50" i="3"/>
  <c r="BN24" i="3" l="1"/>
  <c r="BN25" i="3" s="1"/>
  <c r="BN26" i="3" l="1"/>
  <c r="BN27" i="3"/>
  <c r="BN28" i="3" l="1"/>
  <c r="BN50" i="3"/>
  <c r="BO24" i="3" l="1"/>
  <c r="BO25" i="3" s="1"/>
  <c r="BO26" i="3" l="1"/>
  <c r="BO27" i="3" s="1"/>
  <c r="BO28" i="3" l="1"/>
  <c r="BP27" i="3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CK27" i="3" s="1"/>
  <c r="CL27" i="3" s="1"/>
  <c r="CM27" i="3" s="1"/>
  <c r="CN27" i="3" s="1"/>
  <c r="CO27" i="3" s="1"/>
  <c r="CP27" i="3" s="1"/>
  <c r="CQ27" i="3" s="1"/>
  <c r="CR27" i="3" s="1"/>
  <c r="CS27" i="3" s="1"/>
  <c r="CT27" i="3" s="1"/>
  <c r="CU27" i="3" s="1"/>
  <c r="CV27" i="3" s="1"/>
  <c r="CW27" i="3" s="1"/>
  <c r="CX27" i="3" s="1"/>
  <c r="CY27" i="3" s="1"/>
  <c r="CZ27" i="3" s="1"/>
  <c r="DA27" i="3" s="1"/>
  <c r="DB27" i="3" s="1"/>
  <c r="DC27" i="3" s="1"/>
  <c r="DD27" i="3" s="1"/>
  <c r="DE27" i="3" s="1"/>
  <c r="DF27" i="3" s="1"/>
  <c r="DG27" i="3" s="1"/>
  <c r="DH27" i="3" s="1"/>
  <c r="DI27" i="3" s="1"/>
  <c r="DJ27" i="3" s="1"/>
  <c r="DK27" i="3" s="1"/>
  <c r="DL27" i="3" s="1"/>
  <c r="DM27" i="3" s="1"/>
  <c r="DN27" i="3" s="1"/>
  <c r="DO27" i="3" s="1"/>
  <c r="DP27" i="3" s="1"/>
  <c r="DQ27" i="3" s="1"/>
  <c r="DR27" i="3" s="1"/>
  <c r="DS27" i="3" s="1"/>
  <c r="DT27" i="3" s="1"/>
  <c r="DU27" i="3" s="1"/>
  <c r="DV27" i="3" s="1"/>
  <c r="DW27" i="3" s="1"/>
  <c r="DX27" i="3" s="1"/>
  <c r="DY27" i="3" s="1"/>
  <c r="DZ27" i="3" s="1"/>
  <c r="EA27" i="3" s="1"/>
  <c r="EB27" i="3" s="1"/>
  <c r="EC27" i="3" s="1"/>
  <c r="ED27" i="3" s="1"/>
  <c r="EE27" i="3" s="1"/>
  <c r="EF27" i="3" s="1"/>
  <c r="EG27" i="3" s="1"/>
  <c r="EH27" i="3" s="1"/>
  <c r="EI27" i="3" s="1"/>
  <c r="EJ27" i="3" s="1"/>
  <c r="EK27" i="3" s="1"/>
  <c r="EL27" i="3" s="1"/>
  <c r="EM27" i="3" s="1"/>
  <c r="EN27" i="3" s="1"/>
  <c r="EO27" i="3" s="1"/>
  <c r="EP27" i="3" s="1"/>
  <c r="EQ27" i="3" s="1"/>
  <c r="ER27" i="3" s="1"/>
  <c r="ES27" i="3" s="1"/>
  <c r="ET27" i="3" s="1"/>
  <c r="EU27" i="3" s="1"/>
  <c r="EV27" i="3" s="1"/>
  <c r="EW27" i="3" s="1"/>
  <c r="EX27" i="3" s="1"/>
  <c r="EY27" i="3" s="1"/>
  <c r="EZ27" i="3" s="1"/>
  <c r="FA27" i="3" s="1"/>
  <c r="FB27" i="3" s="1"/>
  <c r="FC27" i="3" s="1"/>
  <c r="FD27" i="3" s="1"/>
  <c r="FE27" i="3" s="1"/>
  <c r="FF27" i="3" s="1"/>
  <c r="FG27" i="3" s="1"/>
  <c r="FH27" i="3" s="1"/>
  <c r="FI27" i="3" s="1"/>
  <c r="FJ27" i="3" s="1"/>
  <c r="FK27" i="3" s="1"/>
  <c r="FL27" i="3" s="1"/>
  <c r="FM27" i="3" s="1"/>
  <c r="FN27" i="3" s="1"/>
  <c r="FO27" i="3" s="1"/>
  <c r="FP27" i="3" s="1"/>
  <c r="FQ27" i="3" s="1"/>
  <c r="FR27" i="3" s="1"/>
  <c r="FS27" i="3" s="1"/>
  <c r="FT27" i="3" s="1"/>
  <c r="FU27" i="3" s="1"/>
  <c r="FV27" i="3" s="1"/>
  <c r="FW27" i="3" s="1"/>
  <c r="FX27" i="3" s="1"/>
  <c r="FY27" i="3" s="1"/>
  <c r="FZ27" i="3" s="1"/>
  <c r="GA27" i="3" s="1"/>
  <c r="GB27" i="3" s="1"/>
  <c r="GC27" i="3" s="1"/>
  <c r="GD27" i="3" s="1"/>
  <c r="GE27" i="3" s="1"/>
  <c r="GF27" i="3" s="1"/>
  <c r="GG27" i="3" s="1"/>
  <c r="GH27" i="3" s="1"/>
  <c r="GI27" i="3" s="1"/>
  <c r="GJ27" i="3" s="1"/>
  <c r="GK27" i="3" s="1"/>
  <c r="GL27" i="3" s="1"/>
  <c r="GM27" i="3" s="1"/>
  <c r="GN27" i="3" s="1"/>
  <c r="GO27" i="3" s="1"/>
  <c r="GP27" i="3" s="1"/>
  <c r="GQ27" i="3" s="1"/>
  <c r="GR27" i="3" s="1"/>
  <c r="GS27" i="3" s="1"/>
  <c r="GT27" i="3" s="1"/>
  <c r="GU27" i="3" s="1"/>
  <c r="GV27" i="3" s="1"/>
  <c r="GW27" i="3" s="1"/>
  <c r="GX27" i="3" s="1"/>
  <c r="GY27" i="3" s="1"/>
  <c r="GZ27" i="3" s="1"/>
  <c r="HA27" i="3" s="1"/>
  <c r="HB27" i="3" s="1"/>
  <c r="HC27" i="3" s="1"/>
  <c r="HD27" i="3" s="1"/>
  <c r="HE27" i="3" s="1"/>
  <c r="HF27" i="3" s="1"/>
  <c r="HG27" i="3" s="1"/>
  <c r="HH27" i="3" s="1"/>
  <c r="HI27" i="3" s="1"/>
  <c r="HJ27" i="3" s="1"/>
  <c r="HK27" i="3" s="1"/>
  <c r="HL27" i="3" s="1"/>
  <c r="HM27" i="3" s="1"/>
  <c r="HN27" i="3" s="1"/>
  <c r="HO27" i="3" s="1"/>
  <c r="HP27" i="3" s="1"/>
  <c r="HQ27" i="3" s="1"/>
  <c r="HR27" i="3" s="1"/>
  <c r="HS27" i="3" s="1"/>
  <c r="HT27" i="3" s="1"/>
  <c r="HU27" i="3" s="1"/>
  <c r="HV27" i="3" s="1"/>
  <c r="HW27" i="3" s="1"/>
  <c r="HX27" i="3" s="1"/>
  <c r="HY27" i="3" s="1"/>
  <c r="HZ27" i="3" s="1"/>
  <c r="IA27" i="3" s="1"/>
  <c r="IB27" i="3" s="1"/>
  <c r="IC27" i="3" s="1"/>
  <c r="ID27" i="3" s="1"/>
  <c r="IE27" i="3" s="1"/>
  <c r="IF27" i="3" s="1"/>
  <c r="IG27" i="3" s="1"/>
  <c r="IH27" i="3" s="1"/>
  <c r="II27" i="3" s="1"/>
  <c r="IJ27" i="3" s="1"/>
  <c r="IK27" i="3" s="1"/>
  <c r="IL27" i="3" s="1"/>
  <c r="IM27" i="3" s="1"/>
  <c r="IN27" i="3" s="1"/>
  <c r="IO27" i="3" s="1"/>
  <c r="IP27" i="3" s="1"/>
  <c r="IQ27" i="3" s="1"/>
  <c r="IR27" i="3" s="1"/>
  <c r="IS27" i="3" s="1"/>
  <c r="IT27" i="3" s="1"/>
  <c r="IU27" i="3" s="1"/>
  <c r="IV27" i="3" s="1"/>
  <c r="IW27" i="3" s="1"/>
  <c r="IX27" i="3" s="1"/>
  <c r="IY27" i="3" s="1"/>
  <c r="IZ27" i="3" s="1"/>
  <c r="JA27" i="3" s="1"/>
  <c r="JB27" i="3" s="1"/>
  <c r="JC27" i="3" s="1"/>
  <c r="JD27" i="3" s="1"/>
  <c r="JE27" i="3" s="1"/>
  <c r="JF27" i="3" s="1"/>
  <c r="JG27" i="3" s="1"/>
  <c r="BS35" i="3" s="1"/>
  <c r="BS37" i="3" s="1"/>
  <c r="BS39" i="3" s="1"/>
  <c r="BS41" i="3" s="1"/>
  <c r="BO50" i="3"/>
  <c r="O4" i="2" l="1"/>
  <c r="N20" i="2"/>
  <c r="N18" i="2"/>
  <c r="N17" i="2"/>
  <c r="N16" i="2"/>
  <c r="N14" i="2"/>
  <c r="N13" i="2"/>
  <c r="N12" i="2"/>
  <c r="N11" i="2"/>
  <c r="N10" i="2"/>
  <c r="N9" i="2"/>
  <c r="N8" i="2"/>
  <c r="N7" i="2"/>
  <c r="N26" i="2" s="1"/>
  <c r="N67" i="2"/>
  <c r="N54" i="2"/>
  <c r="O67" i="2"/>
  <c r="O54" i="2"/>
  <c r="O26" i="2"/>
  <c r="O15" i="2"/>
  <c r="O19" i="2" s="1"/>
  <c r="O21" i="2" s="1"/>
  <c r="O23" i="2" s="1"/>
  <c r="K5" i="1"/>
  <c r="K6" i="1" s="1"/>
  <c r="K9" i="1" s="1"/>
  <c r="M67" i="2"/>
  <c r="M54" i="2"/>
  <c r="M4" i="2"/>
  <c r="L4" i="2"/>
  <c r="K4" i="2"/>
  <c r="J4" i="2"/>
  <c r="I4" i="2"/>
  <c r="H4" i="2"/>
  <c r="G4" i="2"/>
  <c r="X20" i="2"/>
  <c r="X18" i="2"/>
  <c r="X17" i="2"/>
  <c r="X16" i="2"/>
  <c r="X14" i="2"/>
  <c r="X13" i="2"/>
  <c r="X12" i="2"/>
  <c r="X11" i="2"/>
  <c r="X10" i="2"/>
  <c r="X9" i="2"/>
  <c r="X8" i="2"/>
  <c r="X7" i="2"/>
  <c r="X26" i="2" s="1"/>
  <c r="C15" i="2"/>
  <c r="C19" i="2" s="1"/>
  <c r="C21" i="2" s="1"/>
  <c r="C23" i="2" s="1"/>
  <c r="G26" i="2"/>
  <c r="H26" i="2"/>
  <c r="I26" i="2"/>
  <c r="J26" i="2"/>
  <c r="D15" i="2"/>
  <c r="D19" i="2" s="1"/>
  <c r="D21" i="2" s="1"/>
  <c r="D23" i="2" s="1"/>
  <c r="E15" i="2"/>
  <c r="E19" i="2" s="1"/>
  <c r="E21" i="2" s="1"/>
  <c r="E23" i="2" s="1"/>
  <c r="F15" i="2"/>
  <c r="F19" i="2" s="1"/>
  <c r="F21" i="2" s="1"/>
  <c r="F23" i="2" s="1"/>
  <c r="Y20" i="2"/>
  <c r="Y18" i="2"/>
  <c r="Y17" i="2"/>
  <c r="Y16" i="2"/>
  <c r="Y14" i="2"/>
  <c r="Y13" i="2"/>
  <c r="Y12" i="2"/>
  <c r="Y11" i="2"/>
  <c r="Y10" i="2"/>
  <c r="Y9" i="2"/>
  <c r="Y8" i="2"/>
  <c r="Y7" i="2"/>
  <c r="Z26" i="2" s="1"/>
  <c r="J15" i="2"/>
  <c r="J19" i="2" s="1"/>
  <c r="J21" i="2" s="1"/>
  <c r="J23" i="2" s="1"/>
  <c r="Y3" i="2"/>
  <c r="W15" i="2"/>
  <c r="W19" i="2" s="1"/>
  <c r="W21" i="2" s="1"/>
  <c r="W23" i="2" s="1"/>
  <c r="G15" i="2"/>
  <c r="G19" i="2" s="1"/>
  <c r="G21" i="2" s="1"/>
  <c r="G23" i="2" s="1"/>
  <c r="K26" i="2"/>
  <c r="K15" i="2"/>
  <c r="K19" i="2" s="1"/>
  <c r="K21" i="2" s="1"/>
  <c r="K23" i="2" s="1"/>
  <c r="H15" i="2"/>
  <c r="H19" i="2" s="1"/>
  <c r="H21" i="2" s="1"/>
  <c r="H23" i="2" s="1"/>
  <c r="L26" i="2"/>
  <c r="L15" i="2"/>
  <c r="L19" i="2" s="1"/>
  <c r="L21" i="2" s="1"/>
  <c r="L23" i="2" s="1"/>
  <c r="M26" i="2"/>
  <c r="I15" i="2"/>
  <c r="I19" i="2" s="1"/>
  <c r="I21" i="2" s="1"/>
  <c r="I23" i="2" s="1"/>
  <c r="M15" i="2"/>
  <c r="M19" i="2" s="1"/>
  <c r="M21" i="2" s="1"/>
  <c r="M23" i="2" s="1"/>
  <c r="L8" i="1"/>
  <c r="L7" i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Y4" i="2" l="1"/>
  <c r="Z23" i="2"/>
  <c r="N23" i="2" s="1"/>
  <c r="N15" i="2"/>
  <c r="N19" i="2" s="1"/>
  <c r="N21" i="2" s="1"/>
  <c r="N22" i="2" s="1"/>
  <c r="Z21" i="2"/>
  <c r="Z3" i="2"/>
  <c r="Z15" i="2"/>
  <c r="X23" i="2"/>
  <c r="Z19" i="2"/>
  <c r="Y23" i="2"/>
  <c r="Y26" i="2"/>
  <c r="Y15" i="2"/>
  <c r="X4" i="2"/>
  <c r="X19" i="2"/>
  <c r="X21" i="2"/>
  <c r="Y19" i="2"/>
  <c r="X15" i="2"/>
  <c r="Y21" i="2"/>
  <c r="X22" i="2" l="1"/>
  <c r="N3" i="2"/>
  <c r="N4" i="2" s="1"/>
  <c r="Z4" i="2"/>
  <c r="Y2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tc={9D176CF4-87BE-A445-B57D-8FC90885D75D}</author>
    <author>Brannon, Jameel A.</author>
    <author>tc={47B9FA4D-EB5C-4949-A12D-7869BB57AB9E}</author>
  </authors>
  <commentList>
    <comment ref="BF2" authorId="0" shapeId="0" xr:uid="{9D176CF4-87BE-A445-B57D-8FC90885D75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
Reply:
    285-315 openings = latest Q124 guidance</t>
      </text>
    </comment>
    <comment ref="U4" authorId="1" shapeId="0" xr:uid="{44553DD3-D9B9-0C4D-BFCC-82E17E6B99E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36 of these were Chipotlanes</t>
        </r>
      </text>
    </comment>
    <comment ref="V4" authorId="1" shapeId="0" xr:uid="{F2A554D7-DFB9-8D4F-A20D-35E9D14AF52B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67 = chipotlanes</t>
        </r>
      </text>
    </comment>
    <comment ref="BF26" authorId="2" shapeId="0" xr:uid="{47B9FA4D-EB5C-4949-A12D-7869BB57AB9E}">
      <text>
        <t>[Threaded comment]
Your version of Excel allows you to read this threaded comment; however, any edits to it will get removed if the file is opened in a newer version of Excel. Learn more: https://go.microsoft.com/fwlink/?linkid=870924
Comment:
    Tax guidance</t>
      </text>
    </comment>
    <comment ref="B82" authorId="1" shapeId="0" xr:uid="{52BA4BCD-127A-0744-944C-86FD28010588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Earning 31 cents on every $ of Equity </t>
        </r>
      </text>
    </comment>
    <comment ref="W131" authorId="1" shapeId="0" xr:uid="{4C5F2900-2561-E743-9617-28F5BDB0DC3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Will be used (1) Share repurchases (2) invest/maintain/refurbish existing restaurants (3)gen corpo purposes</t>
        </r>
      </text>
    </comment>
    <comment ref="W133" authorId="1" shapeId="0" xr:uid="{CFC0EED0-9BD1-A04F-A959-DA9C5B09735D}">
      <text>
        <r>
          <rPr>
            <b/>
            <sz val="10"/>
            <color rgb="FF000000"/>
            <rFont val="Tahoma"/>
            <family val="2"/>
          </rPr>
          <t xml:space="preserve">Brannon, Jameel A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up y/y due to new restaurant openings (incremental 11 stores)</t>
        </r>
      </text>
    </comment>
    <comment ref="B159" authorId="1" shapeId="0" xr:uid="{39B0225F-B35A-D645-8FFA-16B380AAEA2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<sst xmlns="http://schemas.openxmlformats.org/spreadsheetml/2006/main" count="208" uniqueCount="156">
  <si>
    <t>P</t>
  </si>
  <si>
    <t>S</t>
  </si>
  <si>
    <t>MC</t>
  </si>
  <si>
    <t>C</t>
  </si>
  <si>
    <t>D</t>
  </si>
  <si>
    <t>EV</t>
  </si>
  <si>
    <t>Q123</t>
  </si>
  <si>
    <t>Q223</t>
  </si>
  <si>
    <t>Q323</t>
  </si>
  <si>
    <t>Q423</t>
  </si>
  <si>
    <t>Q122</t>
  </si>
  <si>
    <t>Q222</t>
  </si>
  <si>
    <t>Q322</t>
  </si>
  <si>
    <t>Q422</t>
  </si>
  <si>
    <t>Revenue</t>
  </si>
  <si>
    <t>Food, Bev, Packaging</t>
  </si>
  <si>
    <t>Labor</t>
  </si>
  <si>
    <t>Occupancy</t>
  </si>
  <si>
    <t>Other</t>
  </si>
  <si>
    <t>G&amp;A</t>
  </si>
  <si>
    <t>D&amp;A</t>
  </si>
  <si>
    <t>Pre-opening</t>
  </si>
  <si>
    <t>Op Income</t>
  </si>
  <si>
    <t>Interest income</t>
  </si>
  <si>
    <t>Interest expense</t>
  </si>
  <si>
    <t>EBT</t>
  </si>
  <si>
    <t>Taxes</t>
  </si>
  <si>
    <t>Net Income</t>
  </si>
  <si>
    <t>Diluted</t>
  </si>
  <si>
    <t>Eps</t>
  </si>
  <si>
    <t xml:space="preserve">Revenue </t>
  </si>
  <si>
    <t>Q121</t>
  </si>
  <si>
    <t>Q221</t>
  </si>
  <si>
    <t>Q321</t>
  </si>
  <si>
    <t>Q421</t>
  </si>
  <si>
    <t xml:space="preserve">Net Units </t>
  </si>
  <si>
    <t>RPU</t>
  </si>
  <si>
    <t xml:space="preserve">Growth Analysis </t>
  </si>
  <si>
    <t xml:space="preserve">Cash </t>
  </si>
  <si>
    <t>A/R</t>
  </si>
  <si>
    <t>Inventory</t>
  </si>
  <si>
    <t>Prepaid Expenses</t>
  </si>
  <si>
    <t>Current lease</t>
  </si>
  <si>
    <t>OCA</t>
  </si>
  <si>
    <t>Op lease</t>
  </si>
  <si>
    <t>PPE</t>
  </si>
  <si>
    <t>Goodwill</t>
  </si>
  <si>
    <t>Intangibles</t>
  </si>
  <si>
    <t>Lease acq</t>
  </si>
  <si>
    <t>Security deposits</t>
  </si>
  <si>
    <t>OA</t>
  </si>
  <si>
    <t>Restricted cash</t>
  </si>
  <si>
    <t xml:space="preserve">Total Assets </t>
  </si>
  <si>
    <t>Total Liabilities + E</t>
  </si>
  <si>
    <t>Current op lease</t>
  </si>
  <si>
    <t>A/P</t>
  </si>
  <si>
    <t>Accrued Exp</t>
  </si>
  <si>
    <t>Accrued payroll</t>
  </si>
  <si>
    <t>Gifts cards</t>
  </si>
  <si>
    <t>Contingent cons</t>
  </si>
  <si>
    <t>ONCL</t>
  </si>
  <si>
    <t>Deferred i/t</t>
  </si>
  <si>
    <t>Equity</t>
  </si>
  <si>
    <t>Q124</t>
  </si>
  <si>
    <t xml:space="preserve">Menu Style: 13 items </t>
  </si>
  <si>
    <t xml:space="preserve">Main </t>
  </si>
  <si>
    <t>$K</t>
  </si>
  <si>
    <t>Chipotle (CMG)</t>
  </si>
  <si>
    <t xml:space="preserve">Goal is 7k units </t>
  </si>
  <si>
    <t>.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</si>
  <si>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</si>
  <si>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</si>
  <si>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</si>
  <si>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</si>
  <si>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</si>
  <si>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</si>
  <si>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</si>
  <si>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</si>
  <si>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</si>
  <si>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</si>
  <si>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</si>
  <si>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</si>
  <si>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</si>
  <si>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</si>
  <si>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</si>
  <si>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</si>
  <si>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Opened</t>
  </si>
  <si>
    <t>Closures</t>
  </si>
  <si>
    <t>Relocations</t>
  </si>
  <si>
    <t>Restaurants</t>
  </si>
  <si>
    <t>Change</t>
  </si>
  <si>
    <t>Revenue Per Restaurant</t>
  </si>
  <si>
    <t>SSS</t>
  </si>
  <si>
    <t>Food/beverage</t>
  </si>
  <si>
    <t xml:space="preserve">Delivery services </t>
  </si>
  <si>
    <t xml:space="preserve">Total Revenue </t>
  </si>
  <si>
    <t xml:space="preserve">Food, beverage, packaging </t>
  </si>
  <si>
    <t>Other op costs</t>
  </si>
  <si>
    <t>Pre-opening costs</t>
  </si>
  <si>
    <t>Impairments</t>
  </si>
  <si>
    <t xml:space="preserve">Income From Operations </t>
  </si>
  <si>
    <t>Interest/other</t>
  </si>
  <si>
    <t>Income Before taxes</t>
  </si>
  <si>
    <t xml:space="preserve">Net Income </t>
  </si>
  <si>
    <t>shares</t>
  </si>
  <si>
    <t>ROIC</t>
  </si>
  <si>
    <t>Maturity</t>
  </si>
  <si>
    <t>Discount</t>
  </si>
  <si>
    <t>NPV</t>
  </si>
  <si>
    <t>Cash</t>
  </si>
  <si>
    <t xml:space="preserve">Total Value </t>
  </si>
  <si>
    <t>Shares</t>
  </si>
  <si>
    <t>Estimate</t>
  </si>
  <si>
    <t>Current</t>
  </si>
  <si>
    <t>Delta</t>
  </si>
  <si>
    <t>Quarter End Price</t>
  </si>
  <si>
    <t>EV/2023E</t>
  </si>
  <si>
    <t>MC (m)</t>
  </si>
  <si>
    <t>EV/2024E</t>
  </si>
  <si>
    <t>EV (m)</t>
  </si>
  <si>
    <t>EV/2025E</t>
  </si>
  <si>
    <t xml:space="preserve">Net cash </t>
  </si>
  <si>
    <t>Term</t>
  </si>
  <si>
    <t>Disc</t>
  </si>
  <si>
    <t>NC</t>
  </si>
  <si>
    <t xml:space="preserve">Estimate </t>
  </si>
  <si>
    <t>Total Value</t>
  </si>
  <si>
    <t>Upside</t>
  </si>
  <si>
    <t>CEO</t>
  </si>
  <si>
    <t xml:space="preserve">Jonathan Newman </t>
  </si>
  <si>
    <t>Brand Officer</t>
  </si>
  <si>
    <t>Nicolas Jammet</t>
  </si>
  <si>
    <t>Concept Officer</t>
  </si>
  <si>
    <t>COO</t>
  </si>
  <si>
    <t>CFO</t>
  </si>
  <si>
    <t>CTO</t>
  </si>
  <si>
    <t>CPO</t>
  </si>
  <si>
    <t>Rossan Williams</t>
  </si>
  <si>
    <t>Wouleta Ayele</t>
  </si>
  <si>
    <t>Mitch Reback</t>
  </si>
  <si>
    <t>Adrienne Gemperle</t>
  </si>
  <si>
    <t>Nathaniel Ru</t>
  </si>
  <si>
    <t>Holders</t>
  </si>
  <si>
    <t>Baillie Gifford &amp; Co</t>
  </si>
  <si>
    <t>Vanguard Group</t>
  </si>
  <si>
    <t xml:space="preserve">BlackRock </t>
  </si>
  <si>
    <t>Invesco</t>
  </si>
  <si>
    <t>Spyglass Capital Management</t>
  </si>
  <si>
    <t>Radcliff Management</t>
  </si>
  <si>
    <t>State Street</t>
  </si>
  <si>
    <t xml:space="preserve">Geode Caital </t>
  </si>
  <si>
    <t>News</t>
  </si>
  <si>
    <t>Contains</t>
  </si>
  <si>
    <t>Caramelized Garlic Steak offering</t>
  </si>
  <si>
    <t>modeled to mimic CMG --- this is best case scenario modeling</t>
  </si>
  <si>
    <t xml:space="preserve">CMG Ratios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</si>
</sst>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0.0%"/>
    <numFmt numFmtId="167" formatCode="0\x"/>
  </numFmts>
  <fonts count="15">
    <font>
      <sz val="10"/>
      <color theme="1"/>
      <name val="ArialMT"/>
      <family val="2"/>
    </font>
    <font>
      <b/>
      <sz val="10"/>
      <color theme="1"/>
      <name val="ArialMT"/>
    </font>
    <font>
      <b/>
      <u/>
      <sz val="10"/>
      <color theme="1"/>
      <name val="ArialMT"/>
    </font>
    <font>
      <sz val="10"/>
      <color theme="1"/>
      <name val="ArialMT"/>
    </font>
    <font>
      <sz val="10"/>
      <color theme="1"/>
      <name val="ArialMT"/>
      <family val="2"/>
    </font>
    <font>
      <u/>
      <sz val="10"/>
      <color theme="10"/>
      <name val="ArialMT"/>
      <family val="2"/>
    </font>
    <font>
      <sz val="10"/>
      <color theme="1"/>
      <name val="Intel Clear"/>
      <family val="2"/>
    </font>
    <font>
      <b/>
      <sz val="10"/>
      <color theme="1"/>
      <name val="Intel Clear"/>
      <family val="2"/>
    </font>
    <font>
      <sz val="10"/>
      <color rgb="FF000000"/>
      <name val="Intel Clear"/>
      <family val="2"/>
    </font>
    <font>
      <b/>
      <sz val="10"/>
      <color rgb="FF000000"/>
      <name val="Intel Clear"/>
      <family val="2"/>
    </font>
    <font>
      <u/>
      <sz val="10"/>
      <color theme="1"/>
      <name val="Intel Clear"/>
      <family val="2"/>
    </font>
    <font>
      <sz val="10"/>
      <color rgb="FF0000FF"/>
      <name val="ArialMT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i/>
      <sz val="10"/>
      <color theme="1"/>
      <name val="ArialMT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6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3" fontId="1" fillId="0" borderId="0" xfId="0" applyNumberFormat="1" applyFont="1"/>
    <xf numFmtId="3" fontId="2" fillId="0" borderId="0" xfId="0" applyNumberFormat="1" applyFont="1"/>
    <xf numFmtId="3" fontId="3" fillId="0" borderId="0" xfId="0" applyNumberFormat="1" applyFont="1"/>
    <xf numFmtId="2" fontId="0" fillId="0" borderId="0" xfId="0" applyNumberFormat="1"/>
    <xf numFmtId="3" fontId="5" fillId="0" borderId="0" xfId="4" applyNumberFormat="1"/>
    <xf numFmtId="3" fontId="6" fillId="0" borderId="0" xfId="0" applyNumberFormat="1" applyFont="1"/>
    <xf numFmtId="3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3" fontId="7" fillId="2" borderId="0" xfId="0" applyNumberFormat="1" applyFont="1" applyFill="1"/>
    <xf numFmtId="3" fontId="7" fillId="0" borderId="0" xfId="0" applyNumberFormat="1" applyFont="1"/>
    <xf numFmtId="9" fontId="6" fillId="0" borderId="0" xfId="3" applyFont="1" applyAlignment="1">
      <alignment horizontal="center"/>
    </xf>
    <xf numFmtId="9" fontId="6" fillId="0" borderId="0" xfId="0" applyNumberFormat="1" applyFont="1"/>
    <xf numFmtId="3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left"/>
    </xf>
    <xf numFmtId="3" fontId="7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1" applyNumberFormat="1" applyFont="1" applyAlignment="1">
      <alignment horizontal="right"/>
    </xf>
    <xf numFmtId="165" fontId="6" fillId="0" borderId="0" xfId="2" applyNumberFormat="1" applyFont="1" applyAlignment="1">
      <alignment horizontal="right"/>
    </xf>
    <xf numFmtId="3" fontId="7" fillId="0" borderId="0" xfId="0" applyNumberFormat="1" applyFont="1" applyAlignment="1">
      <alignment horizontal="center"/>
    </xf>
    <xf numFmtId="3" fontId="7" fillId="0" borderId="0" xfId="1" applyNumberFormat="1" applyFont="1" applyAlignment="1">
      <alignment horizontal="right"/>
    </xf>
    <xf numFmtId="3" fontId="7" fillId="0" borderId="0" xfId="2" applyNumberFormat="1" applyFont="1" applyAlignment="1">
      <alignment horizontal="right"/>
    </xf>
    <xf numFmtId="3" fontId="6" fillId="0" borderId="0" xfId="2" applyNumberFormat="1" applyFont="1" applyAlignment="1">
      <alignment horizontal="right"/>
    </xf>
    <xf numFmtId="9" fontId="6" fillId="0" borderId="0" xfId="2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center"/>
    </xf>
    <xf numFmtId="166" fontId="7" fillId="0" borderId="0" xfId="0" applyNumberFormat="1" applyFont="1"/>
    <xf numFmtId="166" fontId="7" fillId="0" borderId="0" xfId="0" applyNumberFormat="1" applyFont="1" applyAlignment="1">
      <alignment horizontal="right"/>
    </xf>
    <xf numFmtId="166" fontId="7" fillId="0" borderId="0" xfId="1" applyNumberFormat="1" applyFont="1" applyAlignment="1">
      <alignment horizontal="right"/>
    </xf>
    <xf numFmtId="166" fontId="7" fillId="0" borderId="0" xfId="2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/>
    </xf>
    <xf numFmtId="4" fontId="6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3" fontId="10" fillId="0" borderId="0" xfId="0" applyNumberFormat="1" applyFont="1"/>
    <xf numFmtId="9" fontId="7" fillId="0" borderId="0" xfId="3" applyFont="1" applyAlignment="1">
      <alignment horizontal="right"/>
    </xf>
    <xf numFmtId="3" fontId="6" fillId="0" borderId="1" xfId="0" applyNumberFormat="1" applyFont="1" applyBorder="1" applyAlignment="1">
      <alignment horizontal="right"/>
    </xf>
    <xf numFmtId="9" fontId="6" fillId="0" borderId="2" xfId="3" applyFont="1" applyBorder="1" applyAlignment="1">
      <alignment horizontal="right"/>
    </xf>
    <xf numFmtId="3" fontId="6" fillId="0" borderId="3" xfId="0" applyNumberFormat="1" applyFont="1" applyBorder="1" applyAlignment="1">
      <alignment horizontal="right"/>
    </xf>
    <xf numFmtId="9" fontId="6" fillId="0" borderId="4" xfId="3" applyFont="1" applyBorder="1" applyAlignment="1">
      <alignment horizontal="right"/>
    </xf>
    <xf numFmtId="9" fontId="7" fillId="0" borderId="0" xfId="0" applyNumberFormat="1" applyFont="1" applyAlignment="1">
      <alignment horizontal="right"/>
    </xf>
    <xf numFmtId="166" fontId="6" fillId="0" borderId="4" xfId="3" applyNumberFormat="1" applyFont="1" applyBorder="1" applyAlignment="1">
      <alignment horizontal="right"/>
    </xf>
    <xf numFmtId="3" fontId="7" fillId="0" borderId="3" xfId="3" applyNumberFormat="1" applyFont="1" applyBorder="1" applyAlignment="1">
      <alignment horizontal="right"/>
    </xf>
    <xf numFmtId="3" fontId="7" fillId="0" borderId="4" xfId="3" applyNumberFormat="1" applyFont="1" applyBorder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4" xfId="0" applyNumberFormat="1" applyFont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center"/>
    </xf>
    <xf numFmtId="9" fontId="6" fillId="0" borderId="3" xfId="0" applyNumberFormat="1" applyFont="1" applyBorder="1" applyAlignment="1">
      <alignment horizontal="right"/>
    </xf>
    <xf numFmtId="9" fontId="6" fillId="0" borderId="4" xfId="0" applyNumberFormat="1" applyFont="1" applyBorder="1" applyAlignment="1">
      <alignment horizontal="right"/>
    </xf>
    <xf numFmtId="9" fontId="6" fillId="0" borderId="0" xfId="3" applyFont="1" applyAlignment="1"/>
    <xf numFmtId="9" fontId="6" fillId="0" borderId="0" xfId="3" applyFont="1" applyAlignment="1">
      <alignment horizontal="right"/>
    </xf>
    <xf numFmtId="9" fontId="6" fillId="0" borderId="0" xfId="3" applyFont="1" applyFill="1" applyAlignment="1">
      <alignment horizontal="right"/>
    </xf>
    <xf numFmtId="3" fontId="6" fillId="0" borderId="5" xfId="0" applyNumberFormat="1" applyFont="1" applyBorder="1" applyAlignment="1">
      <alignment horizontal="right"/>
    </xf>
    <xf numFmtId="9" fontId="6" fillId="0" borderId="6" xfId="3" applyFont="1" applyBorder="1" applyAlignment="1">
      <alignment horizontal="right"/>
    </xf>
    <xf numFmtId="9" fontId="7" fillId="0" borderId="0" xfId="3" applyFont="1" applyAlignment="1">
      <alignment horizontal="center"/>
    </xf>
    <xf numFmtId="9" fontId="7" fillId="0" borderId="0" xfId="3" applyFont="1" applyFill="1" applyAlignment="1">
      <alignment horizontal="right"/>
    </xf>
    <xf numFmtId="3" fontId="7" fillId="0" borderId="0" xfId="3" applyNumberFormat="1" applyFont="1" applyAlignment="1">
      <alignment horizontal="center"/>
    </xf>
    <xf numFmtId="3" fontId="7" fillId="0" borderId="0" xfId="3" applyNumberFormat="1" applyFont="1" applyAlignment="1">
      <alignment horizontal="right"/>
    </xf>
    <xf numFmtId="3" fontId="6" fillId="0" borderId="0" xfId="3" applyNumberFormat="1" applyFont="1" applyAlignment="1">
      <alignment horizontal="right"/>
    </xf>
    <xf numFmtId="3" fontId="6" fillId="0" borderId="0" xfId="3" applyNumberFormat="1" applyFont="1" applyFill="1" applyAlignment="1">
      <alignment horizontal="right"/>
    </xf>
    <xf numFmtId="167" fontId="6" fillId="0" borderId="0" xfId="0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164" fontId="4" fillId="3" borderId="0" xfId="1" applyNumberFormat="1" applyFont="1" applyFill="1" applyAlignment="1">
      <alignment horizontal="right"/>
    </xf>
    <xf numFmtId="0" fontId="0" fillId="3" borderId="0" xfId="0" applyFill="1" applyAlignment="1">
      <alignment horizontal="right"/>
    </xf>
    <xf numFmtId="0" fontId="11" fillId="3" borderId="0" xfId="0" applyFont="1" applyFill="1" applyAlignment="1">
      <alignment horizontal="right"/>
    </xf>
    <xf numFmtId="2" fontId="0" fillId="3" borderId="0" xfId="0" applyNumberFormat="1" applyFill="1" applyAlignment="1">
      <alignment horizontal="right"/>
    </xf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4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0" xfId="0" applyNumberFormat="1" applyBorder="1"/>
    <xf numFmtId="9" fontId="0" fillId="0" borderId="0" xfId="0" applyNumberFormat="1" applyBorder="1"/>
    <xf numFmtId="9" fontId="1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4" fontId="5" fillId="0" borderId="0" xfId="4" applyNumberFormat="1"/>
    <xf numFmtId="3" fontId="14" fillId="0" borderId="0" xfId="0" applyNumberFormat="1" applyFont="1" applyAlignment="1">
      <alignment horizontal="center"/>
    </xf>
    <xf numFmtId="3" fontId="0" fillId="0" borderId="7" xfId="0" applyNumberFormat="1" applyBorder="1"/>
    <xf numFmtId="3" fontId="0" fillId="0" borderId="2" xfId="0" applyNumberFormat="1" applyBorder="1"/>
    <xf numFmtId="3" fontId="0" fillId="0" borderId="5" xfId="0" applyNumberFormat="1" applyBorder="1"/>
    <xf numFmtId="9" fontId="0" fillId="0" borderId="8" xfId="0" applyNumberFormat="1" applyBorder="1"/>
    <xf numFmtId="3" fontId="0" fillId="0" borderId="8" xfId="0" applyNumberFormat="1" applyBorder="1"/>
    <xf numFmtId="9" fontId="0" fillId="0" borderId="6" xfId="0" applyNumberFormat="1" applyBorder="1"/>
    <xf numFmtId="166" fontId="0" fillId="0" borderId="4" xfId="0" applyNumberFormat="1" applyBorder="1"/>
    <xf numFmtId="3" fontId="1" fillId="0" borderId="4" xfId="0" applyNumberFormat="1" applyFont="1" applyBorder="1"/>
    <xf numFmtId="3" fontId="1" fillId="0" borderId="3" xfId="0" applyNumberFormat="1" applyFont="1" applyBorder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56</xdr:col>
      <xdr:colOff>682835</xdr:colOff>
      <xdr:row>0</xdr:row>
      <xdr:rowOff>0</xdr:rowOff>
    </xdr:from>
    <xdr:to>
      <xdr:col>56</xdr:col>
      <xdr:colOff>694162</xdr:colOff>
      <xdr:row>188</xdr:row>
      <xdr:rowOff>141988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7DE93E0-6D70-9E49-9F74-01764A3C93AE}"/>
            </a:ext>
          </a:extLst>
        </xdr:cNvPr>
        <xdr:cNvCxnSpPr/>
      </xdr:nvCxnSpPr>
      <xdr:spPr>
        <a:xfrm>
          <a:off x="38478035" y="0"/>
          <a:ext cx="11327" cy="30190188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</xdr:colOff>
      <xdr:row>0</xdr:row>
      <xdr:rowOff>0</xdr:rowOff>
    </xdr:from>
    <xdr:to>
      <xdr:col>31</xdr:col>
      <xdr:colOff>13975</xdr:colOff>
      <xdr:row>167</xdr:row>
      <xdr:rowOff>13840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A633583-FF63-F24C-8FA6-926C1D2C608E}"/>
            </a:ext>
          </a:extLst>
        </xdr:cNvPr>
        <xdr:cNvCxnSpPr/>
      </xdr:nvCxnSpPr>
      <xdr:spPr>
        <a:xfrm>
          <a:off x="23368001" y="0"/>
          <a:ext cx="13974" cy="2632824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39441</xdr:colOff>
      <xdr:row>0</xdr:row>
      <xdr:rowOff>0</xdr:rowOff>
    </xdr:from>
    <xdr:to>
      <xdr:col>15</xdr:col>
      <xdr:colOff>39441</xdr:colOff>
      <xdr:row>78</xdr:row>
      <xdr:rowOff>7888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98AA234-8E6E-F3C1-484A-8E24248D659C}"/>
            </a:ext>
          </a:extLst>
        </xdr:cNvPr>
        <xdr:cNvCxnSpPr/>
      </xdr:nvCxnSpPr>
      <xdr:spPr>
        <a:xfrm>
          <a:off x="9071429" y="0"/>
          <a:ext cx="0" cy="112722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7888</xdr:colOff>
      <xdr:row>0</xdr:row>
      <xdr:rowOff>55217</xdr:rowOff>
    </xdr:from>
    <xdr:to>
      <xdr:col>26</xdr:col>
      <xdr:colOff>10584</xdr:colOff>
      <xdr:row>78</xdr:row>
      <xdr:rowOff>105833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C1CC895-D7BA-B125-A04F-6EB026B3FC12}"/>
            </a:ext>
          </a:extLst>
        </xdr:cNvPr>
        <xdr:cNvCxnSpPr/>
      </xdr:nvCxnSpPr>
      <xdr:spPr>
        <a:xfrm>
          <a:off x="15067971" y="55217"/>
          <a:ext cx="2696" cy="1325861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meelbrannon/Library/CloudStorage/Dropbox/Models/CMG.xlsx" TargetMode="External"/><Relationship Id="rId1" Type="http://schemas.openxmlformats.org/officeDocument/2006/relationships/externalLinkPath" Target="CM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ebt"/>
    </sheetNames>
    <sheetDataSet>
      <sheetData sheetId="0">
        <row r="4">
          <cell r="G4">
            <v>3151.63</v>
          </cell>
        </row>
        <row r="5">
          <cell r="G5">
            <v>27467</v>
          </cell>
        </row>
        <row r="6">
          <cell r="G6">
            <v>86565821.210000008</v>
          </cell>
        </row>
        <row r="7">
          <cell r="G7">
            <v>727394</v>
          </cell>
        </row>
        <row r="9">
          <cell r="G9">
            <v>85838427.210000008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7A75945A-8092-064D-869A-4F8D3CA29583}" userId="jameel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F2" dT="2024-02-17T04:20:52.19" personId="{7A75945A-8092-064D-869A-4F8D3CA29583}" id="{9D176CF4-87BE-A445-B57D-8FC90885D75D}">
    <text>Guidance</text>
  </threadedComment>
  <threadedComment ref="BF2" dT="2024-05-27T00:53:54.81" personId="{7A75945A-8092-064D-869A-4F8D3CA29583}" id="{18C4A5EB-588C-1F44-B121-442D19090A85}" parentId="{9D176CF4-87BE-A445-B57D-8FC90885D75D}">
    <text>285-315 openings = latest Q124 guidance</text>
  </threadedComment>
  <threadedComment ref="BF26" dT="2024-02-17T04:22:24.01" personId="{7A75945A-8092-064D-869A-4F8D3CA29583}" id="{47B9FA4D-EB5C-4949-A12D-7869BB57AB9E}">
    <text>Tax guidance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.sweetgreen.com/press/news-details/2024/Sweetgreen-Launches-Caramelized-Garlic-Steak-Nationwide-Expanding-Its-Protein-Offerings/default.asp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F7D2-A146-CE4D-AFFC-02E3E7B5F6A8}">
  <dimension ref="A1:JG174"/>
  <sheetViews>
    <sheetView zoomScale="110" zoomScaleNormal="110" workbookViewId="0">
      <pane xSplit="2" ySplit="3" topLeftCell="AN30" activePane="bottomRight" state="frozen"/>
      <selection pane="topRight" activeCell="B1" sqref="B1"/>
      <selection pane="bottomLeft" activeCell="A2" sqref="A2"/>
      <selection pane="bottomRight" activeCell="AO63" sqref="AO63"/>
    </sheetView>
  </sheetViews>
  <sheetFormatPr baseColWidth="10" defaultRowHeight="14" outlineLevelRow="1" outlineLevelCol="1"/>
  <cols>
    <col min="1" max="1" width="5.33203125" style="10" bestFit="1" customWidth="1"/>
    <col min="2" max="2" width="24.33203125" style="9" bestFit="1" customWidth="1"/>
    <col min="3" max="14" width="9.5" style="11" hidden="1" customWidth="1" outlineLevel="1"/>
    <col min="15" max="15" width="9.5" style="11" hidden="1" customWidth="1" outlineLevel="1" collapsed="1"/>
    <col min="16" max="22" width="9.5" style="11" hidden="1" customWidth="1" outlineLevel="1"/>
    <col min="23" max="23" width="11" style="11" hidden="1" customWidth="1" outlineLevel="1"/>
    <col min="24" max="24" width="10.1640625" style="11" hidden="1" customWidth="1" outlineLevel="1"/>
    <col min="25" max="25" width="9.5" style="11" hidden="1" customWidth="1" outlineLevel="1"/>
    <col min="26" max="26" width="9.33203125" style="11" hidden="1" customWidth="1" outlineLevel="1"/>
    <col min="27" max="27" width="9.1640625" style="11" hidden="1" customWidth="1" outlineLevel="1"/>
    <col min="28" max="28" width="10" style="11" hidden="1" customWidth="1" outlineLevel="1"/>
    <col min="29" max="29" width="9.1640625" style="11" hidden="1" customWidth="1" outlineLevel="1"/>
    <col min="30" max="31" width="9.33203125" style="11" hidden="1" customWidth="1" outlineLevel="1"/>
    <col min="32" max="35" width="3.6640625" style="11" hidden="1" customWidth="1" outlineLevel="1"/>
    <col min="36" max="36" width="3.6640625" style="11" customWidth="1" collapsed="1"/>
    <col min="37" max="38" width="3.6640625" style="11" customWidth="1"/>
    <col min="39" max="40" width="7.6640625" style="11" bestFit="1" customWidth="1" outlineLevel="1"/>
    <col min="41" max="50" width="9.1640625" style="11" bestFit="1" customWidth="1" outlineLevel="1"/>
    <col min="51" max="52" width="9.1640625" style="11" bestFit="1" customWidth="1"/>
    <col min="53" max="54" width="9.33203125" style="11" bestFit="1" customWidth="1"/>
    <col min="55" max="55" width="9.5" style="11" bestFit="1" customWidth="1"/>
    <col min="56" max="56" width="10.1640625" style="11" bestFit="1" customWidth="1"/>
    <col min="57" max="57" width="9.5" style="11" bestFit="1" customWidth="1"/>
    <col min="58" max="66" width="10.5" style="11" bestFit="1" customWidth="1"/>
    <col min="67" max="68" width="10.1640625" style="11" bestFit="1" customWidth="1"/>
    <col min="69" max="69" width="11.5" style="11" bestFit="1" customWidth="1"/>
    <col min="70" max="70" width="10.1640625" style="11" bestFit="1" customWidth="1"/>
    <col min="71" max="71" width="11.5" style="11" bestFit="1" customWidth="1"/>
    <col min="72" max="178" width="10.1640625" style="11" bestFit="1" customWidth="1"/>
    <col min="179" max="256" width="11.1640625" style="11" bestFit="1" customWidth="1"/>
    <col min="257" max="16384" width="10.83203125" style="11"/>
  </cols>
  <sheetData>
    <row r="1" spans="1:267" s="9" customFormat="1">
      <c r="A1" s="8" t="s">
        <v>65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2"/>
      <c r="BC1" s="12"/>
      <c r="BD1" s="12">
        <f>3129+53</f>
        <v>3182</v>
      </c>
      <c r="BE1" s="12"/>
      <c r="BF1" s="12"/>
      <c r="BG1" s="12"/>
      <c r="BH1" s="12"/>
      <c r="BI1" s="12"/>
      <c r="BJ1" s="12"/>
      <c r="BK1" s="12"/>
      <c r="BL1" s="12"/>
      <c r="BM1" s="12"/>
      <c r="BN1" s="12"/>
    </row>
    <row r="2" spans="1:267" s="9" customFormat="1">
      <c r="A2" s="13" t="s">
        <v>66</v>
      </c>
      <c r="B2" s="14" t="s">
        <v>67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>
        <v>235</v>
      </c>
      <c r="X2" s="10"/>
      <c r="Y2" s="10"/>
      <c r="Z2" s="10"/>
      <c r="AA2" s="11"/>
      <c r="AB2" s="11"/>
      <c r="AC2" s="11"/>
      <c r="AD2" s="11"/>
      <c r="AE2" s="11">
        <v>45406</v>
      </c>
      <c r="AF2" s="11"/>
      <c r="AG2" s="11"/>
      <c r="AH2" s="11"/>
      <c r="AI2" s="11"/>
      <c r="AJ2" s="11"/>
      <c r="AK2" s="11"/>
      <c r="AL2" s="11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5">
        <v>0.87822878228782286</v>
      </c>
      <c r="BB2" s="12"/>
      <c r="BC2" s="12">
        <f>3371+66</f>
        <v>3437</v>
      </c>
      <c r="BD2" s="12"/>
      <c r="BF2" s="12">
        <f>AVERAGE(285,315)</f>
        <v>300</v>
      </c>
      <c r="BG2" s="12">
        <f>7000-BF7</f>
        <v>3263</v>
      </c>
      <c r="BH2" s="12"/>
      <c r="BI2" s="12"/>
      <c r="BJ2" s="12"/>
      <c r="BK2" s="12"/>
      <c r="BL2" s="12"/>
      <c r="BM2" s="12"/>
      <c r="BN2" s="12"/>
      <c r="BO2" s="9" t="s">
        <v>68</v>
      </c>
      <c r="BQ2" s="16"/>
      <c r="IV2" s="9" t="s">
        <v>69</v>
      </c>
    </row>
    <row r="3" spans="1:267" s="17" customFormat="1">
      <c r="C3" s="17" t="s">
        <v>70</v>
      </c>
      <c r="D3" s="17" t="s">
        <v>71</v>
      </c>
      <c r="E3" s="17" t="s">
        <v>72</v>
      </c>
      <c r="F3" s="17" t="s">
        <v>73</v>
      </c>
      <c r="G3" s="17" t="s">
        <v>74</v>
      </c>
      <c r="H3" s="17" t="s">
        <v>75</v>
      </c>
      <c r="I3" s="17" t="s">
        <v>76</v>
      </c>
      <c r="J3" s="17" t="s">
        <v>77</v>
      </c>
      <c r="K3" s="17" t="s">
        <v>78</v>
      </c>
      <c r="L3" s="17" t="s">
        <v>79</v>
      </c>
      <c r="M3" s="17" t="s">
        <v>80</v>
      </c>
      <c r="N3" s="17" t="s">
        <v>81</v>
      </c>
      <c r="O3" s="17" t="s">
        <v>82</v>
      </c>
      <c r="P3" s="17" t="s">
        <v>83</v>
      </c>
      <c r="Q3" s="17" t="s">
        <v>84</v>
      </c>
      <c r="R3" s="17" t="s">
        <v>85</v>
      </c>
      <c r="S3" s="17" t="s">
        <v>31</v>
      </c>
      <c r="T3" s="17" t="s">
        <v>32</v>
      </c>
      <c r="U3" s="17" t="s">
        <v>33</v>
      </c>
      <c r="V3" s="17" t="s">
        <v>34</v>
      </c>
      <c r="W3" s="17" t="s">
        <v>10</v>
      </c>
      <c r="X3" s="17" t="s">
        <v>11</v>
      </c>
      <c r="Y3" s="17" t="s">
        <v>12</v>
      </c>
      <c r="Z3" s="17" t="s">
        <v>13</v>
      </c>
      <c r="AA3" s="17" t="s">
        <v>6</v>
      </c>
      <c r="AB3" s="17" t="s">
        <v>7</v>
      </c>
      <c r="AC3" s="17" t="s">
        <v>8</v>
      </c>
      <c r="AD3" s="17" t="s">
        <v>9</v>
      </c>
      <c r="AE3" s="17" t="s">
        <v>63</v>
      </c>
      <c r="AM3" s="18">
        <f t="shared" ref="AM3:AQ3" si="0">+AN3-1</f>
        <v>2005</v>
      </c>
      <c r="AN3" s="18">
        <f t="shared" si="0"/>
        <v>2006</v>
      </c>
      <c r="AO3" s="18">
        <f t="shared" si="0"/>
        <v>2007</v>
      </c>
      <c r="AP3" s="18">
        <f t="shared" si="0"/>
        <v>2008</v>
      </c>
      <c r="AQ3" s="18">
        <f t="shared" si="0"/>
        <v>2009</v>
      </c>
      <c r="AR3" s="18">
        <f>+AS3-1</f>
        <v>2010</v>
      </c>
      <c r="AS3" s="18">
        <v>2011</v>
      </c>
      <c r="AT3" s="18">
        <v>2012</v>
      </c>
      <c r="AU3" s="18">
        <v>2013</v>
      </c>
      <c r="AV3" s="18">
        <v>2014</v>
      </c>
      <c r="AW3" s="18">
        <f t="shared" ref="AW3:AX3" si="1">+AX3-1</f>
        <v>2015</v>
      </c>
      <c r="AX3" s="18">
        <f t="shared" si="1"/>
        <v>2016</v>
      </c>
      <c r="AY3" s="18">
        <f>+AZ3-1</f>
        <v>2017</v>
      </c>
      <c r="AZ3" s="18">
        <v>2018</v>
      </c>
      <c r="BA3" s="18">
        <v>2019</v>
      </c>
      <c r="BB3" s="18">
        <v>2020</v>
      </c>
      <c r="BC3" s="18">
        <v>2021</v>
      </c>
      <c r="BD3" s="18">
        <f>+BC3+1</f>
        <v>2022</v>
      </c>
      <c r="BE3" s="18">
        <f t="shared" ref="BE3:BO3" si="2">+BD3+1</f>
        <v>2023</v>
      </c>
      <c r="BF3" s="18">
        <f t="shared" si="2"/>
        <v>2024</v>
      </c>
      <c r="BG3" s="18">
        <f t="shared" si="2"/>
        <v>2025</v>
      </c>
      <c r="BH3" s="18">
        <f t="shared" si="2"/>
        <v>2026</v>
      </c>
      <c r="BI3" s="18">
        <f t="shared" si="2"/>
        <v>2027</v>
      </c>
      <c r="BJ3" s="18">
        <f t="shared" si="2"/>
        <v>2028</v>
      </c>
      <c r="BK3" s="18">
        <f t="shared" si="2"/>
        <v>2029</v>
      </c>
      <c r="BL3" s="18">
        <f t="shared" si="2"/>
        <v>2030</v>
      </c>
      <c r="BM3" s="18">
        <f t="shared" si="2"/>
        <v>2031</v>
      </c>
      <c r="BN3" s="18">
        <f t="shared" si="2"/>
        <v>2032</v>
      </c>
      <c r="BO3" s="18">
        <f t="shared" si="2"/>
        <v>2033</v>
      </c>
      <c r="BP3" s="17">
        <f>+BO3+1</f>
        <v>2034</v>
      </c>
      <c r="BQ3" s="17">
        <f t="shared" ref="BQ3:EB3" si="3">+BP3+1</f>
        <v>2035</v>
      </c>
      <c r="BR3" s="17">
        <f t="shared" si="3"/>
        <v>2036</v>
      </c>
      <c r="BS3" s="17">
        <f t="shared" si="3"/>
        <v>2037</v>
      </c>
      <c r="BT3" s="17">
        <f t="shared" si="3"/>
        <v>2038</v>
      </c>
      <c r="BU3" s="17">
        <f t="shared" si="3"/>
        <v>2039</v>
      </c>
      <c r="BV3" s="17">
        <f t="shared" si="3"/>
        <v>2040</v>
      </c>
      <c r="BW3" s="17">
        <f t="shared" si="3"/>
        <v>2041</v>
      </c>
      <c r="BX3" s="17">
        <f t="shared" si="3"/>
        <v>2042</v>
      </c>
      <c r="BY3" s="17">
        <f t="shared" si="3"/>
        <v>2043</v>
      </c>
      <c r="BZ3" s="17">
        <f t="shared" si="3"/>
        <v>2044</v>
      </c>
      <c r="CA3" s="17">
        <f t="shared" si="3"/>
        <v>2045</v>
      </c>
      <c r="CB3" s="17">
        <f t="shared" si="3"/>
        <v>2046</v>
      </c>
      <c r="CC3" s="17">
        <f t="shared" si="3"/>
        <v>2047</v>
      </c>
      <c r="CD3" s="17">
        <f t="shared" si="3"/>
        <v>2048</v>
      </c>
      <c r="CE3" s="17">
        <f t="shared" si="3"/>
        <v>2049</v>
      </c>
      <c r="CF3" s="17">
        <f t="shared" si="3"/>
        <v>2050</v>
      </c>
      <c r="CG3" s="17">
        <f t="shared" si="3"/>
        <v>2051</v>
      </c>
      <c r="CH3" s="17">
        <f t="shared" si="3"/>
        <v>2052</v>
      </c>
      <c r="CI3" s="17">
        <f t="shared" si="3"/>
        <v>2053</v>
      </c>
      <c r="CJ3" s="17">
        <f t="shared" si="3"/>
        <v>2054</v>
      </c>
      <c r="CK3" s="17">
        <f t="shared" si="3"/>
        <v>2055</v>
      </c>
      <c r="CL3" s="17">
        <f t="shared" si="3"/>
        <v>2056</v>
      </c>
      <c r="CM3" s="17">
        <f t="shared" si="3"/>
        <v>2057</v>
      </c>
      <c r="CN3" s="17">
        <f t="shared" si="3"/>
        <v>2058</v>
      </c>
      <c r="CO3" s="17">
        <f t="shared" si="3"/>
        <v>2059</v>
      </c>
      <c r="CP3" s="17">
        <f t="shared" si="3"/>
        <v>2060</v>
      </c>
      <c r="CQ3" s="17">
        <f t="shared" si="3"/>
        <v>2061</v>
      </c>
      <c r="CR3" s="17">
        <f t="shared" si="3"/>
        <v>2062</v>
      </c>
      <c r="CS3" s="17">
        <f t="shared" si="3"/>
        <v>2063</v>
      </c>
      <c r="CT3" s="17">
        <f t="shared" si="3"/>
        <v>2064</v>
      </c>
      <c r="CU3" s="17">
        <f t="shared" si="3"/>
        <v>2065</v>
      </c>
      <c r="CV3" s="17">
        <f t="shared" si="3"/>
        <v>2066</v>
      </c>
      <c r="CW3" s="17">
        <f t="shared" si="3"/>
        <v>2067</v>
      </c>
      <c r="CX3" s="17">
        <f t="shared" si="3"/>
        <v>2068</v>
      </c>
      <c r="CY3" s="17">
        <f t="shared" si="3"/>
        <v>2069</v>
      </c>
      <c r="CZ3" s="17">
        <f t="shared" si="3"/>
        <v>2070</v>
      </c>
      <c r="DA3" s="17">
        <f t="shared" si="3"/>
        <v>2071</v>
      </c>
      <c r="DB3" s="17">
        <f t="shared" si="3"/>
        <v>2072</v>
      </c>
      <c r="DC3" s="17">
        <f t="shared" si="3"/>
        <v>2073</v>
      </c>
      <c r="DD3" s="17">
        <f t="shared" si="3"/>
        <v>2074</v>
      </c>
      <c r="DE3" s="17">
        <f t="shared" si="3"/>
        <v>2075</v>
      </c>
      <c r="DF3" s="17">
        <f t="shared" si="3"/>
        <v>2076</v>
      </c>
      <c r="DG3" s="17">
        <f t="shared" si="3"/>
        <v>2077</v>
      </c>
      <c r="DH3" s="17">
        <f t="shared" si="3"/>
        <v>2078</v>
      </c>
      <c r="DI3" s="17">
        <f t="shared" si="3"/>
        <v>2079</v>
      </c>
      <c r="DJ3" s="17">
        <f t="shared" si="3"/>
        <v>2080</v>
      </c>
      <c r="DK3" s="17">
        <f t="shared" si="3"/>
        <v>2081</v>
      </c>
      <c r="DL3" s="17">
        <f t="shared" si="3"/>
        <v>2082</v>
      </c>
      <c r="DM3" s="17">
        <f t="shared" si="3"/>
        <v>2083</v>
      </c>
      <c r="DN3" s="17">
        <f t="shared" si="3"/>
        <v>2084</v>
      </c>
      <c r="DO3" s="17">
        <f t="shared" si="3"/>
        <v>2085</v>
      </c>
      <c r="DP3" s="17">
        <f t="shared" si="3"/>
        <v>2086</v>
      </c>
      <c r="DQ3" s="17">
        <f t="shared" si="3"/>
        <v>2087</v>
      </c>
      <c r="DR3" s="17">
        <f t="shared" si="3"/>
        <v>2088</v>
      </c>
      <c r="DS3" s="17">
        <f t="shared" si="3"/>
        <v>2089</v>
      </c>
      <c r="DT3" s="17">
        <f t="shared" si="3"/>
        <v>2090</v>
      </c>
      <c r="DU3" s="17">
        <f t="shared" si="3"/>
        <v>2091</v>
      </c>
      <c r="DV3" s="17">
        <f t="shared" si="3"/>
        <v>2092</v>
      </c>
      <c r="DW3" s="17">
        <f t="shared" si="3"/>
        <v>2093</v>
      </c>
      <c r="DX3" s="17">
        <f t="shared" si="3"/>
        <v>2094</v>
      </c>
      <c r="DY3" s="17">
        <f t="shared" si="3"/>
        <v>2095</v>
      </c>
      <c r="DZ3" s="17">
        <f t="shared" si="3"/>
        <v>2096</v>
      </c>
      <c r="EA3" s="17">
        <f t="shared" si="3"/>
        <v>2097</v>
      </c>
      <c r="EB3" s="17">
        <f t="shared" si="3"/>
        <v>2098</v>
      </c>
      <c r="EC3" s="17">
        <f t="shared" ref="EC3:GN3" si="4">+EB3+1</f>
        <v>2099</v>
      </c>
      <c r="ED3" s="17">
        <f t="shared" si="4"/>
        <v>2100</v>
      </c>
      <c r="EE3" s="17">
        <f t="shared" si="4"/>
        <v>2101</v>
      </c>
      <c r="EF3" s="17">
        <f t="shared" si="4"/>
        <v>2102</v>
      </c>
      <c r="EG3" s="17">
        <f t="shared" si="4"/>
        <v>2103</v>
      </c>
      <c r="EH3" s="17">
        <f t="shared" si="4"/>
        <v>2104</v>
      </c>
      <c r="EI3" s="17">
        <f t="shared" si="4"/>
        <v>2105</v>
      </c>
      <c r="EJ3" s="17">
        <f t="shared" si="4"/>
        <v>2106</v>
      </c>
      <c r="EK3" s="17">
        <f t="shared" si="4"/>
        <v>2107</v>
      </c>
      <c r="EL3" s="17">
        <f t="shared" si="4"/>
        <v>2108</v>
      </c>
      <c r="EM3" s="17">
        <f t="shared" si="4"/>
        <v>2109</v>
      </c>
      <c r="EN3" s="17">
        <f t="shared" si="4"/>
        <v>2110</v>
      </c>
      <c r="EO3" s="17">
        <f t="shared" si="4"/>
        <v>2111</v>
      </c>
      <c r="EP3" s="17">
        <f t="shared" si="4"/>
        <v>2112</v>
      </c>
      <c r="EQ3" s="17">
        <f t="shared" si="4"/>
        <v>2113</v>
      </c>
      <c r="ER3" s="17">
        <f t="shared" si="4"/>
        <v>2114</v>
      </c>
      <c r="ES3" s="17">
        <f t="shared" si="4"/>
        <v>2115</v>
      </c>
      <c r="ET3" s="17">
        <f t="shared" si="4"/>
        <v>2116</v>
      </c>
      <c r="EU3" s="17">
        <f t="shared" si="4"/>
        <v>2117</v>
      </c>
      <c r="EV3" s="17">
        <f t="shared" si="4"/>
        <v>2118</v>
      </c>
      <c r="EW3" s="17">
        <f t="shared" si="4"/>
        <v>2119</v>
      </c>
      <c r="EX3" s="17">
        <f t="shared" si="4"/>
        <v>2120</v>
      </c>
      <c r="EY3" s="17">
        <f t="shared" si="4"/>
        <v>2121</v>
      </c>
      <c r="EZ3" s="17">
        <f t="shared" si="4"/>
        <v>2122</v>
      </c>
      <c r="FA3" s="17">
        <f t="shared" si="4"/>
        <v>2123</v>
      </c>
      <c r="FB3" s="17">
        <f t="shared" si="4"/>
        <v>2124</v>
      </c>
      <c r="FC3" s="17">
        <f t="shared" si="4"/>
        <v>2125</v>
      </c>
      <c r="FD3" s="17">
        <f t="shared" si="4"/>
        <v>2126</v>
      </c>
      <c r="FE3" s="17">
        <f t="shared" si="4"/>
        <v>2127</v>
      </c>
      <c r="FF3" s="17">
        <f t="shared" si="4"/>
        <v>2128</v>
      </c>
      <c r="FG3" s="17">
        <f t="shared" si="4"/>
        <v>2129</v>
      </c>
      <c r="FH3" s="17">
        <f t="shared" si="4"/>
        <v>2130</v>
      </c>
      <c r="FI3" s="17">
        <f t="shared" si="4"/>
        <v>2131</v>
      </c>
      <c r="FJ3" s="17">
        <f t="shared" si="4"/>
        <v>2132</v>
      </c>
      <c r="FK3" s="17">
        <f t="shared" si="4"/>
        <v>2133</v>
      </c>
      <c r="FL3" s="17">
        <f t="shared" si="4"/>
        <v>2134</v>
      </c>
      <c r="FM3" s="17">
        <f t="shared" si="4"/>
        <v>2135</v>
      </c>
      <c r="FN3" s="17">
        <f t="shared" si="4"/>
        <v>2136</v>
      </c>
      <c r="FO3" s="17">
        <f t="shared" si="4"/>
        <v>2137</v>
      </c>
      <c r="FP3" s="17">
        <f t="shared" si="4"/>
        <v>2138</v>
      </c>
      <c r="FQ3" s="17">
        <f t="shared" si="4"/>
        <v>2139</v>
      </c>
      <c r="FR3" s="17">
        <f t="shared" si="4"/>
        <v>2140</v>
      </c>
      <c r="FS3" s="17">
        <f t="shared" si="4"/>
        <v>2141</v>
      </c>
      <c r="FT3" s="17">
        <f t="shared" si="4"/>
        <v>2142</v>
      </c>
      <c r="FU3" s="17">
        <f t="shared" si="4"/>
        <v>2143</v>
      </c>
      <c r="FV3" s="17">
        <f t="shared" si="4"/>
        <v>2144</v>
      </c>
      <c r="FW3" s="17">
        <f t="shared" si="4"/>
        <v>2145</v>
      </c>
      <c r="FX3" s="17">
        <f t="shared" si="4"/>
        <v>2146</v>
      </c>
      <c r="FY3" s="17">
        <f t="shared" si="4"/>
        <v>2147</v>
      </c>
      <c r="FZ3" s="17">
        <f t="shared" si="4"/>
        <v>2148</v>
      </c>
      <c r="GA3" s="17">
        <f t="shared" si="4"/>
        <v>2149</v>
      </c>
      <c r="GB3" s="17">
        <f t="shared" si="4"/>
        <v>2150</v>
      </c>
      <c r="GC3" s="17">
        <f t="shared" si="4"/>
        <v>2151</v>
      </c>
      <c r="GD3" s="17">
        <f t="shared" si="4"/>
        <v>2152</v>
      </c>
      <c r="GE3" s="17">
        <f t="shared" si="4"/>
        <v>2153</v>
      </c>
      <c r="GF3" s="17">
        <f t="shared" si="4"/>
        <v>2154</v>
      </c>
      <c r="GG3" s="17">
        <f t="shared" si="4"/>
        <v>2155</v>
      </c>
      <c r="GH3" s="17">
        <f t="shared" si="4"/>
        <v>2156</v>
      </c>
      <c r="GI3" s="17">
        <f t="shared" si="4"/>
        <v>2157</v>
      </c>
      <c r="GJ3" s="17">
        <f t="shared" si="4"/>
        <v>2158</v>
      </c>
      <c r="GK3" s="17">
        <f t="shared" si="4"/>
        <v>2159</v>
      </c>
      <c r="GL3" s="17">
        <f t="shared" si="4"/>
        <v>2160</v>
      </c>
      <c r="GM3" s="17">
        <f t="shared" si="4"/>
        <v>2161</v>
      </c>
      <c r="GN3" s="17">
        <f t="shared" si="4"/>
        <v>2162</v>
      </c>
      <c r="GO3" s="17">
        <f t="shared" ref="GO3:IZ3" si="5">+GN3+1</f>
        <v>2163</v>
      </c>
      <c r="GP3" s="17">
        <f t="shared" si="5"/>
        <v>2164</v>
      </c>
      <c r="GQ3" s="17">
        <f t="shared" si="5"/>
        <v>2165</v>
      </c>
      <c r="GR3" s="17">
        <f t="shared" si="5"/>
        <v>2166</v>
      </c>
      <c r="GS3" s="17">
        <f t="shared" si="5"/>
        <v>2167</v>
      </c>
      <c r="GT3" s="17">
        <f t="shared" si="5"/>
        <v>2168</v>
      </c>
      <c r="GU3" s="17">
        <f t="shared" si="5"/>
        <v>2169</v>
      </c>
      <c r="GV3" s="17">
        <f t="shared" si="5"/>
        <v>2170</v>
      </c>
      <c r="GW3" s="17">
        <f t="shared" si="5"/>
        <v>2171</v>
      </c>
      <c r="GX3" s="17">
        <f t="shared" si="5"/>
        <v>2172</v>
      </c>
      <c r="GY3" s="17">
        <f t="shared" si="5"/>
        <v>2173</v>
      </c>
      <c r="GZ3" s="17">
        <f t="shared" si="5"/>
        <v>2174</v>
      </c>
      <c r="HA3" s="17">
        <f t="shared" si="5"/>
        <v>2175</v>
      </c>
      <c r="HB3" s="17">
        <f t="shared" si="5"/>
        <v>2176</v>
      </c>
      <c r="HC3" s="17">
        <f t="shared" si="5"/>
        <v>2177</v>
      </c>
      <c r="HD3" s="17">
        <f t="shared" si="5"/>
        <v>2178</v>
      </c>
      <c r="HE3" s="17">
        <f t="shared" si="5"/>
        <v>2179</v>
      </c>
      <c r="HF3" s="17">
        <f t="shared" si="5"/>
        <v>2180</v>
      </c>
      <c r="HG3" s="17">
        <f t="shared" si="5"/>
        <v>2181</v>
      </c>
      <c r="HH3" s="17">
        <f t="shared" si="5"/>
        <v>2182</v>
      </c>
      <c r="HI3" s="17">
        <f t="shared" si="5"/>
        <v>2183</v>
      </c>
      <c r="HJ3" s="17">
        <f t="shared" si="5"/>
        <v>2184</v>
      </c>
      <c r="HK3" s="17">
        <f t="shared" si="5"/>
        <v>2185</v>
      </c>
      <c r="HL3" s="17">
        <f t="shared" si="5"/>
        <v>2186</v>
      </c>
      <c r="HM3" s="17">
        <f t="shared" si="5"/>
        <v>2187</v>
      </c>
      <c r="HN3" s="17">
        <f t="shared" si="5"/>
        <v>2188</v>
      </c>
      <c r="HO3" s="17">
        <f t="shared" si="5"/>
        <v>2189</v>
      </c>
      <c r="HP3" s="17">
        <f t="shared" si="5"/>
        <v>2190</v>
      </c>
      <c r="HQ3" s="17">
        <f t="shared" si="5"/>
        <v>2191</v>
      </c>
      <c r="HR3" s="17">
        <f t="shared" si="5"/>
        <v>2192</v>
      </c>
      <c r="HS3" s="17">
        <f t="shared" si="5"/>
        <v>2193</v>
      </c>
      <c r="HT3" s="17">
        <f t="shared" si="5"/>
        <v>2194</v>
      </c>
      <c r="HU3" s="17">
        <f t="shared" si="5"/>
        <v>2195</v>
      </c>
      <c r="HV3" s="17">
        <f t="shared" si="5"/>
        <v>2196</v>
      </c>
      <c r="HW3" s="17">
        <f t="shared" si="5"/>
        <v>2197</v>
      </c>
      <c r="HX3" s="17">
        <f t="shared" si="5"/>
        <v>2198</v>
      </c>
      <c r="HY3" s="17">
        <f t="shared" si="5"/>
        <v>2199</v>
      </c>
      <c r="HZ3" s="17">
        <f t="shared" si="5"/>
        <v>2200</v>
      </c>
      <c r="IA3" s="17">
        <f t="shared" si="5"/>
        <v>2201</v>
      </c>
      <c r="IB3" s="17">
        <f t="shared" si="5"/>
        <v>2202</v>
      </c>
      <c r="IC3" s="17">
        <f t="shared" si="5"/>
        <v>2203</v>
      </c>
      <c r="ID3" s="17">
        <f t="shared" si="5"/>
        <v>2204</v>
      </c>
      <c r="IE3" s="17">
        <f t="shared" si="5"/>
        <v>2205</v>
      </c>
      <c r="IF3" s="17">
        <f t="shared" si="5"/>
        <v>2206</v>
      </c>
      <c r="IG3" s="17">
        <f t="shared" si="5"/>
        <v>2207</v>
      </c>
      <c r="IH3" s="17">
        <f t="shared" si="5"/>
        <v>2208</v>
      </c>
      <c r="II3" s="17">
        <f t="shared" si="5"/>
        <v>2209</v>
      </c>
      <c r="IJ3" s="17">
        <f t="shared" si="5"/>
        <v>2210</v>
      </c>
      <c r="IK3" s="17">
        <f t="shared" si="5"/>
        <v>2211</v>
      </c>
      <c r="IL3" s="17">
        <f t="shared" si="5"/>
        <v>2212</v>
      </c>
      <c r="IM3" s="17">
        <f t="shared" si="5"/>
        <v>2213</v>
      </c>
      <c r="IN3" s="17">
        <f t="shared" si="5"/>
        <v>2214</v>
      </c>
      <c r="IO3" s="17">
        <f t="shared" si="5"/>
        <v>2215</v>
      </c>
      <c r="IP3" s="17">
        <f t="shared" si="5"/>
        <v>2216</v>
      </c>
      <c r="IQ3" s="17">
        <f t="shared" si="5"/>
        <v>2217</v>
      </c>
      <c r="IR3" s="17">
        <f t="shared" si="5"/>
        <v>2218</v>
      </c>
      <c r="IS3" s="17">
        <f t="shared" si="5"/>
        <v>2219</v>
      </c>
      <c r="IT3" s="17">
        <f t="shared" si="5"/>
        <v>2220</v>
      </c>
      <c r="IU3" s="17">
        <f t="shared" si="5"/>
        <v>2221</v>
      </c>
      <c r="IV3" s="17">
        <f t="shared" si="5"/>
        <v>2222</v>
      </c>
      <c r="IW3" s="17">
        <f t="shared" si="5"/>
        <v>2223</v>
      </c>
      <c r="IX3" s="17">
        <f t="shared" si="5"/>
        <v>2224</v>
      </c>
      <c r="IY3" s="17">
        <f t="shared" si="5"/>
        <v>2225</v>
      </c>
      <c r="IZ3" s="17">
        <f t="shared" si="5"/>
        <v>2226</v>
      </c>
      <c r="JA3" s="17">
        <f t="shared" ref="JA3:JG3" si="6">+IZ3+1</f>
        <v>2227</v>
      </c>
      <c r="JB3" s="17">
        <f t="shared" si="6"/>
        <v>2228</v>
      </c>
      <c r="JC3" s="17">
        <f t="shared" si="6"/>
        <v>2229</v>
      </c>
      <c r="JD3" s="17">
        <f t="shared" si="6"/>
        <v>2230</v>
      </c>
      <c r="JE3" s="17">
        <f t="shared" si="6"/>
        <v>2231</v>
      </c>
      <c r="JF3" s="17">
        <f t="shared" si="6"/>
        <v>2232</v>
      </c>
      <c r="JG3" s="17">
        <f t="shared" si="6"/>
        <v>2233</v>
      </c>
    </row>
    <row r="4" spans="1:267">
      <c r="B4" s="14" t="s">
        <v>86</v>
      </c>
      <c r="C4" s="19">
        <v>57</v>
      </c>
      <c r="D4" s="19">
        <v>50</v>
      </c>
      <c r="E4" s="19">
        <v>38</v>
      </c>
      <c r="F4" s="19"/>
      <c r="G4" s="19">
        <v>35</v>
      </c>
      <c r="H4" s="19">
        <v>34</v>
      </c>
      <c r="I4" s="19">
        <v>28</v>
      </c>
      <c r="J4" s="19"/>
      <c r="K4" s="11">
        <v>15</v>
      </c>
      <c r="L4" s="11">
        <v>20</v>
      </c>
      <c r="M4" s="11">
        <v>25</v>
      </c>
      <c r="N4" s="11">
        <v>80</v>
      </c>
      <c r="O4" s="19">
        <v>19</v>
      </c>
      <c r="P4" s="19">
        <v>37</v>
      </c>
      <c r="Q4" s="19">
        <v>44</v>
      </c>
      <c r="R4" s="19">
        <v>61</v>
      </c>
      <c r="S4" s="19">
        <v>40</v>
      </c>
      <c r="T4" s="11">
        <v>56</v>
      </c>
      <c r="U4" s="11">
        <v>41</v>
      </c>
      <c r="V4" s="11">
        <v>78</v>
      </c>
      <c r="W4" s="11">
        <v>51</v>
      </c>
      <c r="X4" s="11">
        <v>42</v>
      </c>
      <c r="AS4" s="20"/>
      <c r="AT4" s="20"/>
      <c r="AU4" s="20"/>
      <c r="AV4" s="20"/>
      <c r="AW4" s="20"/>
      <c r="AX4" s="20"/>
      <c r="AY4" s="20"/>
      <c r="AZ4" s="21"/>
      <c r="BA4" s="21"/>
      <c r="BB4" s="21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</row>
    <row r="5" spans="1:267">
      <c r="B5" s="9" t="s">
        <v>87</v>
      </c>
      <c r="C5" s="11">
        <v>-1</v>
      </c>
      <c r="D5" s="11">
        <v>-2</v>
      </c>
      <c r="E5" s="11">
        <v>-3</v>
      </c>
      <c r="G5" s="11">
        <v>-1</v>
      </c>
      <c r="H5" s="11">
        <v>-3</v>
      </c>
      <c r="I5" s="11">
        <v>-32</v>
      </c>
      <c r="K5" s="11">
        <v>-2</v>
      </c>
      <c r="L5" s="11">
        <v>-1</v>
      </c>
      <c r="M5" s="11">
        <v>-1</v>
      </c>
      <c r="N5" s="11">
        <v>-3</v>
      </c>
      <c r="O5" s="11">
        <v>-2</v>
      </c>
      <c r="P5" s="11">
        <v>-3</v>
      </c>
      <c r="Q5" s="11">
        <v>-3</v>
      </c>
      <c r="R5" s="11">
        <v>-1</v>
      </c>
      <c r="S5" s="11">
        <v>-5</v>
      </c>
      <c r="T5" s="11">
        <v>-5</v>
      </c>
      <c r="U5" s="11">
        <v>0</v>
      </c>
      <c r="V5" s="11">
        <v>-4</v>
      </c>
      <c r="W5" s="11">
        <v>-1</v>
      </c>
      <c r="X5" s="11">
        <v>-1</v>
      </c>
      <c r="AS5" s="20"/>
      <c r="AT5" s="20"/>
      <c r="AU5" s="20"/>
      <c r="AV5" s="20"/>
      <c r="AW5" s="20"/>
      <c r="AX5" s="20"/>
      <c r="AY5" s="20"/>
      <c r="AZ5" s="22"/>
      <c r="BA5" s="22"/>
      <c r="BB5" s="22"/>
      <c r="BC5" s="20"/>
      <c r="BD5" s="20"/>
      <c r="BE5" s="20"/>
      <c r="BF5" s="20"/>
      <c r="BG5" s="20">
        <v>777.77777777777783</v>
      </c>
      <c r="BH5" s="20">
        <f>300*9</f>
        <v>2700</v>
      </c>
      <c r="BI5" s="20"/>
      <c r="BJ5" s="20"/>
      <c r="BK5" s="20"/>
      <c r="BL5" s="20"/>
      <c r="BM5" s="20"/>
      <c r="BN5" s="20"/>
      <c r="BO5" s="20"/>
    </row>
    <row r="6" spans="1:267">
      <c r="B6" s="9" t="s">
        <v>88</v>
      </c>
      <c r="D6" s="11">
        <v>0</v>
      </c>
      <c r="E6" s="11">
        <v>0</v>
      </c>
      <c r="G6" s="11">
        <v>-1</v>
      </c>
      <c r="H6" s="11">
        <v>-5</v>
      </c>
      <c r="I6" s="11">
        <v>0</v>
      </c>
      <c r="K6" s="11">
        <v>0</v>
      </c>
      <c r="L6" s="11">
        <v>0</v>
      </c>
      <c r="M6" s="11">
        <v>-1</v>
      </c>
      <c r="N6" s="11">
        <v>-1</v>
      </c>
      <c r="O6" s="11">
        <v>-1</v>
      </c>
      <c r="P6" s="11">
        <v>-3</v>
      </c>
      <c r="Q6" s="11">
        <v>0</v>
      </c>
      <c r="R6" s="11">
        <v>-2</v>
      </c>
      <c r="S6" s="11">
        <v>0</v>
      </c>
      <c r="T6" s="11">
        <v>-1</v>
      </c>
      <c r="U6" s="11">
        <v>-2</v>
      </c>
      <c r="V6" s="11">
        <v>0</v>
      </c>
      <c r="W6" s="11">
        <v>-2</v>
      </c>
      <c r="X6" s="11">
        <v>-3</v>
      </c>
      <c r="AS6" s="20"/>
      <c r="AT6" s="20"/>
      <c r="AU6" s="20"/>
      <c r="AV6" s="20"/>
      <c r="AW6" s="20"/>
      <c r="AX6" s="20"/>
      <c r="AY6" s="20"/>
      <c r="AZ6" s="22"/>
      <c r="BA6" s="22"/>
      <c r="BB6" s="22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267" s="19" customFormat="1">
      <c r="A7" s="23"/>
      <c r="B7" s="14" t="s">
        <v>89</v>
      </c>
      <c r="C7" s="19">
        <v>2291</v>
      </c>
      <c r="D7" s="19">
        <f>+C7+SUM(D4:D6)</f>
        <v>2339</v>
      </c>
      <c r="E7" s="19">
        <f>+D7+SUM(E4:E6)</f>
        <v>2374</v>
      </c>
      <c r="F7" s="19">
        <v>2408</v>
      </c>
      <c r="G7" s="19">
        <f>+F7+SUM(G4:G6)</f>
        <v>2441</v>
      </c>
      <c r="H7" s="19">
        <f>+G7+SUM(H4:H6)</f>
        <v>2467</v>
      </c>
      <c r="I7" s="19">
        <f>+H7+SUM(I4:I6)</f>
        <v>2463</v>
      </c>
      <c r="J7" s="19">
        <v>2491</v>
      </c>
      <c r="K7" s="19">
        <f t="shared" ref="K7:U7" si="7">+J7+SUM(K4:K6)</f>
        <v>2504</v>
      </c>
      <c r="L7" s="19">
        <f t="shared" si="7"/>
        <v>2523</v>
      </c>
      <c r="M7" s="19">
        <v>2546</v>
      </c>
      <c r="N7" s="19">
        <f t="shared" si="7"/>
        <v>2622</v>
      </c>
      <c r="O7" s="19">
        <f t="shared" si="7"/>
        <v>2638</v>
      </c>
      <c r="P7" s="19">
        <f t="shared" si="7"/>
        <v>2669</v>
      </c>
      <c r="Q7" s="19">
        <f t="shared" si="7"/>
        <v>2710</v>
      </c>
      <c r="R7" s="19">
        <f t="shared" si="7"/>
        <v>2768</v>
      </c>
      <c r="S7" s="19">
        <f t="shared" si="7"/>
        <v>2803</v>
      </c>
      <c r="T7" s="19">
        <f t="shared" si="7"/>
        <v>2853</v>
      </c>
      <c r="U7" s="19">
        <f t="shared" si="7"/>
        <v>2892</v>
      </c>
      <c r="V7" s="19">
        <f>+U7+SUM(V4:V6)</f>
        <v>2966</v>
      </c>
      <c r="W7" s="19">
        <f>+V7+SUM(W4:W6)</f>
        <v>3014</v>
      </c>
      <c r="X7" s="19">
        <f>+W7+SUM(X4:X6)</f>
        <v>3052</v>
      </c>
      <c r="Y7" s="19">
        <v>3090</v>
      </c>
      <c r="Z7" s="19">
        <v>3187</v>
      </c>
      <c r="AA7" s="19">
        <v>3224</v>
      </c>
      <c r="AB7" s="19">
        <v>3268</v>
      </c>
      <c r="AC7" s="19">
        <v>3321</v>
      </c>
      <c r="AD7" s="19">
        <v>3437</v>
      </c>
      <c r="AE7" s="19">
        <v>3479</v>
      </c>
      <c r="AM7" s="19">
        <v>489</v>
      </c>
      <c r="AN7" s="19">
        <v>581</v>
      </c>
      <c r="AO7" s="19">
        <v>704</v>
      </c>
      <c r="AP7" s="19">
        <v>837</v>
      </c>
      <c r="AQ7" s="19">
        <v>956</v>
      </c>
      <c r="AR7" s="19">
        <v>1084</v>
      </c>
      <c r="AS7" s="19">
        <v>1230</v>
      </c>
      <c r="AT7" s="19">
        <v>1410</v>
      </c>
      <c r="AU7" s="19">
        <v>1595</v>
      </c>
      <c r="AV7" s="19">
        <v>1783</v>
      </c>
      <c r="AW7" s="19">
        <v>2010</v>
      </c>
      <c r="AX7" s="19">
        <v>2250</v>
      </c>
      <c r="AY7" s="19">
        <v>2408</v>
      </c>
      <c r="AZ7" s="24">
        <v>2491</v>
      </c>
      <c r="BA7" s="25">
        <f>+N7</f>
        <v>2622</v>
      </c>
      <c r="BB7" s="25">
        <f>+R7</f>
        <v>2768</v>
      </c>
      <c r="BC7" s="19">
        <f>+V7</f>
        <v>2966</v>
      </c>
      <c r="BD7" s="19">
        <f>+Z7</f>
        <v>3187</v>
      </c>
      <c r="BE7" s="19">
        <f>+AD7</f>
        <v>3437</v>
      </c>
      <c r="BF7" s="19">
        <f t="shared" ref="BF7:BO7" si="8">+BE7+$BF$2</f>
        <v>3737</v>
      </c>
      <c r="BG7" s="19">
        <f t="shared" si="8"/>
        <v>4037</v>
      </c>
      <c r="BH7" s="19">
        <f t="shared" si="8"/>
        <v>4337</v>
      </c>
      <c r="BI7" s="19">
        <f t="shared" si="8"/>
        <v>4637</v>
      </c>
      <c r="BJ7" s="19">
        <f t="shared" si="8"/>
        <v>4937</v>
      </c>
      <c r="BK7" s="19">
        <f t="shared" si="8"/>
        <v>5237</v>
      </c>
      <c r="BL7" s="19">
        <f t="shared" si="8"/>
        <v>5537</v>
      </c>
      <c r="BM7" s="19">
        <f t="shared" si="8"/>
        <v>5837</v>
      </c>
      <c r="BN7" s="19">
        <f t="shared" si="8"/>
        <v>6137</v>
      </c>
      <c r="BO7" s="19">
        <f t="shared" si="8"/>
        <v>6437</v>
      </c>
    </row>
    <row r="8" spans="1:267" hidden="1" outlineLevel="1">
      <c r="B8" s="9" t="s">
        <v>90</v>
      </c>
      <c r="D8" s="11">
        <f t="shared" ref="D8:U8" si="9">+D7-C7</f>
        <v>48</v>
      </c>
      <c r="E8" s="11">
        <f t="shared" si="9"/>
        <v>35</v>
      </c>
      <c r="F8" s="11">
        <f t="shared" si="9"/>
        <v>34</v>
      </c>
      <c r="G8" s="11">
        <f t="shared" si="9"/>
        <v>33</v>
      </c>
      <c r="H8" s="11">
        <f t="shared" si="9"/>
        <v>26</v>
      </c>
      <c r="I8" s="11">
        <f t="shared" si="9"/>
        <v>-4</v>
      </c>
      <c r="J8" s="11">
        <f t="shared" si="9"/>
        <v>28</v>
      </c>
      <c r="K8" s="11">
        <f t="shared" si="9"/>
        <v>13</v>
      </c>
      <c r="L8" s="11">
        <f t="shared" si="9"/>
        <v>19</v>
      </c>
      <c r="M8" s="11">
        <f t="shared" si="9"/>
        <v>23</v>
      </c>
      <c r="N8" s="11">
        <f t="shared" si="9"/>
        <v>76</v>
      </c>
      <c r="O8" s="11">
        <f t="shared" si="9"/>
        <v>16</v>
      </c>
      <c r="P8" s="11">
        <f t="shared" si="9"/>
        <v>31</v>
      </c>
      <c r="Q8" s="11">
        <f t="shared" si="9"/>
        <v>41</v>
      </c>
      <c r="R8" s="11">
        <f t="shared" si="9"/>
        <v>58</v>
      </c>
      <c r="S8" s="11">
        <f t="shared" si="9"/>
        <v>35</v>
      </c>
      <c r="T8" s="11">
        <f t="shared" si="9"/>
        <v>50</v>
      </c>
      <c r="U8" s="11">
        <f t="shared" si="9"/>
        <v>39</v>
      </c>
      <c r="V8" s="11">
        <f>+V7-U7</f>
        <v>74</v>
      </c>
      <c r="W8" s="11">
        <f t="shared" ref="W8:Z8" si="10">+W7-V7</f>
        <v>48</v>
      </c>
      <c r="X8" s="11">
        <f t="shared" si="10"/>
        <v>38</v>
      </c>
      <c r="Y8" s="11">
        <f t="shared" si="10"/>
        <v>38</v>
      </c>
      <c r="Z8" s="11">
        <f t="shared" si="10"/>
        <v>97</v>
      </c>
      <c r="AN8" s="26">
        <f t="shared" ref="AN8:BA8" si="11">+AN7-AM7</f>
        <v>92</v>
      </c>
      <c r="AO8" s="26">
        <f t="shared" si="11"/>
        <v>123</v>
      </c>
      <c r="AP8" s="26">
        <f t="shared" si="11"/>
        <v>133</v>
      </c>
      <c r="AQ8" s="26">
        <f t="shared" si="11"/>
        <v>119</v>
      </c>
      <c r="AR8" s="26">
        <f>+AR7-AQ7</f>
        <v>128</v>
      </c>
      <c r="AS8" s="26">
        <f t="shared" si="11"/>
        <v>146</v>
      </c>
      <c r="AT8" s="26">
        <f t="shared" si="11"/>
        <v>180</v>
      </c>
      <c r="AU8" s="26">
        <f t="shared" si="11"/>
        <v>185</v>
      </c>
      <c r="AV8" s="26">
        <f t="shared" si="11"/>
        <v>188</v>
      </c>
      <c r="AW8" s="26">
        <f t="shared" si="11"/>
        <v>227</v>
      </c>
      <c r="AX8" s="26">
        <f t="shared" si="11"/>
        <v>240</v>
      </c>
      <c r="AY8" s="26">
        <f t="shared" si="11"/>
        <v>158</v>
      </c>
      <c r="AZ8" s="26">
        <f t="shared" si="11"/>
        <v>83</v>
      </c>
      <c r="BA8" s="26">
        <f t="shared" si="11"/>
        <v>131</v>
      </c>
      <c r="BB8" s="26">
        <f>+BB7-BA7</f>
        <v>146</v>
      </c>
      <c r="BC8" s="26">
        <f>+BC7-BB7</f>
        <v>198</v>
      </c>
      <c r="BD8" s="26">
        <f>+BD7-BC7</f>
        <v>221</v>
      </c>
      <c r="BE8" s="26">
        <f>+BE7-BD7</f>
        <v>250</v>
      </c>
      <c r="BF8" s="26">
        <f>+BF7-BE7</f>
        <v>300</v>
      </c>
      <c r="BG8" s="26">
        <f t="shared" ref="BG8:BO8" si="12">+BG7-BF7</f>
        <v>300</v>
      </c>
      <c r="BH8" s="26">
        <f t="shared" si="12"/>
        <v>300</v>
      </c>
      <c r="BI8" s="26">
        <f t="shared" si="12"/>
        <v>300</v>
      </c>
      <c r="BJ8" s="26">
        <f t="shared" si="12"/>
        <v>300</v>
      </c>
      <c r="BK8" s="26">
        <f t="shared" si="12"/>
        <v>300</v>
      </c>
      <c r="BL8" s="26">
        <f t="shared" si="12"/>
        <v>300</v>
      </c>
      <c r="BM8" s="26">
        <f t="shared" si="12"/>
        <v>300</v>
      </c>
      <c r="BN8" s="26">
        <f t="shared" si="12"/>
        <v>300</v>
      </c>
      <c r="BO8" s="26">
        <f t="shared" si="12"/>
        <v>300</v>
      </c>
    </row>
    <row r="9" spans="1:267" collapsed="1">
      <c r="B9" s="9" t="s">
        <v>91</v>
      </c>
      <c r="C9" s="11">
        <f t="shared" ref="C9:V9" si="13">+C14/C7</f>
        <v>466.53382802269749</v>
      </c>
      <c r="D9" s="11">
        <f t="shared" si="13"/>
        <v>499.96109448482258</v>
      </c>
      <c r="E9" s="11">
        <f t="shared" si="13"/>
        <v>475.17860151642799</v>
      </c>
      <c r="F9" s="11">
        <f t="shared" si="13"/>
        <v>461.00498338870432</v>
      </c>
      <c r="G9" s="11">
        <f t="shared" si="13"/>
        <v>470.46169602621876</v>
      </c>
      <c r="H9" s="11">
        <f t="shared" si="13"/>
        <v>513.38467774625053</v>
      </c>
      <c r="I9" s="11">
        <f t="shared" si="13"/>
        <v>497.3637840032481</v>
      </c>
      <c r="J9" s="11">
        <f t="shared" si="13"/>
        <v>491.79486150140508</v>
      </c>
      <c r="K9" s="11">
        <f t="shared" si="13"/>
        <v>522.45087859424916</v>
      </c>
      <c r="L9" s="11">
        <f t="shared" si="13"/>
        <v>568.4625445897741</v>
      </c>
      <c r="M9" s="11">
        <f t="shared" si="13"/>
        <v>551.33424980361349</v>
      </c>
      <c r="N9" s="11">
        <f t="shared" si="13"/>
        <v>549.2845156369184</v>
      </c>
      <c r="O9" s="11">
        <f t="shared" si="13"/>
        <v>534.78847611827143</v>
      </c>
      <c r="P9" s="11">
        <f t="shared" si="13"/>
        <v>511.32933683027352</v>
      </c>
      <c r="Q9" s="11">
        <f t="shared" si="13"/>
        <v>590.92767527675278</v>
      </c>
      <c r="R9" s="11">
        <f t="shared" si="13"/>
        <v>580.82008670520236</v>
      </c>
      <c r="S9" s="11">
        <f t="shared" si="13"/>
        <v>621.32536567962893</v>
      </c>
      <c r="T9" s="11">
        <f t="shared" si="13"/>
        <v>663.35015772870668</v>
      </c>
      <c r="U9" s="11">
        <f t="shared" si="13"/>
        <v>675.07434301521437</v>
      </c>
      <c r="V9" s="11">
        <f t="shared" si="13"/>
        <v>661.03607552258939</v>
      </c>
      <c r="W9" s="11">
        <f>+S9*1.1</f>
        <v>683.45790224759185</v>
      </c>
      <c r="X9" s="11">
        <f t="shared" ref="X9:AE9" si="14">+T9*1.1</f>
        <v>729.68517350157742</v>
      </c>
      <c r="Y9" s="11">
        <f t="shared" si="14"/>
        <v>742.58177731673584</v>
      </c>
      <c r="Z9" s="11">
        <f t="shared" si="14"/>
        <v>727.13968307484834</v>
      </c>
      <c r="AA9" s="11">
        <f t="shared" si="14"/>
        <v>751.80369247235114</v>
      </c>
      <c r="AB9" s="11">
        <f t="shared" si="14"/>
        <v>802.65369085173518</v>
      </c>
      <c r="AC9" s="11">
        <f t="shared" si="14"/>
        <v>816.83995504840948</v>
      </c>
      <c r="AD9" s="11">
        <f t="shared" si="14"/>
        <v>799.85365138233328</v>
      </c>
      <c r="AE9" s="11">
        <f t="shared" si="14"/>
        <v>826.98406171958629</v>
      </c>
      <c r="AN9" s="26">
        <f t="shared" ref="AN9:BE9" si="15">+AN14/AN7</f>
        <v>1416.4027538726334</v>
      </c>
      <c r="AO9" s="26">
        <f t="shared" si="15"/>
        <v>1542.3039772727273</v>
      </c>
      <c r="AP9" s="26">
        <f t="shared" si="15"/>
        <v>1591.3596176821984</v>
      </c>
      <c r="AQ9" s="26">
        <f t="shared" si="15"/>
        <v>1588.3023012552301</v>
      </c>
      <c r="AR9" s="26">
        <f t="shared" si="15"/>
        <v>1693.6549815498156</v>
      </c>
      <c r="AS9" s="26">
        <f t="shared" si="15"/>
        <v>1845.1609756097562</v>
      </c>
      <c r="AT9" s="26">
        <f t="shared" si="15"/>
        <v>1937.0382978723405</v>
      </c>
      <c r="AU9" s="26">
        <f t="shared" si="15"/>
        <v>2015.4175548589342</v>
      </c>
      <c r="AV9" s="26">
        <f t="shared" si="15"/>
        <v>2304.1329220415032</v>
      </c>
      <c r="AW9" s="26">
        <f t="shared" si="15"/>
        <v>2239.4144278606964</v>
      </c>
      <c r="AX9" s="26">
        <f t="shared" si="15"/>
        <v>1735.2817777777777</v>
      </c>
      <c r="AY9" s="26">
        <f t="shared" si="15"/>
        <v>1858.9750830564783</v>
      </c>
      <c r="AZ9" s="26">
        <f t="shared" si="15"/>
        <v>1953.0248896025691</v>
      </c>
      <c r="BA9" s="26">
        <f t="shared" si="15"/>
        <v>2130.5755148741418</v>
      </c>
      <c r="BB9" s="26">
        <f t="shared" si="15"/>
        <v>2162.0787572254335</v>
      </c>
      <c r="BC9" s="26">
        <f t="shared" si="15"/>
        <v>2544.5249494268373</v>
      </c>
      <c r="BD9" s="26">
        <f t="shared" si="15"/>
        <v>2709.3354251647315</v>
      </c>
      <c r="BE9" s="26">
        <f t="shared" si="15"/>
        <v>2872.1702065755021</v>
      </c>
      <c r="BF9" s="11">
        <f>+BE9*1.06</f>
        <v>3044.5004189700326</v>
      </c>
      <c r="BG9" s="11">
        <f t="shared" ref="BG9:BO9" si="16">+BF9*1.06</f>
        <v>3227.1704441082347</v>
      </c>
      <c r="BH9" s="11">
        <f t="shared" si="16"/>
        <v>3420.8006707547288</v>
      </c>
      <c r="BI9" s="11">
        <f t="shared" si="16"/>
        <v>3626.0487110000126</v>
      </c>
      <c r="BJ9" s="11">
        <f t="shared" si="16"/>
        <v>3843.6116336600135</v>
      </c>
      <c r="BK9" s="11">
        <f t="shared" si="16"/>
        <v>4074.2283316796143</v>
      </c>
      <c r="BL9" s="11">
        <f t="shared" si="16"/>
        <v>4318.6820315803916</v>
      </c>
      <c r="BM9" s="11">
        <f t="shared" si="16"/>
        <v>4577.802953475215</v>
      </c>
      <c r="BN9" s="11">
        <f t="shared" si="16"/>
        <v>4852.471130683728</v>
      </c>
      <c r="BO9" s="11">
        <f t="shared" si="16"/>
        <v>5143.6193985247519</v>
      </c>
    </row>
    <row r="10" spans="1:267"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8"/>
      <c r="BA10" s="28"/>
      <c r="BB10" s="28"/>
      <c r="BC10" s="28"/>
      <c r="BD10" s="28"/>
      <c r="BE10" s="28"/>
    </row>
    <row r="11" spans="1:267" s="31" customFormat="1">
      <c r="A11" s="29"/>
      <c r="B11" s="30" t="s">
        <v>92</v>
      </c>
      <c r="AD11" s="31">
        <v>7.9000000000000001E-2</v>
      </c>
      <c r="AE11" s="31">
        <v>7.0000000000000007E-2</v>
      </c>
      <c r="AY11" s="32"/>
      <c r="AZ11" s="33"/>
      <c r="BA11" s="33"/>
      <c r="BB11" s="33"/>
      <c r="BC11" s="33"/>
      <c r="BF11" s="31">
        <v>0.08</v>
      </c>
    </row>
    <row r="12" spans="1:267">
      <c r="B12" s="9" t="s">
        <v>93</v>
      </c>
      <c r="M12" s="11">
        <v>1397333</v>
      </c>
      <c r="O12" s="11">
        <v>1402117</v>
      </c>
      <c r="P12" s="11">
        <v>0</v>
      </c>
      <c r="Q12" s="11">
        <v>1581335</v>
      </c>
      <c r="R12" s="11">
        <f t="shared" ref="R12:R28" si="17">+BB12-SUM(O12:Q12)</f>
        <v>2937093</v>
      </c>
      <c r="S12" s="11">
        <v>1715990</v>
      </c>
      <c r="T12" s="11">
        <v>1869365</v>
      </c>
      <c r="U12" s="11">
        <v>1932409</v>
      </c>
      <c r="V12" s="11">
        <v>1939405</v>
      </c>
      <c r="W12" s="11">
        <v>1998956</v>
      </c>
      <c r="X12" s="11">
        <v>2192802</v>
      </c>
      <c r="Y12" s="11">
        <v>2202336</v>
      </c>
      <c r="Z12" s="34">
        <f t="shared" ref="Z12:Z28" si="18">+BD12-SUM(W12:Y12)</f>
        <v>2163907</v>
      </c>
      <c r="AA12" s="11">
        <v>2351009</v>
      </c>
      <c r="AB12" s="11">
        <v>2497509</v>
      </c>
      <c r="AC12" s="11">
        <v>2456039</v>
      </c>
      <c r="AD12" s="11">
        <f>+BE12-SUM(AA12:AC12)</f>
        <v>2499567</v>
      </c>
      <c r="AE12" s="11">
        <v>2684447</v>
      </c>
      <c r="AZ12" s="11">
        <v>4860626</v>
      </c>
      <c r="BA12" s="11">
        <v>5561036</v>
      </c>
      <c r="BB12" s="11">
        <v>5920545</v>
      </c>
      <c r="BD12" s="11">
        <v>8558001</v>
      </c>
      <c r="BE12" s="11">
        <v>9804124</v>
      </c>
    </row>
    <row r="13" spans="1:267">
      <c r="B13" s="9" t="s">
        <v>94</v>
      </c>
      <c r="M13" s="11">
        <v>6364</v>
      </c>
      <c r="O13" s="11">
        <v>8655</v>
      </c>
      <c r="P13" s="11">
        <v>0</v>
      </c>
      <c r="Q13" s="11">
        <v>20079</v>
      </c>
      <c r="R13" s="11">
        <f t="shared" si="17"/>
        <v>35355</v>
      </c>
      <c r="S13" s="11">
        <v>25585</v>
      </c>
      <c r="T13" s="11">
        <v>23173</v>
      </c>
      <c r="U13" s="11">
        <v>19906</v>
      </c>
      <c r="V13" s="11">
        <v>21228</v>
      </c>
      <c r="W13" s="11">
        <v>21583</v>
      </c>
      <c r="X13" s="11">
        <v>20537</v>
      </c>
      <c r="Y13" s="11">
        <v>17839</v>
      </c>
      <c r="Z13" s="34">
        <f t="shared" si="18"/>
        <v>16692</v>
      </c>
      <c r="AA13" s="11">
        <v>17571</v>
      </c>
      <c r="AB13" s="11">
        <v>17292</v>
      </c>
      <c r="AC13" s="11">
        <v>15909</v>
      </c>
      <c r="AD13" s="11">
        <f>+BE13-SUM(AA13:AC13)</f>
        <v>16753</v>
      </c>
      <c r="AE13" s="11">
        <v>17401</v>
      </c>
      <c r="AZ13" s="11">
        <v>4359</v>
      </c>
      <c r="BA13" s="11">
        <v>25333</v>
      </c>
      <c r="BB13" s="11">
        <v>64089</v>
      </c>
      <c r="BD13" s="11">
        <v>76651</v>
      </c>
      <c r="BE13" s="11">
        <v>67525</v>
      </c>
    </row>
    <row r="14" spans="1:267" s="19" customFormat="1">
      <c r="A14" s="23"/>
      <c r="B14" s="14" t="s">
        <v>95</v>
      </c>
      <c r="C14" s="19">
        <v>1068829</v>
      </c>
      <c r="D14" s="19">
        <v>1169409</v>
      </c>
      <c r="E14" s="19">
        <v>1128074</v>
      </c>
      <c r="F14" s="19">
        <f t="shared" ref="F14:F28" si="19">+AY14-SUM(C14:E14)</f>
        <v>1110100</v>
      </c>
      <c r="G14" s="19">
        <v>1148397</v>
      </c>
      <c r="H14" s="19">
        <v>1266520</v>
      </c>
      <c r="I14" s="19">
        <v>1225007</v>
      </c>
      <c r="J14" s="19">
        <f>+AZ14-SUM(G14:I14)</f>
        <v>1225061</v>
      </c>
      <c r="K14" s="19">
        <v>1308217</v>
      </c>
      <c r="L14" s="19">
        <v>1434231</v>
      </c>
      <c r="M14" s="19">
        <f>+SUM(M12:M13)</f>
        <v>1403697</v>
      </c>
      <c r="N14" s="19">
        <f t="shared" ref="N14:N28" si="20">+BA14-SUM(K14:M14)</f>
        <v>1440224</v>
      </c>
      <c r="O14" s="19">
        <f>+SUM(O12:O13)</f>
        <v>1410772</v>
      </c>
      <c r="P14" s="19">
        <v>1364738</v>
      </c>
      <c r="Q14" s="19">
        <f>+SUM(Q12:Q13)</f>
        <v>1601414</v>
      </c>
      <c r="R14" s="19">
        <f t="shared" si="17"/>
        <v>1607710</v>
      </c>
      <c r="S14" s="19">
        <f t="shared" ref="S14:Y14" si="21">+SUM(S12:S13)</f>
        <v>1741575</v>
      </c>
      <c r="T14" s="19">
        <f t="shared" si="21"/>
        <v>1892538</v>
      </c>
      <c r="U14" s="19">
        <f t="shared" si="21"/>
        <v>1952315</v>
      </c>
      <c r="V14" s="19">
        <f t="shared" si="21"/>
        <v>1960633</v>
      </c>
      <c r="W14" s="19">
        <f t="shared" si="21"/>
        <v>2020539</v>
      </c>
      <c r="X14" s="19">
        <f t="shared" si="21"/>
        <v>2213339</v>
      </c>
      <c r="Y14" s="19">
        <f t="shared" si="21"/>
        <v>2220175</v>
      </c>
      <c r="Z14" s="35">
        <f t="shared" si="18"/>
        <v>2180599</v>
      </c>
      <c r="AA14" s="19">
        <f t="shared" ref="AA14:AC14" si="22">+SUM(AA12:AA13)</f>
        <v>2368580</v>
      </c>
      <c r="AB14" s="19">
        <f t="shared" si="22"/>
        <v>2514801</v>
      </c>
      <c r="AC14" s="19">
        <f t="shared" si="22"/>
        <v>2471948</v>
      </c>
      <c r="AD14" s="19">
        <f t="shared" ref="AD14:AD28" si="23">+BE14-SUM(AA14:AC14)</f>
        <v>2516320</v>
      </c>
      <c r="AE14" s="19">
        <f t="shared" ref="AE14" si="24">+SUM(AE12:AE13)</f>
        <v>2701848</v>
      </c>
      <c r="AM14" s="19">
        <v>627695</v>
      </c>
      <c r="AN14" s="19">
        <v>822930</v>
      </c>
      <c r="AO14" s="19">
        <v>1085782</v>
      </c>
      <c r="AP14" s="19">
        <v>1331968</v>
      </c>
      <c r="AQ14" s="19">
        <v>1518417</v>
      </c>
      <c r="AR14" s="19">
        <v>1835922</v>
      </c>
      <c r="AS14" s="19">
        <v>2269548</v>
      </c>
      <c r="AT14" s="19">
        <v>2731224</v>
      </c>
      <c r="AU14" s="19">
        <v>3214591</v>
      </c>
      <c r="AV14" s="19">
        <v>4108269</v>
      </c>
      <c r="AW14" s="19">
        <v>4501223</v>
      </c>
      <c r="AX14" s="19">
        <v>3904384</v>
      </c>
      <c r="AY14" s="19">
        <v>4476412</v>
      </c>
      <c r="AZ14" s="19">
        <f>+SUM(AZ12:AZ13)</f>
        <v>4864985</v>
      </c>
      <c r="BA14" s="19">
        <f>+SUM(BA12:BA13)</f>
        <v>5586369</v>
      </c>
      <c r="BB14" s="19">
        <f>+SUM(BB12:BB13)</f>
        <v>5984634</v>
      </c>
      <c r="BC14" s="19">
        <f>SUM(S14:V14)</f>
        <v>7547061</v>
      </c>
      <c r="BD14" s="19">
        <f>+BD12+BD13</f>
        <v>8634652</v>
      </c>
      <c r="BE14" s="19">
        <f>+BE12+BE13</f>
        <v>9871649</v>
      </c>
      <c r="BF14" s="19">
        <f t="shared" ref="BF14:BO14" si="25">+BF7*BF9</f>
        <v>11377298.065691011</v>
      </c>
      <c r="BG14" s="19">
        <f t="shared" si="25"/>
        <v>13028087.082864944</v>
      </c>
      <c r="BH14" s="19">
        <f t="shared" si="25"/>
        <v>14836012.509063259</v>
      </c>
      <c r="BI14" s="19">
        <f t="shared" si="25"/>
        <v>16813987.872907057</v>
      </c>
      <c r="BJ14" s="19">
        <f t="shared" si="25"/>
        <v>18975910.635379486</v>
      </c>
      <c r="BK14" s="19">
        <f t="shared" si="25"/>
        <v>21336733.773006141</v>
      </c>
      <c r="BL14" s="19">
        <f t="shared" si="25"/>
        <v>23912542.408860628</v>
      </c>
      <c r="BM14" s="19">
        <f t="shared" si="25"/>
        <v>26720635.839434829</v>
      </c>
      <c r="BN14" s="19">
        <f t="shared" si="25"/>
        <v>29779615.329006039</v>
      </c>
      <c r="BO14" s="19">
        <f t="shared" si="25"/>
        <v>33109478.068303827</v>
      </c>
    </row>
    <row r="15" spans="1:267">
      <c r="B15" s="9" t="s">
        <v>96</v>
      </c>
      <c r="C15" s="11">
        <v>361795</v>
      </c>
      <c r="D15" s="11">
        <v>399152</v>
      </c>
      <c r="E15" s="11">
        <v>394567</v>
      </c>
      <c r="F15" s="11">
        <f t="shared" si="19"/>
        <v>379914</v>
      </c>
      <c r="G15" s="11">
        <v>371915</v>
      </c>
      <c r="H15" s="11">
        <v>413096</v>
      </c>
      <c r="I15" s="11">
        <v>409213</v>
      </c>
      <c r="J15" s="11">
        <f t="shared" ref="J15:J28" si="26">+AZ15-SUM(G15:I15)</f>
        <v>406536</v>
      </c>
      <c r="K15" s="11">
        <v>421367</v>
      </c>
      <c r="L15" s="11">
        <v>483284</v>
      </c>
      <c r="M15" s="11">
        <v>466496</v>
      </c>
      <c r="N15" s="11">
        <f t="shared" si="20"/>
        <v>476769</v>
      </c>
      <c r="O15" s="11">
        <v>462299</v>
      </c>
      <c r="P15" s="11">
        <v>454756</v>
      </c>
      <c r="Q15" s="11">
        <v>517261</v>
      </c>
      <c r="R15" s="11">
        <f t="shared" si="17"/>
        <v>498450</v>
      </c>
      <c r="S15" s="11">
        <v>522671</v>
      </c>
      <c r="T15" s="11">
        <v>574478</v>
      </c>
      <c r="U15" s="11">
        <v>591332</v>
      </c>
      <c r="V15" s="11">
        <v>620150</v>
      </c>
      <c r="W15" s="11">
        <v>626926</v>
      </c>
      <c r="X15" s="11">
        <v>673928</v>
      </c>
      <c r="Y15" s="11">
        <v>662540</v>
      </c>
      <c r="Z15" s="34">
        <f t="shared" si="18"/>
        <v>638851</v>
      </c>
      <c r="AA15" s="11">
        <v>692559</v>
      </c>
      <c r="AB15" s="11">
        <v>738664</v>
      </c>
      <c r="AC15" s="11">
        <v>734186</v>
      </c>
      <c r="AD15" s="11">
        <f t="shared" si="23"/>
        <v>747155</v>
      </c>
      <c r="AE15" s="11">
        <v>779076</v>
      </c>
      <c r="AS15" s="11">
        <v>738720</v>
      </c>
      <c r="AT15" s="11">
        <v>891003</v>
      </c>
      <c r="AU15" s="11">
        <v>1073514</v>
      </c>
      <c r="AV15" s="11">
        <v>1420994</v>
      </c>
      <c r="AW15" s="11">
        <v>1503835</v>
      </c>
      <c r="AX15" s="11">
        <v>1365580</v>
      </c>
      <c r="AY15" s="11">
        <v>1535428</v>
      </c>
      <c r="AZ15" s="11">
        <v>1600760</v>
      </c>
      <c r="BA15" s="11">
        <v>1847916</v>
      </c>
      <c r="BB15" s="11">
        <v>1932766</v>
      </c>
      <c r="BC15" s="11">
        <f>SUM(S15:V15)</f>
        <v>2308631</v>
      </c>
      <c r="BD15" s="11">
        <v>2602245</v>
      </c>
      <c r="BE15" s="11">
        <v>2912564</v>
      </c>
      <c r="BF15" s="11">
        <f>+BF14*(BE15/BE14)</f>
        <v>3356795.684631947</v>
      </c>
      <c r="BG15" s="11">
        <f>+BG14*(BF15/BF14)</f>
        <v>3843849.9410197274</v>
      </c>
      <c r="BH15" s="11">
        <f t="shared" ref="BH15:BO15" si="27">+BH14*(BG15/BG14)</f>
        <v>4377266.2437093658</v>
      </c>
      <c r="BI15" s="11">
        <f t="shared" si="27"/>
        <v>4960854.6429340905</v>
      </c>
      <c r="BJ15" s="11">
        <f t="shared" si="27"/>
        <v>5598715.4915884286</v>
      </c>
      <c r="BK15" s="11">
        <f t="shared" si="27"/>
        <v>6295260.5653667245</v>
      </c>
      <c r="BL15" s="11">
        <f t="shared" si="27"/>
        <v>7055235.6722286968</v>
      </c>
      <c r="BM15" s="11">
        <f t="shared" si="27"/>
        <v>7883744.8538787859</v>
      </c>
      <c r="BN15" s="11">
        <f t="shared" si="27"/>
        <v>8786276.288906863</v>
      </c>
      <c r="BO15" s="11">
        <f t="shared" si="27"/>
        <v>9768730.0146643445</v>
      </c>
    </row>
    <row r="16" spans="1:267">
      <c r="B16" s="9" t="s">
        <v>16</v>
      </c>
      <c r="C16" s="11">
        <v>287851</v>
      </c>
      <c r="D16" s="11">
        <v>305851</v>
      </c>
      <c r="E16" s="11">
        <v>306862</v>
      </c>
      <c r="F16" s="11">
        <f t="shared" si="19"/>
        <v>305428</v>
      </c>
      <c r="G16" s="11">
        <v>318863</v>
      </c>
      <c r="H16" s="11">
        <v>341842</v>
      </c>
      <c r="I16" s="11">
        <v>332865</v>
      </c>
      <c r="J16" s="11">
        <f t="shared" si="26"/>
        <v>332509</v>
      </c>
      <c r="K16" s="11">
        <v>348842</v>
      </c>
      <c r="L16" s="11">
        <v>368053</v>
      </c>
      <c r="M16" s="11">
        <v>373645</v>
      </c>
      <c r="N16" s="11">
        <f t="shared" si="20"/>
        <v>381520</v>
      </c>
      <c r="O16" s="11">
        <v>393565</v>
      </c>
      <c r="P16" s="11">
        <v>385266</v>
      </c>
      <c r="Q16" s="11">
        <v>405818</v>
      </c>
      <c r="R16" s="11">
        <f t="shared" si="17"/>
        <v>408364</v>
      </c>
      <c r="S16" s="11">
        <v>433669</v>
      </c>
      <c r="T16" s="11">
        <v>464506</v>
      </c>
      <c r="U16" s="11">
        <v>502757</v>
      </c>
      <c r="V16" s="11">
        <v>516829</v>
      </c>
      <c r="W16" s="11">
        <v>531940</v>
      </c>
      <c r="X16" s="11">
        <v>549926</v>
      </c>
      <c r="Y16" s="11">
        <v>557178</v>
      </c>
      <c r="Z16" s="34">
        <f t="shared" si="18"/>
        <v>558914</v>
      </c>
      <c r="AA16" s="11">
        <v>583794</v>
      </c>
      <c r="AB16" s="11">
        <v>611678</v>
      </c>
      <c r="AC16" s="11">
        <v>616282</v>
      </c>
      <c r="AD16" s="11">
        <f t="shared" si="23"/>
        <v>629228</v>
      </c>
      <c r="AE16" s="11">
        <v>659450</v>
      </c>
      <c r="AS16" s="11">
        <v>543119</v>
      </c>
      <c r="AT16" s="11">
        <v>641836</v>
      </c>
      <c r="AU16" s="11">
        <v>739800</v>
      </c>
      <c r="AV16" s="11">
        <v>904407</v>
      </c>
      <c r="AW16" s="11">
        <v>1045726</v>
      </c>
      <c r="AX16" s="11">
        <v>1105001</v>
      </c>
      <c r="AY16" s="11">
        <v>1205992</v>
      </c>
      <c r="AZ16" s="11">
        <v>1326079</v>
      </c>
      <c r="BA16" s="11">
        <v>1472060</v>
      </c>
      <c r="BB16" s="11">
        <v>1593013</v>
      </c>
      <c r="BC16" s="11">
        <f>SUM(S16:V16)</f>
        <v>1917761</v>
      </c>
      <c r="BD16" s="11">
        <v>2197958</v>
      </c>
      <c r="BE16" s="11">
        <v>2440982</v>
      </c>
      <c r="BF16" s="11">
        <f t="shared" ref="BF16:BO16" si="28">+BF14*(BE16/BE14)</f>
        <v>2813286.796054699</v>
      </c>
      <c r="BG16" s="11">
        <f t="shared" si="28"/>
        <v>3221480.6324359621</v>
      </c>
      <c r="BH16" s="11">
        <f t="shared" si="28"/>
        <v>3668529.8967171796</v>
      </c>
      <c r="BI16" s="11">
        <f t="shared" si="28"/>
        <v>4157627.7424353738</v>
      </c>
      <c r="BJ16" s="11">
        <f t="shared" si="28"/>
        <v>4692210.6220115693</v>
      </c>
      <c r="BK16" s="11">
        <f t="shared" si="28"/>
        <v>5275975.9872641414</v>
      </c>
      <c r="BL16" s="11">
        <f t="shared" si="28"/>
        <v>5912901.23810778</v>
      </c>
      <c r="BM16" s="11">
        <f t="shared" si="28"/>
        <v>6607264.0054985043</v>
      </c>
      <c r="BN16" s="11">
        <f t="shared" si="28"/>
        <v>7363663.8605189286</v>
      </c>
      <c r="BO16" s="11">
        <f t="shared" si="28"/>
        <v>8187045.547722009</v>
      </c>
    </row>
    <row r="17" spans="1:267">
      <c r="B17" s="9" t="s">
        <v>17</v>
      </c>
      <c r="C17" s="11">
        <v>78962</v>
      </c>
      <c r="D17" s="11">
        <v>80321</v>
      </c>
      <c r="E17" s="11">
        <v>83199</v>
      </c>
      <c r="F17" s="11">
        <f t="shared" si="19"/>
        <v>84650</v>
      </c>
      <c r="G17" s="11">
        <v>85256</v>
      </c>
      <c r="H17" s="11">
        <v>86772</v>
      </c>
      <c r="I17" s="11">
        <v>86691</v>
      </c>
      <c r="J17" s="11">
        <f t="shared" si="26"/>
        <v>88404</v>
      </c>
      <c r="K17" s="11">
        <v>88770</v>
      </c>
      <c r="L17" s="11">
        <v>89923</v>
      </c>
      <c r="M17" s="11">
        <v>91409</v>
      </c>
      <c r="N17" s="11">
        <f t="shared" si="20"/>
        <v>92970</v>
      </c>
      <c r="O17" s="11">
        <v>95279</v>
      </c>
      <c r="P17" s="11">
        <v>95576</v>
      </c>
      <c r="Q17" s="11">
        <v>97694</v>
      </c>
      <c r="R17" s="11">
        <f t="shared" si="17"/>
        <v>99213</v>
      </c>
      <c r="S17" s="11">
        <v>101769</v>
      </c>
      <c r="T17" s="11">
        <v>103430</v>
      </c>
      <c r="U17" s="11">
        <v>104223</v>
      </c>
      <c r="V17" s="11">
        <v>107184</v>
      </c>
      <c r="W17" s="11">
        <v>112032</v>
      </c>
      <c r="X17" s="11">
        <v>113919</v>
      </c>
      <c r="Y17" s="11">
        <v>115826</v>
      </c>
      <c r="Z17" s="34">
        <f t="shared" si="18"/>
        <v>118648</v>
      </c>
      <c r="AA17" s="11">
        <v>121931</v>
      </c>
      <c r="AB17" s="11">
        <v>123897</v>
      </c>
      <c r="AC17" s="11">
        <v>126269</v>
      </c>
      <c r="AD17" s="11">
        <f t="shared" si="23"/>
        <v>131167</v>
      </c>
      <c r="AE17" s="11">
        <v>135699</v>
      </c>
      <c r="AS17" s="11">
        <v>147274</v>
      </c>
      <c r="AT17" s="11">
        <v>171435</v>
      </c>
      <c r="AU17" s="11">
        <v>199107</v>
      </c>
      <c r="AV17" s="11">
        <v>230868</v>
      </c>
      <c r="AW17" s="11">
        <v>262412</v>
      </c>
      <c r="AX17" s="11">
        <v>293636</v>
      </c>
      <c r="AY17" s="11">
        <v>327132</v>
      </c>
      <c r="AZ17" s="11">
        <v>347123</v>
      </c>
      <c r="BA17" s="11">
        <v>363072</v>
      </c>
      <c r="BB17" s="11">
        <v>387762</v>
      </c>
      <c r="BC17" s="11">
        <f>SUM(S17:V17)</f>
        <v>416606</v>
      </c>
      <c r="BD17" s="11">
        <v>460425</v>
      </c>
      <c r="BE17" s="11">
        <v>503264</v>
      </c>
      <c r="BF17" s="11">
        <f t="shared" ref="BF17:BO17" si="29">+BF14*(BE17/BE14)</f>
        <v>580023.10796624969</v>
      </c>
      <c r="BG17" s="11">
        <f t="shared" si="29"/>
        <v>664181.55848844943</v>
      </c>
      <c r="BH17" s="11">
        <f t="shared" si="29"/>
        <v>756350.93988463446</v>
      </c>
      <c r="BI17" s="11">
        <f t="shared" si="29"/>
        <v>857189.59343780321</v>
      </c>
      <c r="BJ17" s="11">
        <f t="shared" si="29"/>
        <v>967406.02203376777</v>
      </c>
      <c r="BK17" s="11">
        <f t="shared" si="29"/>
        <v>1087762.5395248719</v>
      </c>
      <c r="BL17" s="11">
        <f t="shared" si="29"/>
        <v>1219079.1774355869</v>
      </c>
      <c r="BM17" s="11">
        <f t="shared" si="29"/>
        <v>1362237.8667532981</v>
      </c>
      <c r="BN17" s="11">
        <f t="shared" si="29"/>
        <v>1518186.9137503665</v>
      </c>
      <c r="BO17" s="11">
        <f t="shared" si="29"/>
        <v>1687945.7900667714</v>
      </c>
    </row>
    <row r="18" spans="1:267">
      <c r="B18" s="9" t="s">
        <v>97</v>
      </c>
      <c r="C18" s="11">
        <v>150609</v>
      </c>
      <c r="D18" s="11">
        <v>163685</v>
      </c>
      <c r="E18" s="11">
        <v>162312</v>
      </c>
      <c r="F18" s="11">
        <f t="shared" si="19"/>
        <v>175038</v>
      </c>
      <c r="G18" s="11">
        <v>148069</v>
      </c>
      <c r="H18" s="11">
        <v>175171</v>
      </c>
      <c r="I18" s="11">
        <v>167488</v>
      </c>
      <c r="J18" s="11">
        <f t="shared" si="26"/>
        <v>189303</v>
      </c>
      <c r="K18" s="11">
        <v>174743</v>
      </c>
      <c r="L18" s="11">
        <v>193309</v>
      </c>
      <c r="M18" s="11">
        <v>180259</v>
      </c>
      <c r="N18" s="11">
        <f t="shared" si="20"/>
        <v>212070</v>
      </c>
      <c r="O18" s="11">
        <v>210762</v>
      </c>
      <c r="P18" s="11">
        <v>262378</v>
      </c>
      <c r="Q18" s="11">
        <v>268416</v>
      </c>
      <c r="R18" s="11">
        <f t="shared" si="17"/>
        <v>288456</v>
      </c>
      <c r="S18" s="11">
        <v>294710</v>
      </c>
      <c r="T18" s="11">
        <v>287242</v>
      </c>
      <c r="U18" s="11">
        <v>294650</v>
      </c>
      <c r="V18" s="11">
        <v>320452</v>
      </c>
      <c r="W18" s="11">
        <v>330695</v>
      </c>
      <c r="X18" s="11">
        <v>317481</v>
      </c>
      <c r="Y18" s="11">
        <v>322085</v>
      </c>
      <c r="Z18" s="34">
        <f t="shared" si="18"/>
        <v>341644</v>
      </c>
      <c r="AA18" s="11">
        <v>363206</v>
      </c>
      <c r="AB18" s="11">
        <v>349707</v>
      </c>
      <c r="AC18" s="11">
        <v>345368</v>
      </c>
      <c r="AD18" s="11">
        <f t="shared" si="23"/>
        <v>370466</v>
      </c>
      <c r="AE18" s="11">
        <v>385773</v>
      </c>
      <c r="AS18" s="11">
        <v>251208</v>
      </c>
      <c r="AT18" s="11">
        <v>286610</v>
      </c>
      <c r="AU18" s="11">
        <v>347401</v>
      </c>
      <c r="AV18" s="11">
        <v>434244</v>
      </c>
      <c r="AW18" s="11">
        <v>514963</v>
      </c>
      <c r="AX18" s="11">
        <v>641953</v>
      </c>
      <c r="AY18" s="11">
        <v>651644</v>
      </c>
      <c r="AZ18" s="11">
        <v>680031</v>
      </c>
      <c r="BA18" s="11">
        <v>760381</v>
      </c>
      <c r="BB18" s="11">
        <v>1030012</v>
      </c>
      <c r="BC18" s="11">
        <f>SUM(S18:V18)</f>
        <v>1197054</v>
      </c>
      <c r="BD18" s="11">
        <v>1311905</v>
      </c>
      <c r="BE18" s="11">
        <v>1428747</v>
      </c>
      <c r="BF18" s="11">
        <f t="shared" ref="BF18:BO18" si="30">+BF14*(BE18/BE14)</f>
        <v>1646663.1339365728</v>
      </c>
      <c r="BG18" s="11">
        <f t="shared" si="30"/>
        <v>1885585.7147455344</v>
      </c>
      <c r="BH18" s="11">
        <f t="shared" si="30"/>
        <v>2147251.0179693997</v>
      </c>
      <c r="BI18" s="11">
        <f t="shared" si="30"/>
        <v>2433528.0490070446</v>
      </c>
      <c r="BJ18" s="11">
        <f t="shared" si="30"/>
        <v>2746428.2201045174</v>
      </c>
      <c r="BK18" s="11">
        <f t="shared" si="30"/>
        <v>3088115.7107572616</v>
      </c>
      <c r="BL18" s="11">
        <f t="shared" si="30"/>
        <v>3460918.5586959589</v>
      </c>
      <c r="BM18" s="11">
        <f t="shared" si="30"/>
        <v>3867340.531828573</v>
      </c>
      <c r="BN18" s="11">
        <f t="shared" si="30"/>
        <v>4310073.8349257959</v>
      </c>
      <c r="BO18" s="11">
        <f t="shared" si="30"/>
        <v>4792012.7084801029</v>
      </c>
    </row>
    <row r="19" spans="1:267">
      <c r="B19" s="9" t="s">
        <v>19</v>
      </c>
      <c r="C19" s="11">
        <v>69441</v>
      </c>
      <c r="D19" s="11">
        <v>70075</v>
      </c>
      <c r="E19" s="11">
        <v>99182</v>
      </c>
      <c r="F19" s="11">
        <f t="shared" si="19"/>
        <v>57690</v>
      </c>
      <c r="G19" s="11">
        <v>77063</v>
      </c>
      <c r="H19" s="11">
        <v>85153</v>
      </c>
      <c r="I19" s="11">
        <v>109524</v>
      </c>
      <c r="J19" s="11">
        <f t="shared" si="26"/>
        <v>103720</v>
      </c>
      <c r="K19" s="11">
        <v>102671</v>
      </c>
      <c r="L19" s="11">
        <v>121395</v>
      </c>
      <c r="M19" s="11">
        <v>115070</v>
      </c>
      <c r="N19" s="11">
        <f t="shared" si="20"/>
        <v>112416</v>
      </c>
      <c r="O19" s="11">
        <v>106470</v>
      </c>
      <c r="P19" s="11">
        <v>102647</v>
      </c>
      <c r="Q19" s="11">
        <v>133150</v>
      </c>
      <c r="R19" s="11">
        <f t="shared" si="17"/>
        <v>124024</v>
      </c>
      <c r="S19" s="11">
        <v>155103</v>
      </c>
      <c r="T19" s="11">
        <v>146044</v>
      </c>
      <c r="U19" s="11">
        <v>145930</v>
      </c>
      <c r="V19" s="11">
        <v>159777</v>
      </c>
      <c r="W19" s="11">
        <v>147402</v>
      </c>
      <c r="X19" s="11">
        <v>140820</v>
      </c>
      <c r="Y19" s="11">
        <v>140896</v>
      </c>
      <c r="Z19" s="34">
        <f t="shared" si="18"/>
        <v>135073</v>
      </c>
      <c r="AA19" s="11">
        <v>148340</v>
      </c>
      <c r="AB19" s="11">
        <v>156496</v>
      </c>
      <c r="AC19" s="11">
        <v>159501</v>
      </c>
      <c r="AD19" s="11">
        <f t="shared" si="23"/>
        <v>169247</v>
      </c>
      <c r="AE19" s="11">
        <v>204625</v>
      </c>
      <c r="AS19" s="11">
        <v>149426</v>
      </c>
      <c r="AT19" s="11">
        <v>183409</v>
      </c>
      <c r="AU19" s="11">
        <v>203733</v>
      </c>
      <c r="AV19" s="11">
        <v>273897</v>
      </c>
      <c r="AW19" s="11">
        <v>250214</v>
      </c>
      <c r="AX19" s="11">
        <v>276240</v>
      </c>
      <c r="AY19" s="11">
        <v>296388</v>
      </c>
      <c r="AZ19" s="11">
        <v>375460</v>
      </c>
      <c r="BA19" s="11">
        <v>451552</v>
      </c>
      <c r="BB19" s="11">
        <v>466291</v>
      </c>
      <c r="BC19" s="11">
        <f>SUM(S19:V19)</f>
        <v>606854</v>
      </c>
      <c r="BD19" s="11">
        <v>564191</v>
      </c>
      <c r="BE19" s="11">
        <v>633584</v>
      </c>
      <c r="BF19" s="11">
        <f t="shared" ref="BF19:BO19" si="31">+BF14*(BE19/BE14)</f>
        <v>730219.84651731176</v>
      </c>
      <c r="BG19" s="11">
        <f t="shared" si="31"/>
        <v>836171.0922167009</v>
      </c>
      <c r="BH19" s="11">
        <f t="shared" si="31"/>
        <v>952207.69595255423</v>
      </c>
      <c r="BI19" s="11">
        <f t="shared" si="31"/>
        <v>1079158.4762047299</v>
      </c>
      <c r="BJ19" s="11">
        <f t="shared" si="31"/>
        <v>1217915.4023817375</v>
      </c>
      <c r="BK19" s="11">
        <f t="shared" si="31"/>
        <v>1369438.1891856492</v>
      </c>
      <c r="BL19" s="11">
        <f t="shared" si="31"/>
        <v>1534759.2149574556</v>
      </c>
      <c r="BM19" s="11">
        <f t="shared" si="31"/>
        <v>1714988.7863408106</v>
      </c>
      <c r="BN19" s="11">
        <f t="shared" si="31"/>
        <v>1911320.7731163215</v>
      </c>
      <c r="BO19" s="11">
        <f t="shared" si="31"/>
        <v>2125038.6386740669</v>
      </c>
    </row>
    <row r="20" spans="1:267">
      <c r="B20" s="9" t="s">
        <v>20</v>
      </c>
      <c r="C20" s="11">
        <v>39279</v>
      </c>
      <c r="D20" s="11">
        <v>41081</v>
      </c>
      <c r="E20" s="11">
        <v>41546</v>
      </c>
      <c r="F20" s="11">
        <f t="shared" si="19"/>
        <v>41442</v>
      </c>
      <c r="G20" s="11">
        <v>46915</v>
      </c>
      <c r="H20" s="11">
        <v>49193</v>
      </c>
      <c r="I20" s="11">
        <v>52654</v>
      </c>
      <c r="J20" s="11">
        <f t="shared" si="26"/>
        <v>53217</v>
      </c>
      <c r="K20" s="11">
        <v>53781</v>
      </c>
      <c r="L20" s="11">
        <v>51642</v>
      </c>
      <c r="M20" s="11">
        <v>52206</v>
      </c>
      <c r="N20" s="11">
        <f t="shared" si="20"/>
        <v>55149</v>
      </c>
      <c r="O20" s="11">
        <v>58374</v>
      </c>
      <c r="P20" s="11">
        <v>60024</v>
      </c>
      <c r="Q20" s="11">
        <v>60180</v>
      </c>
      <c r="R20" s="11">
        <f t="shared" si="17"/>
        <v>59956</v>
      </c>
      <c r="S20" s="11">
        <v>63122</v>
      </c>
      <c r="T20" s="11">
        <v>62082</v>
      </c>
      <c r="U20" s="11">
        <v>63191</v>
      </c>
      <c r="V20" s="11">
        <v>66262</v>
      </c>
      <c r="W20" s="11">
        <v>71665</v>
      </c>
      <c r="X20" s="11">
        <v>69733</v>
      </c>
      <c r="Y20" s="11">
        <v>71416</v>
      </c>
      <c r="Z20" s="34">
        <f t="shared" si="18"/>
        <v>74012</v>
      </c>
      <c r="AA20" s="11">
        <v>76585</v>
      </c>
      <c r="AB20" s="11">
        <v>78771</v>
      </c>
      <c r="AC20" s="11">
        <v>78546</v>
      </c>
      <c r="AD20" s="11">
        <f t="shared" si="23"/>
        <v>85492</v>
      </c>
      <c r="AE20" s="11">
        <v>83243</v>
      </c>
      <c r="AS20" s="11">
        <v>74938</v>
      </c>
      <c r="AT20" s="11">
        <v>84130</v>
      </c>
      <c r="AU20" s="11">
        <v>96054</v>
      </c>
      <c r="AV20" s="11">
        <v>110474</v>
      </c>
      <c r="AW20" s="11">
        <v>130368</v>
      </c>
      <c r="AX20" s="11">
        <v>146368</v>
      </c>
      <c r="AY20" s="11">
        <v>163348</v>
      </c>
      <c r="AZ20" s="11">
        <v>201979</v>
      </c>
      <c r="BA20" s="11">
        <v>212778</v>
      </c>
      <c r="BB20" s="11">
        <v>238534</v>
      </c>
      <c r="BC20" s="11">
        <v>254657</v>
      </c>
      <c r="BD20" s="11">
        <v>286826</v>
      </c>
      <c r="BE20" s="11">
        <v>319394</v>
      </c>
      <c r="BF20" s="11">
        <f>+BF$14*(BE20/BE$14)</f>
        <v>368108.78693046264</v>
      </c>
      <c r="BG20" s="11">
        <f t="shared" ref="BG20:BO20" si="32">+BG$14*(BF20/BF$14)</f>
        <v>421519.52989258087</v>
      </c>
      <c r="BH20" s="11">
        <f t="shared" si="32"/>
        <v>480014.37037720351</v>
      </c>
      <c r="BI20" s="11">
        <f t="shared" si="32"/>
        <v>544011.12141236756</v>
      </c>
      <c r="BJ20" s="11">
        <f t="shared" si="32"/>
        <v>613959.4308383934</v>
      </c>
      <c r="BK20" s="11">
        <f t="shared" si="32"/>
        <v>690343.09735845786</v>
      </c>
      <c r="BL20" s="11">
        <f t="shared" si="32"/>
        <v>773682.54990991182</v>
      </c>
      <c r="BM20" s="11">
        <f t="shared" si="32"/>
        <v>864537.5016170498</v>
      </c>
      <c r="BN20" s="11">
        <f t="shared" si="32"/>
        <v>963509.7903493687</v>
      </c>
      <c r="BO20" s="11">
        <f t="shared" si="32"/>
        <v>1071246.4187237443</v>
      </c>
    </row>
    <row r="21" spans="1:267">
      <c r="B21" s="9" t="s">
        <v>98</v>
      </c>
      <c r="C21" s="11">
        <v>4069</v>
      </c>
      <c r="D21" s="11">
        <v>2903</v>
      </c>
      <c r="E21" s="11">
        <v>2792</v>
      </c>
      <c r="F21" s="11">
        <f t="shared" si="19"/>
        <v>2577</v>
      </c>
      <c r="G21" s="11">
        <v>2649</v>
      </c>
      <c r="H21" s="11">
        <v>2014</v>
      </c>
      <c r="I21" s="11">
        <v>2127</v>
      </c>
      <c r="J21" s="11">
        <f t="shared" si="26"/>
        <v>1756</v>
      </c>
      <c r="K21" s="11">
        <v>940</v>
      </c>
      <c r="L21" s="11">
        <v>2118</v>
      </c>
      <c r="M21" s="11">
        <v>3064</v>
      </c>
      <c r="N21" s="11">
        <f t="shared" si="20"/>
        <v>4986</v>
      </c>
      <c r="O21" s="11">
        <v>3566</v>
      </c>
      <c r="P21" s="11">
        <v>3644</v>
      </c>
      <c r="Q21" s="11">
        <v>3808</v>
      </c>
      <c r="R21" s="11">
        <f t="shared" si="17"/>
        <v>4497</v>
      </c>
      <c r="S21" s="11">
        <v>3421</v>
      </c>
      <c r="T21" s="11">
        <v>4965</v>
      </c>
      <c r="U21" s="11">
        <v>5894</v>
      </c>
      <c r="V21" s="11">
        <v>6984</v>
      </c>
      <c r="W21" s="11">
        <v>5348</v>
      </c>
      <c r="X21" s="11">
        <v>5253</v>
      </c>
      <c r="Y21" s="11">
        <v>7618</v>
      </c>
      <c r="Z21" s="34">
        <f t="shared" si="18"/>
        <v>11341</v>
      </c>
      <c r="AA21" s="11">
        <v>6198</v>
      </c>
      <c r="AB21" s="11">
        <v>7538</v>
      </c>
      <c r="AC21" s="11">
        <v>9605</v>
      </c>
      <c r="AD21" s="11">
        <f t="shared" si="23"/>
        <v>13590</v>
      </c>
      <c r="AE21" s="11">
        <v>7211</v>
      </c>
      <c r="AS21" s="11">
        <v>8495</v>
      </c>
      <c r="AT21" s="11">
        <v>11909</v>
      </c>
      <c r="AU21" s="11">
        <v>15511</v>
      </c>
      <c r="AV21" s="11">
        <v>15609</v>
      </c>
      <c r="AW21" s="11">
        <v>16922</v>
      </c>
      <c r="AX21" s="11">
        <v>17162</v>
      </c>
      <c r="AY21" s="11">
        <v>12341</v>
      </c>
      <c r="AZ21" s="11">
        <v>8546</v>
      </c>
      <c r="BA21" s="11">
        <v>11108</v>
      </c>
      <c r="BB21" s="11">
        <v>15515</v>
      </c>
      <c r="BC21" s="11">
        <f>+SUM(S21:V21)</f>
        <v>21264</v>
      </c>
      <c r="BD21" s="11">
        <v>29560</v>
      </c>
      <c r="BE21" s="11">
        <v>36931</v>
      </c>
      <c r="BF21" s="11">
        <f t="shared" ref="BF21:BO21" si="33">+BF14*(BE21/BE14)</f>
        <v>42563.810247308706</v>
      </c>
      <c r="BG21" s="11">
        <f t="shared" si="33"/>
        <v>48739.606124294456</v>
      </c>
      <c r="BH21" s="11">
        <f t="shared" si="33"/>
        <v>55503.267789628175</v>
      </c>
      <c r="BI21" s="11">
        <f t="shared" si="33"/>
        <v>62903.106272754485</v>
      </c>
      <c r="BJ21" s="11">
        <f t="shared" si="33"/>
        <v>70991.113609813299</v>
      </c>
      <c r="BK21" s="11">
        <f t="shared" si="33"/>
        <v>79823.230644737254</v>
      </c>
      <c r="BL21" s="11">
        <f t="shared" si="33"/>
        <v>89459.633714856755</v>
      </c>
      <c r="BM21" s="11">
        <f t="shared" si="33"/>
        <v>99965.041523069522</v>
      </c>
      <c r="BN21" s="11">
        <f t="shared" si="33"/>
        <v>111409.04358689436</v>
      </c>
      <c r="BO21" s="11">
        <f t="shared" si="33"/>
        <v>123866.45174889512</v>
      </c>
    </row>
    <row r="22" spans="1:267">
      <c r="B22" s="9" t="s">
        <v>99</v>
      </c>
      <c r="Z22" s="34"/>
    </row>
    <row r="23" spans="1:267">
      <c r="B23" s="9" t="s">
        <v>100</v>
      </c>
      <c r="C23" s="11">
        <f>+C14-SUM(C15:C22)</f>
        <v>76823</v>
      </c>
      <c r="D23" s="11">
        <f>+D14-SUM(D15:D22)</f>
        <v>106341</v>
      </c>
      <c r="E23" s="11">
        <f>+E14-SUM(E15:E22)</f>
        <v>37614</v>
      </c>
      <c r="F23" s="11">
        <f t="shared" si="19"/>
        <v>63361</v>
      </c>
      <c r="G23" s="11">
        <f>+G14-SUM(G15:G22)</f>
        <v>97667</v>
      </c>
      <c r="H23" s="11">
        <f>+H14-SUM(H15:H22)</f>
        <v>113279</v>
      </c>
      <c r="I23" s="11">
        <f>+I14-SUM(I15:I22)</f>
        <v>64445</v>
      </c>
      <c r="J23" s="11">
        <f t="shared" si="26"/>
        <v>49616</v>
      </c>
      <c r="K23" s="11">
        <f>+K14-SUM(K15:K22)</f>
        <v>117103</v>
      </c>
      <c r="L23" s="11">
        <f>+L14-SUM(L15:L22)</f>
        <v>124507</v>
      </c>
      <c r="M23" s="11">
        <f>+M14-SUM(M15:M22)</f>
        <v>121548</v>
      </c>
      <c r="N23" s="11">
        <f t="shared" si="20"/>
        <v>104344</v>
      </c>
      <c r="O23" s="11">
        <f>+O14-SUM(O15:O22)</f>
        <v>80457</v>
      </c>
      <c r="P23" s="11">
        <f>+P14-SUM(P15:P22)</f>
        <v>447</v>
      </c>
      <c r="Q23" s="11">
        <f>+Q14-SUM(Q15:Q22)</f>
        <v>115087</v>
      </c>
      <c r="R23" s="11">
        <f t="shared" si="17"/>
        <v>124750</v>
      </c>
      <c r="S23" s="11">
        <f>+S14-SUM(S15:S22)</f>
        <v>167110</v>
      </c>
      <c r="T23" s="11">
        <f>+T14-SUM(T15:T22)</f>
        <v>249791</v>
      </c>
      <c r="U23" s="11">
        <f>+U14-SUM(U15:U22)</f>
        <v>244338</v>
      </c>
      <c r="V23" s="11">
        <f t="shared" ref="V23" si="34">+V14-SUM(V15:V22)</f>
        <v>162995</v>
      </c>
      <c r="W23" s="11">
        <f>+W14-SUM(W15:W22)</f>
        <v>194531</v>
      </c>
      <c r="X23" s="11">
        <f>+X14-SUM(X15:X22)</f>
        <v>342279</v>
      </c>
      <c r="Y23" s="11">
        <f>+Y14-SUM(Y15:Y22)</f>
        <v>342616</v>
      </c>
      <c r="Z23" s="34">
        <f t="shared" si="18"/>
        <v>302116</v>
      </c>
      <c r="AA23" s="11">
        <f>+AA14-SUM(AA15:AA22)</f>
        <v>375967</v>
      </c>
      <c r="AB23" s="11">
        <f>+AB14-SUM(AB15:AB22)</f>
        <v>448050</v>
      </c>
      <c r="AC23" s="11">
        <f>+AC14-SUM(AC15:AC22)</f>
        <v>402191</v>
      </c>
      <c r="AD23" s="11">
        <f t="shared" si="23"/>
        <v>369975</v>
      </c>
      <c r="AE23" s="11">
        <f>+AE14-SUM(AE15:AE22)</f>
        <v>446771</v>
      </c>
      <c r="AS23" s="11">
        <f t="shared" ref="AS23:BB23" si="35">+AS14-SUM(AS15:AS22)</f>
        <v>356368</v>
      </c>
      <c r="AT23" s="11">
        <f t="shared" si="35"/>
        <v>460892</v>
      </c>
      <c r="AU23" s="11">
        <f t="shared" si="35"/>
        <v>539471</v>
      </c>
      <c r="AV23" s="11">
        <f t="shared" si="35"/>
        <v>717776</v>
      </c>
      <c r="AW23" s="11">
        <f t="shared" si="35"/>
        <v>776783</v>
      </c>
      <c r="AX23" s="11">
        <f t="shared" si="35"/>
        <v>58444</v>
      </c>
      <c r="AY23" s="11">
        <f t="shared" si="35"/>
        <v>284139</v>
      </c>
      <c r="AZ23" s="11">
        <f t="shared" si="35"/>
        <v>325007</v>
      </c>
      <c r="BA23" s="11">
        <f t="shared" si="35"/>
        <v>467502</v>
      </c>
      <c r="BB23" s="11">
        <f t="shared" si="35"/>
        <v>320741</v>
      </c>
      <c r="BC23" s="11">
        <f>SUM(S23:V23)</f>
        <v>824234</v>
      </c>
      <c r="BD23" s="11">
        <f>+BD14-SUM(BD15:BD22)</f>
        <v>1181542</v>
      </c>
      <c r="BE23" s="11">
        <f>+BE14-SUM(BE15:BE22)</f>
        <v>1596183</v>
      </c>
      <c r="BF23" s="11">
        <f t="shared" ref="BF23:BO23" si="36">+BF14-SUM(BF15:BF22)</f>
        <v>1839636.8994064592</v>
      </c>
      <c r="BG23" s="11">
        <f>+BG14-SUM(BG15:BG22)</f>
        <v>2106559.0079416949</v>
      </c>
      <c r="BH23" s="11">
        <f>+BH14-SUM(BH15:BH22)</f>
        <v>2398889.0766632948</v>
      </c>
      <c r="BI23" s="11">
        <f t="shared" si="36"/>
        <v>2718715.1412028912</v>
      </c>
      <c r="BJ23" s="11">
        <f t="shared" si="36"/>
        <v>3068284.3328112606</v>
      </c>
      <c r="BK23" s="11">
        <f t="shared" si="36"/>
        <v>3450014.4529042989</v>
      </c>
      <c r="BL23" s="11">
        <f t="shared" si="36"/>
        <v>3866506.3638103791</v>
      </c>
      <c r="BM23" s="11">
        <f t="shared" si="36"/>
        <v>4320557.2519947328</v>
      </c>
      <c r="BN23" s="11">
        <f t="shared" si="36"/>
        <v>4815174.8238514997</v>
      </c>
      <c r="BO23" s="11">
        <f t="shared" si="36"/>
        <v>5353592.4982238971</v>
      </c>
    </row>
    <row r="24" spans="1:267">
      <c r="B24" s="9" t="s">
        <v>101</v>
      </c>
      <c r="C24" s="11">
        <v>1188</v>
      </c>
      <c r="D24" s="11">
        <v>1049</v>
      </c>
      <c r="E24" s="11">
        <v>1275</v>
      </c>
      <c r="F24" s="11">
        <f t="shared" si="19"/>
        <v>1437</v>
      </c>
      <c r="G24" s="11">
        <v>1394</v>
      </c>
      <c r="H24" s="11">
        <v>2323</v>
      </c>
      <c r="I24" s="11">
        <v>2493</v>
      </c>
      <c r="J24" s="11">
        <f t="shared" si="26"/>
        <v>3858</v>
      </c>
      <c r="K24" s="11">
        <v>3129</v>
      </c>
      <c r="L24" s="11">
        <v>3947</v>
      </c>
      <c r="M24" s="11">
        <v>4411</v>
      </c>
      <c r="N24" s="11">
        <f t="shared" si="20"/>
        <v>2840</v>
      </c>
      <c r="O24" s="11">
        <v>2743</v>
      </c>
      <c r="P24" s="11">
        <v>623</v>
      </c>
      <c r="Q24" s="11">
        <v>-595</v>
      </c>
      <c r="R24" s="11">
        <f t="shared" si="17"/>
        <v>846</v>
      </c>
      <c r="S24" s="11">
        <v>-2168</v>
      </c>
      <c r="T24" s="11">
        <v>851</v>
      </c>
      <c r="U24" s="11">
        <v>-126</v>
      </c>
      <c r="V24" s="11">
        <v>9263</v>
      </c>
      <c r="W24" s="11">
        <v>-213</v>
      </c>
      <c r="X24" s="11">
        <v>10572</v>
      </c>
      <c r="Y24" s="11">
        <v>3712</v>
      </c>
      <c r="Z24" s="34">
        <f t="shared" si="18"/>
        <v>7057</v>
      </c>
      <c r="AA24" s="11">
        <v>8949</v>
      </c>
      <c r="AB24" s="11">
        <v>16446</v>
      </c>
      <c r="AC24" s="11">
        <v>18392</v>
      </c>
      <c r="AD24" s="11">
        <f t="shared" si="23"/>
        <v>18906</v>
      </c>
      <c r="AE24" s="11">
        <v>19364</v>
      </c>
      <c r="AS24" s="11">
        <v>-857</v>
      </c>
      <c r="AT24" s="11">
        <v>1820</v>
      </c>
      <c r="AU24" s="11">
        <v>1751</v>
      </c>
      <c r="AV24" s="11">
        <v>3503</v>
      </c>
      <c r="AW24" s="11">
        <v>6278</v>
      </c>
      <c r="AX24" s="11">
        <v>4172</v>
      </c>
      <c r="AY24" s="11">
        <v>4949</v>
      </c>
      <c r="AZ24" s="11">
        <v>10068</v>
      </c>
      <c r="BA24" s="11">
        <v>14327</v>
      </c>
      <c r="BB24" s="11">
        <v>3617</v>
      </c>
      <c r="BC24" s="11">
        <f>+BC23*(BB24/BB23)</f>
        <v>9294.8964366887922</v>
      </c>
      <c r="BD24" s="11">
        <v>21128</v>
      </c>
      <c r="BE24" s="11">
        <v>62693</v>
      </c>
      <c r="BF24" s="11">
        <f t="shared" ref="BF24:BO24" si="37">+BE50*$BS$32</f>
        <v>0</v>
      </c>
      <c r="BG24" s="11">
        <f t="shared" si="37"/>
        <v>23179.424932521386</v>
      </c>
      <c r="BH24" s="11">
        <f t="shared" si="37"/>
        <v>50014.129186736514</v>
      </c>
      <c r="BI24" s="11">
        <f t="shared" si="37"/>
        <v>80870.309580446905</v>
      </c>
      <c r="BJ24" s="11">
        <f t="shared" si="37"/>
        <v>116145.08626031697</v>
      </c>
      <c r="BK24" s="11">
        <f t="shared" si="37"/>
        <v>156268.89694061884</v>
      </c>
      <c r="BL24" s="11">
        <f t="shared" si="37"/>
        <v>201708.06714866482</v>
      </c>
      <c r="BM24" s="11">
        <f t="shared" si="37"/>
        <v>252967.56897874878</v>
      </c>
      <c r="BN24" s="11">
        <f t="shared" si="37"/>
        <v>310593.98172301467</v>
      </c>
      <c r="BO24" s="11">
        <f t="shared" si="37"/>
        <v>375178.6686732535</v>
      </c>
    </row>
    <row r="25" spans="1:267">
      <c r="B25" s="9" t="s">
        <v>102</v>
      </c>
      <c r="C25" s="11">
        <f>+C23+C24</f>
        <v>78011</v>
      </c>
      <c r="D25" s="11">
        <f>+D23+D24</f>
        <v>107390</v>
      </c>
      <c r="E25" s="11">
        <f>+E23+E24</f>
        <v>38889</v>
      </c>
      <c r="F25" s="11">
        <f t="shared" si="19"/>
        <v>64798</v>
      </c>
      <c r="G25" s="11">
        <f>+G23+G24</f>
        <v>99061</v>
      </c>
      <c r="H25" s="11">
        <f>+H23+H24</f>
        <v>115602</v>
      </c>
      <c r="I25" s="11">
        <f>+I23+I24</f>
        <v>66938</v>
      </c>
      <c r="J25" s="11">
        <f t="shared" si="26"/>
        <v>53474</v>
      </c>
      <c r="K25" s="11">
        <f>+K23+K24</f>
        <v>120232</v>
      </c>
      <c r="L25" s="11">
        <f>+L23+L24</f>
        <v>128454</v>
      </c>
      <c r="M25" s="11">
        <f>+M23+M24</f>
        <v>125959</v>
      </c>
      <c r="N25" s="11">
        <f t="shared" si="20"/>
        <v>107184</v>
      </c>
      <c r="O25" s="11">
        <f>+O23+O24</f>
        <v>83200</v>
      </c>
      <c r="P25" s="11">
        <f>+P23+P24</f>
        <v>1070</v>
      </c>
      <c r="Q25" s="11">
        <f>+Q23+Q24</f>
        <v>114492</v>
      </c>
      <c r="R25" s="11">
        <f t="shared" si="17"/>
        <v>125596</v>
      </c>
      <c r="S25" s="11">
        <f>+S23+S24</f>
        <v>164942</v>
      </c>
      <c r="T25" s="11">
        <f>+T23+T24</f>
        <v>250642</v>
      </c>
      <c r="U25" s="11">
        <f>+U23+U24</f>
        <v>244212</v>
      </c>
      <c r="V25" s="11">
        <f t="shared" ref="V25" si="38">+V23+V24</f>
        <v>172258</v>
      </c>
      <c r="W25" s="11">
        <f>+W23+W24</f>
        <v>194318</v>
      </c>
      <c r="X25" s="11">
        <f>+X23+X24</f>
        <v>352851</v>
      </c>
      <c r="Y25" s="11">
        <f>+Y23+Y24</f>
        <v>346328</v>
      </c>
      <c r="Z25" s="34">
        <f t="shared" si="18"/>
        <v>309173</v>
      </c>
      <c r="AA25" s="11">
        <f>+AA23+AA24</f>
        <v>384916</v>
      </c>
      <c r="AB25" s="11">
        <f>+AB23+AB24</f>
        <v>464496</v>
      </c>
      <c r="AC25" s="11">
        <f>+AC23+AC24</f>
        <v>420583</v>
      </c>
      <c r="AD25" s="11">
        <f t="shared" si="23"/>
        <v>388881</v>
      </c>
      <c r="AE25" s="11">
        <f>+AE23+AE24</f>
        <v>466135</v>
      </c>
      <c r="AS25" s="11">
        <f t="shared" ref="AS25:BO25" si="39">+AS23+AS24</f>
        <v>355511</v>
      </c>
      <c r="AT25" s="11">
        <f t="shared" si="39"/>
        <v>462712</v>
      </c>
      <c r="AU25" s="11">
        <f t="shared" si="39"/>
        <v>541222</v>
      </c>
      <c r="AV25" s="11">
        <f t="shared" si="39"/>
        <v>721279</v>
      </c>
      <c r="AW25" s="11">
        <f t="shared" si="39"/>
        <v>783061</v>
      </c>
      <c r="AX25" s="11">
        <f t="shared" si="39"/>
        <v>62616</v>
      </c>
      <c r="AY25" s="11">
        <f t="shared" si="39"/>
        <v>289088</v>
      </c>
      <c r="AZ25" s="11">
        <f t="shared" si="39"/>
        <v>335075</v>
      </c>
      <c r="BA25" s="11">
        <f t="shared" si="39"/>
        <v>481829</v>
      </c>
      <c r="BB25" s="11">
        <f t="shared" si="39"/>
        <v>324358</v>
      </c>
      <c r="BC25" s="11">
        <f t="shared" si="39"/>
        <v>833528.89643668884</v>
      </c>
      <c r="BD25" s="11">
        <f t="shared" si="39"/>
        <v>1202670</v>
      </c>
      <c r="BE25" s="11">
        <f t="shared" si="39"/>
        <v>1658876</v>
      </c>
      <c r="BF25" s="11">
        <f t="shared" si="39"/>
        <v>1839636.8994064592</v>
      </c>
      <c r="BG25" s="11">
        <f t="shared" si="39"/>
        <v>2129738.4328742162</v>
      </c>
      <c r="BH25" s="11">
        <f t="shared" si="39"/>
        <v>2448903.2058500312</v>
      </c>
      <c r="BI25" s="11">
        <f t="shared" si="39"/>
        <v>2799585.4507833379</v>
      </c>
      <c r="BJ25" s="11">
        <f t="shared" si="39"/>
        <v>3184429.4190715775</v>
      </c>
      <c r="BK25" s="11">
        <f t="shared" si="39"/>
        <v>3606283.3498449177</v>
      </c>
      <c r="BL25" s="11">
        <f t="shared" si="39"/>
        <v>4068214.430959044</v>
      </c>
      <c r="BM25" s="11">
        <f t="shared" si="39"/>
        <v>4573524.820973482</v>
      </c>
      <c r="BN25" s="11">
        <f t="shared" si="39"/>
        <v>5125768.805574514</v>
      </c>
      <c r="BO25" s="11">
        <f t="shared" si="39"/>
        <v>5728771.1668971507</v>
      </c>
    </row>
    <row r="26" spans="1:267">
      <c r="B26" s="9" t="s">
        <v>26</v>
      </c>
      <c r="C26" s="11">
        <v>-28241</v>
      </c>
      <c r="D26" s="11">
        <v>-41044</v>
      </c>
      <c r="E26" s="11">
        <v>-12532</v>
      </c>
      <c r="F26" s="11">
        <f t="shared" si="19"/>
        <v>181307</v>
      </c>
      <c r="G26" s="11">
        <v>-34756</v>
      </c>
      <c r="H26" s="11">
        <v>-23396</v>
      </c>
      <c r="I26" s="11">
        <v>-22280</v>
      </c>
      <c r="J26" s="11">
        <f t="shared" si="26"/>
        <v>-11451</v>
      </c>
      <c r="K26" s="11">
        <v>-25158</v>
      </c>
      <c r="L26" s="11">
        <v>-32939</v>
      </c>
      <c r="M26" s="11">
        <v>-21450</v>
      </c>
      <c r="N26" s="11">
        <f t="shared" si="20"/>
        <v>-28580</v>
      </c>
      <c r="O26" s="11">
        <v>2524</v>
      </c>
      <c r="P26" s="11">
        <v>12491</v>
      </c>
      <c r="Q26" s="11">
        <v>-26257</v>
      </c>
      <c r="R26" s="11">
        <f t="shared" si="17"/>
        <v>72927</v>
      </c>
      <c r="S26" s="11">
        <v>-32173</v>
      </c>
      <c r="T26" s="11">
        <v>-58402</v>
      </c>
      <c r="U26" s="11">
        <v>-35120</v>
      </c>
      <c r="V26" s="11">
        <v>-34084</v>
      </c>
      <c r="W26" s="11">
        <v>-31714</v>
      </c>
      <c r="X26" s="11">
        <v>-88228</v>
      </c>
      <c r="Y26" s="11">
        <v>-82827</v>
      </c>
      <c r="Z26" s="34">
        <f t="shared" si="18"/>
        <v>-79661</v>
      </c>
      <c r="AA26" s="11">
        <v>-84911</v>
      </c>
      <c r="AB26" s="11">
        <v>-106466</v>
      </c>
      <c r="AC26" s="11">
        <v>-100125</v>
      </c>
      <c r="AD26" s="11">
        <f t="shared" si="23"/>
        <v>-100267</v>
      </c>
      <c r="AE26" s="11">
        <v>101369</v>
      </c>
      <c r="AS26" s="11">
        <v>-134760</v>
      </c>
      <c r="AT26" s="11">
        <v>-179685</v>
      </c>
      <c r="AU26" s="11">
        <v>-207033</v>
      </c>
      <c r="AV26" s="11">
        <v>-268929</v>
      </c>
      <c r="AW26" s="11">
        <v>-294265</v>
      </c>
      <c r="AX26" s="11">
        <v>-15801</v>
      </c>
      <c r="AY26" s="11">
        <v>99490</v>
      </c>
      <c r="AZ26" s="11">
        <v>-91883</v>
      </c>
      <c r="BA26" s="11">
        <v>-108127</v>
      </c>
      <c r="BB26" s="11">
        <v>61685</v>
      </c>
      <c r="BC26" s="11">
        <f>SUM(S26:V26)</f>
        <v>-159779</v>
      </c>
      <c r="BD26" s="11">
        <v>-282430</v>
      </c>
      <c r="BE26" s="11">
        <v>-391769</v>
      </c>
      <c r="BF26" s="11">
        <f>+BF25*(AVERAGE(-0.25,-0.27))</f>
        <v>-478305.59384567942</v>
      </c>
      <c r="BG26" s="11">
        <f t="shared" ref="BG26:BO26" si="40">+BG25*(BF26/BF25)</f>
        <v>-553731.99254729622</v>
      </c>
      <c r="BH26" s="11">
        <f t="shared" si="40"/>
        <v>-636714.83352100814</v>
      </c>
      <c r="BI26" s="11">
        <f t="shared" si="40"/>
        <v>-727892.21720366785</v>
      </c>
      <c r="BJ26" s="11">
        <f t="shared" si="40"/>
        <v>-827951.64895861014</v>
      </c>
      <c r="BK26" s="11">
        <f t="shared" si="40"/>
        <v>-937633.67095967859</v>
      </c>
      <c r="BL26" s="11">
        <f t="shared" si="40"/>
        <v>-1057735.7520493516</v>
      </c>
      <c r="BM26" s="11">
        <f t="shared" si="40"/>
        <v>-1189116.4534531054</v>
      </c>
      <c r="BN26" s="11">
        <f t="shared" si="40"/>
        <v>-1332699.8894493736</v>
      </c>
      <c r="BO26" s="11">
        <f t="shared" si="40"/>
        <v>-1489480.5033932591</v>
      </c>
    </row>
    <row r="27" spans="1:267" s="19" customFormat="1">
      <c r="A27" s="23"/>
      <c r="B27" s="14" t="s">
        <v>103</v>
      </c>
      <c r="C27" s="19">
        <f>+C25+C26</f>
        <v>49770</v>
      </c>
      <c r="D27" s="19">
        <f>+D25+D26</f>
        <v>66346</v>
      </c>
      <c r="E27" s="19">
        <f>+E25+E26</f>
        <v>26357</v>
      </c>
      <c r="F27" s="19">
        <f t="shared" si="19"/>
        <v>246105</v>
      </c>
      <c r="G27" s="19">
        <f>+G25+G26</f>
        <v>64305</v>
      </c>
      <c r="H27" s="19">
        <f>+H25+H26</f>
        <v>92206</v>
      </c>
      <c r="I27" s="19">
        <f>+I25+I26</f>
        <v>44658</v>
      </c>
      <c r="J27" s="19">
        <f t="shared" si="26"/>
        <v>42023</v>
      </c>
      <c r="K27" s="19">
        <f>+K25+K26</f>
        <v>95074</v>
      </c>
      <c r="L27" s="19">
        <f>+L25+L26</f>
        <v>95515</v>
      </c>
      <c r="M27" s="19">
        <f>+M25+M26</f>
        <v>104509</v>
      </c>
      <c r="N27" s="19">
        <f t="shared" si="20"/>
        <v>78604</v>
      </c>
      <c r="O27" s="19">
        <f>+O25+O26</f>
        <v>85724</v>
      </c>
      <c r="P27" s="19">
        <f>+P25+P26</f>
        <v>13561</v>
      </c>
      <c r="Q27" s="19">
        <f>+Q25+Q26</f>
        <v>88235</v>
      </c>
      <c r="R27" s="19">
        <f t="shared" si="17"/>
        <v>198523</v>
      </c>
      <c r="S27" s="19">
        <f>+S25+S26</f>
        <v>132769</v>
      </c>
      <c r="T27" s="19">
        <f>+T25+T26</f>
        <v>192240</v>
      </c>
      <c r="U27" s="19">
        <f>+U25+U26</f>
        <v>209092</v>
      </c>
      <c r="V27" s="19">
        <f t="shared" ref="V27" si="41">+V25+V26</f>
        <v>138174</v>
      </c>
      <c r="W27" s="19">
        <f>+W25+W26</f>
        <v>162604</v>
      </c>
      <c r="X27" s="19">
        <f>+X25+X26</f>
        <v>264623</v>
      </c>
      <c r="Y27" s="19">
        <f>+Y25+Y26</f>
        <v>263501</v>
      </c>
      <c r="Z27" s="35">
        <f t="shared" si="18"/>
        <v>229512</v>
      </c>
      <c r="AA27" s="19">
        <f>+AA25+AA26</f>
        <v>300005</v>
      </c>
      <c r="AB27" s="19">
        <f>+AB25+AB26</f>
        <v>358030</v>
      </c>
      <c r="AC27" s="19">
        <f>+AC25+AC26</f>
        <v>320458</v>
      </c>
      <c r="AD27" s="19">
        <f t="shared" si="23"/>
        <v>288614</v>
      </c>
      <c r="AE27" s="19">
        <f>+AE25-AE26</f>
        <v>364766</v>
      </c>
      <c r="AS27" s="19">
        <f t="shared" ref="AS27:BB27" si="42">+AS25+AS26</f>
        <v>220751</v>
      </c>
      <c r="AT27" s="19">
        <f t="shared" si="42"/>
        <v>283027</v>
      </c>
      <c r="AU27" s="19">
        <f t="shared" si="42"/>
        <v>334189</v>
      </c>
      <c r="AV27" s="19">
        <f t="shared" si="42"/>
        <v>452350</v>
      </c>
      <c r="AW27" s="19">
        <f t="shared" si="42"/>
        <v>488796</v>
      </c>
      <c r="AX27" s="19">
        <f t="shared" si="42"/>
        <v>46815</v>
      </c>
      <c r="AY27" s="19">
        <f t="shared" si="42"/>
        <v>388578</v>
      </c>
      <c r="AZ27" s="19">
        <f t="shared" si="42"/>
        <v>243192</v>
      </c>
      <c r="BA27" s="19">
        <f t="shared" si="42"/>
        <v>373702</v>
      </c>
      <c r="BB27" s="19">
        <f t="shared" si="42"/>
        <v>386043</v>
      </c>
      <c r="BC27" s="19">
        <f>SUM(S27:V27)</f>
        <v>672275</v>
      </c>
      <c r="BD27" s="19">
        <f>+SUM(BD25:BD26)</f>
        <v>920240</v>
      </c>
      <c r="BE27" s="19">
        <f>+SUM(BE25:BE26)</f>
        <v>1267107</v>
      </c>
      <c r="BF27" s="19">
        <f t="shared" ref="BF27:BO27" si="43">+BF25-BF26</f>
        <v>2317942.4932521386</v>
      </c>
      <c r="BG27" s="19">
        <f t="shared" si="43"/>
        <v>2683470.4254215127</v>
      </c>
      <c r="BH27" s="19">
        <f t="shared" si="43"/>
        <v>3085618.0393710393</v>
      </c>
      <c r="BI27" s="19">
        <f t="shared" si="43"/>
        <v>3527477.6679870058</v>
      </c>
      <c r="BJ27" s="19">
        <f t="shared" si="43"/>
        <v>4012381.0680301879</v>
      </c>
      <c r="BK27" s="19">
        <f t="shared" si="43"/>
        <v>4543917.0208045961</v>
      </c>
      <c r="BL27" s="19">
        <f t="shared" si="43"/>
        <v>5125950.1830083951</v>
      </c>
      <c r="BM27" s="19">
        <f t="shared" si="43"/>
        <v>5762641.2744265869</v>
      </c>
      <c r="BN27" s="19">
        <f t="shared" si="43"/>
        <v>6458468.6950238878</v>
      </c>
      <c r="BO27" s="19">
        <f t="shared" si="43"/>
        <v>7218251.6702904096</v>
      </c>
      <c r="BP27" s="19">
        <f t="shared" ref="BP27:EA27" si="44">+BO27*(1+$BS$33)</f>
        <v>7290434.186993314</v>
      </c>
      <c r="BQ27" s="19">
        <f t="shared" si="44"/>
        <v>7363338.5288632475</v>
      </c>
      <c r="BR27" s="19">
        <f t="shared" si="44"/>
        <v>7436971.91415188</v>
      </c>
      <c r="BS27" s="19">
        <f t="shared" si="44"/>
        <v>7511341.6332933987</v>
      </c>
      <c r="BT27" s="19">
        <f t="shared" si="44"/>
        <v>7586455.0496263327</v>
      </c>
      <c r="BU27" s="19">
        <f t="shared" si="44"/>
        <v>7662319.6001225961</v>
      </c>
      <c r="BV27" s="19">
        <f t="shared" si="44"/>
        <v>7738942.7961238222</v>
      </c>
      <c r="BW27" s="19">
        <f t="shared" si="44"/>
        <v>7816332.2240850609</v>
      </c>
      <c r="BX27" s="19">
        <f t="shared" si="44"/>
        <v>7894495.5463259118</v>
      </c>
      <c r="BY27" s="19">
        <f t="shared" si="44"/>
        <v>7973440.5017891712</v>
      </c>
      <c r="BZ27" s="19">
        <f t="shared" si="44"/>
        <v>8053174.9068070631</v>
      </c>
      <c r="CA27" s="19">
        <f t="shared" si="44"/>
        <v>8133706.6558751343</v>
      </c>
      <c r="CB27" s="19">
        <f t="shared" si="44"/>
        <v>8215043.7224338856</v>
      </c>
      <c r="CC27" s="19">
        <f t="shared" si="44"/>
        <v>8297194.1596582243</v>
      </c>
      <c r="CD27" s="19">
        <f t="shared" si="44"/>
        <v>8380166.1012548069</v>
      </c>
      <c r="CE27" s="19">
        <f t="shared" si="44"/>
        <v>8463967.7622673549</v>
      </c>
      <c r="CF27" s="19">
        <f t="shared" si="44"/>
        <v>8548607.4398900289</v>
      </c>
      <c r="CG27" s="19">
        <f t="shared" si="44"/>
        <v>8634093.5142889284</v>
      </c>
      <c r="CH27" s="19">
        <f t="shared" si="44"/>
        <v>8720434.449431818</v>
      </c>
      <c r="CI27" s="19">
        <f t="shared" si="44"/>
        <v>8807638.7939261366</v>
      </c>
      <c r="CJ27" s="19">
        <f t="shared" si="44"/>
        <v>8895715.1818653978</v>
      </c>
      <c r="CK27" s="19">
        <f t="shared" si="44"/>
        <v>8984672.3336840514</v>
      </c>
      <c r="CL27" s="19">
        <f t="shared" si="44"/>
        <v>9074519.0570208915</v>
      </c>
      <c r="CM27" s="19">
        <f t="shared" si="44"/>
        <v>9165264.2475911006</v>
      </c>
      <c r="CN27" s="19">
        <f t="shared" si="44"/>
        <v>9256916.8900670111</v>
      </c>
      <c r="CO27" s="19">
        <f t="shared" si="44"/>
        <v>9349486.0589676816</v>
      </c>
      <c r="CP27" s="19">
        <f t="shared" si="44"/>
        <v>9442980.9195573591</v>
      </c>
      <c r="CQ27" s="19">
        <f t="shared" si="44"/>
        <v>9537410.7287529334</v>
      </c>
      <c r="CR27" s="19">
        <f t="shared" si="44"/>
        <v>9632784.8360404633</v>
      </c>
      <c r="CS27" s="19">
        <f t="shared" si="44"/>
        <v>9729112.6844008677</v>
      </c>
      <c r="CT27" s="19">
        <f t="shared" si="44"/>
        <v>9826403.8112448771</v>
      </c>
      <c r="CU27" s="19">
        <f t="shared" si="44"/>
        <v>9924667.8493573256</v>
      </c>
      <c r="CV27" s="19">
        <f t="shared" si="44"/>
        <v>10023914.5278509</v>
      </c>
      <c r="CW27" s="19">
        <f t="shared" si="44"/>
        <v>10124153.67312941</v>
      </c>
      <c r="CX27" s="19">
        <f t="shared" si="44"/>
        <v>10225395.209860703</v>
      </c>
      <c r="CY27" s="19">
        <f t="shared" si="44"/>
        <v>10327649.161959311</v>
      </c>
      <c r="CZ27" s="19">
        <f t="shared" si="44"/>
        <v>10430925.653578904</v>
      </c>
      <c r="DA27" s="19">
        <f t="shared" si="44"/>
        <v>10535234.910114693</v>
      </c>
      <c r="DB27" s="19">
        <f t="shared" si="44"/>
        <v>10640587.259215839</v>
      </c>
      <c r="DC27" s="19">
        <f t="shared" si="44"/>
        <v>10746993.131807998</v>
      </c>
      <c r="DD27" s="19">
        <f t="shared" si="44"/>
        <v>10854463.063126078</v>
      </c>
      <c r="DE27" s="19">
        <f t="shared" si="44"/>
        <v>10963007.693757338</v>
      </c>
      <c r="DF27" s="19">
        <f t="shared" si="44"/>
        <v>11072637.770694911</v>
      </c>
      <c r="DG27" s="19">
        <f t="shared" si="44"/>
        <v>11183364.14840186</v>
      </c>
      <c r="DH27" s="19">
        <f t="shared" si="44"/>
        <v>11295197.789885879</v>
      </c>
      <c r="DI27" s="19">
        <f t="shared" si="44"/>
        <v>11408149.767784737</v>
      </c>
      <c r="DJ27" s="19">
        <f t="shared" si="44"/>
        <v>11522231.265462585</v>
      </c>
      <c r="DK27" s="19">
        <f t="shared" si="44"/>
        <v>11637453.57811721</v>
      </c>
      <c r="DL27" s="19">
        <f t="shared" si="44"/>
        <v>11753828.113898383</v>
      </c>
      <c r="DM27" s="19">
        <f t="shared" si="44"/>
        <v>11871366.395037368</v>
      </c>
      <c r="DN27" s="19">
        <f t="shared" si="44"/>
        <v>11990080.058987742</v>
      </c>
      <c r="DO27" s="19">
        <f t="shared" si="44"/>
        <v>12109980.85957762</v>
      </c>
      <c r="DP27" s="19">
        <f t="shared" si="44"/>
        <v>12231080.668173397</v>
      </c>
      <c r="DQ27" s="19">
        <f t="shared" si="44"/>
        <v>12353391.474855131</v>
      </c>
      <c r="DR27" s="19">
        <f t="shared" si="44"/>
        <v>12476925.389603682</v>
      </c>
      <c r="DS27" s="19">
        <f t="shared" si="44"/>
        <v>12601694.643499719</v>
      </c>
      <c r="DT27" s="19">
        <f t="shared" si="44"/>
        <v>12727711.589934716</v>
      </c>
      <c r="DU27" s="19">
        <f t="shared" si="44"/>
        <v>12854988.705834063</v>
      </c>
      <c r="DV27" s="19">
        <f t="shared" si="44"/>
        <v>12983538.592892403</v>
      </c>
      <c r="DW27" s="19">
        <f t="shared" si="44"/>
        <v>13113373.978821326</v>
      </c>
      <c r="DX27" s="19">
        <f t="shared" si="44"/>
        <v>13244507.71860954</v>
      </c>
      <c r="DY27" s="19">
        <f t="shared" si="44"/>
        <v>13376952.795795634</v>
      </c>
      <c r="DZ27" s="19">
        <f t="shared" si="44"/>
        <v>13510722.323753592</v>
      </c>
      <c r="EA27" s="19">
        <f t="shared" si="44"/>
        <v>13645829.546991128</v>
      </c>
      <c r="EB27" s="19">
        <f t="shared" ref="EB27:GM27" si="45">+EA27*(1+$BS$33)</f>
        <v>13782287.84246104</v>
      </c>
      <c r="EC27" s="19">
        <f t="shared" si="45"/>
        <v>13920110.720885651</v>
      </c>
      <c r="ED27" s="19">
        <f t="shared" si="45"/>
        <v>14059311.828094508</v>
      </c>
      <c r="EE27" s="19">
        <f t="shared" si="45"/>
        <v>14199904.946375454</v>
      </c>
      <c r="EF27" s="19">
        <f t="shared" si="45"/>
        <v>14341903.995839208</v>
      </c>
      <c r="EG27" s="19">
        <f t="shared" si="45"/>
        <v>14485323.0357976</v>
      </c>
      <c r="EH27" s="19">
        <f t="shared" si="45"/>
        <v>14630176.266155576</v>
      </c>
      <c r="EI27" s="19">
        <f t="shared" si="45"/>
        <v>14776478.028817132</v>
      </c>
      <c r="EJ27" s="19">
        <f t="shared" si="45"/>
        <v>14924242.809105303</v>
      </c>
      <c r="EK27" s="19">
        <f t="shared" si="45"/>
        <v>15073485.237196356</v>
      </c>
      <c r="EL27" s="19">
        <f t="shared" si="45"/>
        <v>15224220.089568321</v>
      </c>
      <c r="EM27" s="19">
        <f t="shared" si="45"/>
        <v>15376462.290464005</v>
      </c>
      <c r="EN27" s="19">
        <f t="shared" si="45"/>
        <v>15530226.913368644</v>
      </c>
      <c r="EO27" s="19">
        <f t="shared" si="45"/>
        <v>15685529.182502331</v>
      </c>
      <c r="EP27" s="19">
        <f t="shared" si="45"/>
        <v>15842384.474327354</v>
      </c>
      <c r="EQ27" s="19">
        <f t="shared" si="45"/>
        <v>16000808.319070628</v>
      </c>
      <c r="ER27" s="19">
        <f t="shared" si="45"/>
        <v>16160816.402261334</v>
      </c>
      <c r="ES27" s="19">
        <f t="shared" si="45"/>
        <v>16322424.566283947</v>
      </c>
      <c r="ET27" s="19">
        <f t="shared" si="45"/>
        <v>16485648.811946787</v>
      </c>
      <c r="EU27" s="19">
        <f t="shared" si="45"/>
        <v>16650505.300066255</v>
      </c>
      <c r="EV27" s="19">
        <f t="shared" si="45"/>
        <v>16817010.353066918</v>
      </c>
      <c r="EW27" s="19">
        <f t="shared" si="45"/>
        <v>16985180.456597585</v>
      </c>
      <c r="EX27" s="19">
        <f t="shared" si="45"/>
        <v>17155032.261163563</v>
      </c>
      <c r="EY27" s="19">
        <f t="shared" si="45"/>
        <v>17326582.5837752</v>
      </c>
      <c r="EZ27" s="19">
        <f t="shared" si="45"/>
        <v>17499848.409612954</v>
      </c>
      <c r="FA27" s="19">
        <f t="shared" si="45"/>
        <v>17674846.893709082</v>
      </c>
      <c r="FB27" s="19">
        <f t="shared" si="45"/>
        <v>17851595.362646174</v>
      </c>
      <c r="FC27" s="19">
        <f t="shared" si="45"/>
        <v>18030111.316272635</v>
      </c>
      <c r="FD27" s="19">
        <f t="shared" si="45"/>
        <v>18210412.429435361</v>
      </c>
      <c r="FE27" s="19">
        <f t="shared" si="45"/>
        <v>18392516.553729717</v>
      </c>
      <c r="FF27" s="19">
        <f t="shared" si="45"/>
        <v>18576441.719267014</v>
      </c>
      <c r="FG27" s="19">
        <f t="shared" si="45"/>
        <v>18762206.136459686</v>
      </c>
      <c r="FH27" s="19">
        <f t="shared" si="45"/>
        <v>18949828.197824284</v>
      </c>
      <c r="FI27" s="19">
        <f t="shared" si="45"/>
        <v>19139326.479802527</v>
      </c>
      <c r="FJ27" s="19">
        <f t="shared" si="45"/>
        <v>19330719.744600553</v>
      </c>
      <c r="FK27" s="19">
        <f t="shared" si="45"/>
        <v>19524026.94204656</v>
      </c>
      <c r="FL27" s="19">
        <f t="shared" si="45"/>
        <v>19719267.211467028</v>
      </c>
      <c r="FM27" s="19">
        <f t="shared" si="45"/>
        <v>19916459.883581698</v>
      </c>
      <c r="FN27" s="19">
        <f t="shared" si="45"/>
        <v>20115624.482417516</v>
      </c>
      <c r="FO27" s="19">
        <f t="shared" si="45"/>
        <v>20316780.727241691</v>
      </c>
      <c r="FP27" s="19">
        <f t="shared" si="45"/>
        <v>20519948.534514107</v>
      </c>
      <c r="FQ27" s="19">
        <f t="shared" si="45"/>
        <v>20725148.019859247</v>
      </c>
      <c r="FR27" s="19">
        <f t="shared" si="45"/>
        <v>20932399.500057839</v>
      </c>
      <c r="FS27" s="19">
        <f t="shared" si="45"/>
        <v>21141723.495058417</v>
      </c>
      <c r="FT27" s="19">
        <f t="shared" si="45"/>
        <v>21353140.730009001</v>
      </c>
      <c r="FU27" s="19">
        <f t="shared" si="45"/>
        <v>21566672.137309089</v>
      </c>
      <c r="FV27" s="19">
        <f t="shared" si="45"/>
        <v>21782338.858682182</v>
      </c>
      <c r="FW27" s="19">
        <f t="shared" si="45"/>
        <v>22000162.247269005</v>
      </c>
      <c r="FX27" s="19">
        <f t="shared" si="45"/>
        <v>22220163.869741693</v>
      </c>
      <c r="FY27" s="19">
        <f t="shared" si="45"/>
        <v>22442365.508439109</v>
      </c>
      <c r="FZ27" s="19">
        <f t="shared" si="45"/>
        <v>22666789.163523499</v>
      </c>
      <c r="GA27" s="19">
        <f t="shared" si="45"/>
        <v>22893457.055158734</v>
      </c>
      <c r="GB27" s="19">
        <f t="shared" si="45"/>
        <v>23122391.625710323</v>
      </c>
      <c r="GC27" s="19">
        <f t="shared" si="45"/>
        <v>23353615.541967425</v>
      </c>
      <c r="GD27" s="19">
        <f t="shared" si="45"/>
        <v>23587151.697387099</v>
      </c>
      <c r="GE27" s="19">
        <f t="shared" si="45"/>
        <v>23823023.214360971</v>
      </c>
      <c r="GF27" s="19">
        <f t="shared" si="45"/>
        <v>24061253.446504582</v>
      </c>
      <c r="GG27" s="19">
        <f t="shared" si="45"/>
        <v>24301865.980969626</v>
      </c>
      <c r="GH27" s="19">
        <f t="shared" si="45"/>
        <v>24544884.640779324</v>
      </c>
      <c r="GI27" s="19">
        <f t="shared" si="45"/>
        <v>24790333.487187117</v>
      </c>
      <c r="GJ27" s="19">
        <f t="shared" si="45"/>
        <v>25038236.822058987</v>
      </c>
      <c r="GK27" s="19">
        <f t="shared" si="45"/>
        <v>25288619.190279577</v>
      </c>
      <c r="GL27" s="19">
        <f t="shared" si="45"/>
        <v>25541505.382182375</v>
      </c>
      <c r="GM27" s="19">
        <f t="shared" si="45"/>
        <v>25796920.436004199</v>
      </c>
      <c r="GN27" s="19">
        <f t="shared" ref="GN27:IY27" si="46">+GM27*(1+$BS$33)</f>
        <v>26054889.640364241</v>
      </c>
      <c r="GO27" s="19">
        <f t="shared" si="46"/>
        <v>26315438.536767885</v>
      </c>
      <c r="GP27" s="19">
        <f t="shared" si="46"/>
        <v>26578592.922135565</v>
      </c>
      <c r="GQ27" s="19">
        <f t="shared" si="46"/>
        <v>26844378.85135692</v>
      </c>
      <c r="GR27" s="19">
        <f t="shared" si="46"/>
        <v>27112822.639870491</v>
      </c>
      <c r="GS27" s="19">
        <f t="shared" si="46"/>
        <v>27383950.866269197</v>
      </c>
      <c r="GT27" s="19">
        <f t="shared" si="46"/>
        <v>27657790.374931891</v>
      </c>
      <c r="GU27" s="19">
        <f t="shared" si="46"/>
        <v>27934368.278681211</v>
      </c>
      <c r="GV27" s="19">
        <f t="shared" si="46"/>
        <v>28213711.961468022</v>
      </c>
      <c r="GW27" s="19">
        <f t="shared" si="46"/>
        <v>28495849.081082702</v>
      </c>
      <c r="GX27" s="19">
        <f t="shared" si="46"/>
        <v>28780807.571893528</v>
      </c>
      <c r="GY27" s="19">
        <f t="shared" si="46"/>
        <v>29068615.647612464</v>
      </c>
      <c r="GZ27" s="19">
        <f t="shared" si="46"/>
        <v>29359301.804088589</v>
      </c>
      <c r="HA27" s="19">
        <f t="shared" si="46"/>
        <v>29652894.822129473</v>
      </c>
      <c r="HB27" s="19">
        <f t="shared" si="46"/>
        <v>29949423.770350769</v>
      </c>
      <c r="HC27" s="19">
        <f t="shared" si="46"/>
        <v>30248918.008054279</v>
      </c>
      <c r="HD27" s="19">
        <f t="shared" si="46"/>
        <v>30551407.188134823</v>
      </c>
      <c r="HE27" s="19">
        <f t="shared" si="46"/>
        <v>30856921.260016173</v>
      </c>
      <c r="HF27" s="19">
        <f t="shared" si="46"/>
        <v>31165490.472616334</v>
      </c>
      <c r="HG27" s="19">
        <f t="shared" si="46"/>
        <v>31477145.377342496</v>
      </c>
      <c r="HH27" s="19">
        <f t="shared" si="46"/>
        <v>31791916.83111592</v>
      </c>
      <c r="HI27" s="19">
        <f t="shared" si="46"/>
        <v>32109835.99942708</v>
      </c>
      <c r="HJ27" s="19">
        <f t="shared" si="46"/>
        <v>32430934.35942135</v>
      </c>
      <c r="HK27" s="19">
        <f t="shared" si="46"/>
        <v>32755243.703015562</v>
      </c>
      <c r="HL27" s="19">
        <f t="shared" si="46"/>
        <v>33082796.140045717</v>
      </c>
      <c r="HM27" s="19">
        <f t="shared" si="46"/>
        <v>33413624.101446174</v>
      </c>
      <c r="HN27" s="19">
        <f t="shared" si="46"/>
        <v>33747760.34246064</v>
      </c>
      <c r="HO27" s="19">
        <f t="shared" si="46"/>
        <v>34085237.945885248</v>
      </c>
      <c r="HP27" s="19">
        <f t="shared" si="46"/>
        <v>34426090.325344101</v>
      </c>
      <c r="HQ27" s="19">
        <f t="shared" si="46"/>
        <v>34770351.228597544</v>
      </c>
      <c r="HR27" s="19">
        <f t="shared" si="46"/>
        <v>35118054.740883522</v>
      </c>
      <c r="HS27" s="19">
        <f t="shared" si="46"/>
        <v>35469235.288292356</v>
      </c>
      <c r="HT27" s="19">
        <f t="shared" si="46"/>
        <v>35823927.641175278</v>
      </c>
      <c r="HU27" s="19">
        <f t="shared" si="46"/>
        <v>36182166.917587027</v>
      </c>
      <c r="HV27" s="19">
        <f t="shared" si="46"/>
        <v>36543988.586762898</v>
      </c>
      <c r="HW27" s="19">
        <f t="shared" si="46"/>
        <v>36909428.472630531</v>
      </c>
      <c r="HX27" s="19">
        <f t="shared" si="46"/>
        <v>37278522.757356837</v>
      </c>
      <c r="HY27" s="19">
        <f t="shared" si="46"/>
        <v>37651307.984930404</v>
      </c>
      <c r="HZ27" s="19">
        <f t="shared" si="46"/>
        <v>38027821.064779706</v>
      </c>
      <c r="IA27" s="19">
        <f t="shared" si="46"/>
        <v>38408099.275427505</v>
      </c>
      <c r="IB27" s="19">
        <f t="shared" si="46"/>
        <v>38792180.268181778</v>
      </c>
      <c r="IC27" s="19">
        <f t="shared" si="46"/>
        <v>39180102.070863597</v>
      </c>
      <c r="ID27" s="19">
        <f t="shared" si="46"/>
        <v>39571903.091572233</v>
      </c>
      <c r="IE27" s="19">
        <f t="shared" si="46"/>
        <v>39967622.122487955</v>
      </c>
      <c r="IF27" s="19">
        <f t="shared" si="46"/>
        <v>40367298.343712837</v>
      </c>
      <c r="IG27" s="19">
        <f t="shared" si="46"/>
        <v>40770971.327149965</v>
      </c>
      <c r="IH27" s="19">
        <f t="shared" si="46"/>
        <v>41178681.040421464</v>
      </c>
      <c r="II27" s="19">
        <f t="shared" si="46"/>
        <v>41590467.850825675</v>
      </c>
      <c r="IJ27" s="19">
        <f t="shared" si="46"/>
        <v>42006372.529333934</v>
      </c>
      <c r="IK27" s="19">
        <f t="shared" si="46"/>
        <v>42426436.254627272</v>
      </c>
      <c r="IL27" s="19">
        <f t="shared" si="46"/>
        <v>42850700.617173545</v>
      </c>
      <c r="IM27" s="19">
        <f t="shared" si="46"/>
        <v>43279207.623345278</v>
      </c>
      <c r="IN27" s="19">
        <f t="shared" si="46"/>
        <v>43711999.699578732</v>
      </c>
      <c r="IO27" s="19">
        <f t="shared" si="46"/>
        <v>44149119.696574517</v>
      </c>
      <c r="IP27" s="19">
        <f t="shared" si="46"/>
        <v>44590610.893540263</v>
      </c>
      <c r="IQ27" s="19">
        <f t="shared" si="46"/>
        <v>45036517.002475664</v>
      </c>
      <c r="IR27" s="19">
        <f t="shared" si="46"/>
        <v>45486882.172500424</v>
      </c>
      <c r="IS27" s="19">
        <f t="shared" si="46"/>
        <v>45941750.994225428</v>
      </c>
      <c r="IT27" s="19">
        <f t="shared" si="46"/>
        <v>46401168.504167683</v>
      </c>
      <c r="IU27" s="19">
        <f t="shared" si="46"/>
        <v>46865180.189209364</v>
      </c>
      <c r="IV27" s="19">
        <f t="shared" si="46"/>
        <v>47333831.991101459</v>
      </c>
      <c r="IW27" s="19">
        <f t="shared" si="46"/>
        <v>47807170.311012477</v>
      </c>
      <c r="IX27" s="19">
        <f t="shared" si="46"/>
        <v>48285242.014122605</v>
      </c>
      <c r="IY27" s="19">
        <f t="shared" si="46"/>
        <v>48768094.434263833</v>
      </c>
      <c r="IZ27" s="19">
        <f t="shared" ref="IZ27:JG27" si="47">+IY27*(1+$BS$33)</f>
        <v>49255775.378606468</v>
      </c>
      <c r="JA27" s="19">
        <f t="shared" si="47"/>
        <v>49748333.132392533</v>
      </c>
      <c r="JB27" s="19">
        <f t="shared" si="47"/>
        <v>50245816.463716462</v>
      </c>
      <c r="JC27" s="19">
        <f t="shared" si="47"/>
        <v>50748274.628353626</v>
      </c>
      <c r="JD27" s="19">
        <f t="shared" si="47"/>
        <v>51255757.374637164</v>
      </c>
      <c r="JE27" s="19">
        <f t="shared" si="47"/>
        <v>51768314.94838354</v>
      </c>
      <c r="JF27" s="19">
        <f t="shared" si="47"/>
        <v>52285998.097867377</v>
      </c>
      <c r="JG27" s="19">
        <f t="shared" si="47"/>
        <v>52808858.078846052</v>
      </c>
    </row>
    <row r="28" spans="1:267">
      <c r="B28" s="9" t="s">
        <v>28</v>
      </c>
      <c r="C28" s="36">
        <v>1.6</v>
      </c>
      <c r="D28" s="36">
        <v>2.3199999999999998</v>
      </c>
      <c r="E28" s="36">
        <v>0.69</v>
      </c>
      <c r="F28" s="36">
        <f t="shared" si="19"/>
        <v>1.5600000000000005</v>
      </c>
      <c r="G28" s="36">
        <v>2.13</v>
      </c>
      <c r="H28" s="36">
        <v>1.68</v>
      </c>
      <c r="I28" s="36">
        <v>1.37</v>
      </c>
      <c r="J28" s="37">
        <f t="shared" si="26"/>
        <v>1.1299999999999999</v>
      </c>
      <c r="K28" s="36">
        <v>3.13</v>
      </c>
      <c r="L28" s="36">
        <v>3.22</v>
      </c>
      <c r="M28" s="36">
        <v>3.47</v>
      </c>
      <c r="N28" s="37">
        <f t="shared" si="20"/>
        <v>2.5600000000000005</v>
      </c>
      <c r="O28" s="36">
        <v>2.7</v>
      </c>
      <c r="P28" s="36">
        <v>0.28999999999999998</v>
      </c>
      <c r="Q28" s="36">
        <v>2.82</v>
      </c>
      <c r="R28" s="37">
        <f t="shared" si="17"/>
        <v>6.7099999999999991</v>
      </c>
      <c r="S28" s="36">
        <v>4.45</v>
      </c>
      <c r="T28" s="36">
        <v>0.28999999999999998</v>
      </c>
      <c r="U28" s="36">
        <f>+U27/U29</f>
        <v>7.3430026338893768</v>
      </c>
      <c r="V28" s="36">
        <f t="shared" ref="V28" si="48">+V27/V29</f>
        <v>4.850763559768299</v>
      </c>
      <c r="W28" s="36">
        <f>+W27/W29</f>
        <v>5.7455213596692696</v>
      </c>
      <c r="X28" s="36">
        <f>+X27/X29</f>
        <v>9.4198704257439836</v>
      </c>
      <c r="Y28" s="36">
        <f>+Y27/Y29</f>
        <v>9.4255615967949637</v>
      </c>
      <c r="Z28" s="38">
        <f t="shared" si="18"/>
        <v>8.2021476084553164</v>
      </c>
      <c r="AA28" s="36">
        <f>+AA27/AA29</f>
        <v>10.796206995825536</v>
      </c>
      <c r="AB28" s="36">
        <f>+AB27/AB29</f>
        <v>12.90337694165135</v>
      </c>
      <c r="AC28" s="36">
        <f>+AC27/AC29</f>
        <v>11.576821646616812</v>
      </c>
      <c r="AD28" s="36">
        <f t="shared" si="23"/>
        <v>10.451021337595222</v>
      </c>
      <c r="AE28" s="36">
        <f>+AE27/AE29</f>
        <v>13.204677092383434</v>
      </c>
      <c r="AS28" s="11">
        <v>6.76</v>
      </c>
      <c r="AT28" s="11">
        <v>8.75</v>
      </c>
      <c r="AU28" s="11">
        <v>10.47</v>
      </c>
      <c r="AV28" s="11">
        <v>14.13</v>
      </c>
      <c r="AW28" s="11">
        <v>15.1</v>
      </c>
      <c r="AX28" s="11">
        <v>0.77</v>
      </c>
      <c r="AY28" s="11">
        <v>6.17</v>
      </c>
      <c r="AZ28" s="11">
        <v>6.31</v>
      </c>
      <c r="BA28" s="11">
        <v>12.38</v>
      </c>
      <c r="BB28" s="11">
        <v>12.52</v>
      </c>
      <c r="BC28" s="11">
        <f>SUM(S28:V28)</f>
        <v>16.933766193657675</v>
      </c>
      <c r="BD28" s="11">
        <f>+BD27/BD29</f>
        <v>32.793100990663532</v>
      </c>
      <c r="BE28" s="11">
        <f>+BE27/BE29</f>
        <v>45.727426921688924</v>
      </c>
      <c r="BF28" s="11">
        <f>+BF27/BF29</f>
        <v>83.650035844537655</v>
      </c>
      <c r="BG28" s="11">
        <f t="shared" ref="BG28:BO28" si="49">+BG27/BG29</f>
        <v>96.841227911277969</v>
      </c>
      <c r="BH28" s="11">
        <f t="shared" si="49"/>
        <v>111.35395306283073</v>
      </c>
      <c r="BI28" s="11">
        <f t="shared" si="49"/>
        <v>127.29980757802258</v>
      </c>
      <c r="BJ28" s="11">
        <f t="shared" si="49"/>
        <v>144.79902807759609</v>
      </c>
      <c r="BK28" s="11">
        <f t="shared" si="49"/>
        <v>163.98112669810885</v>
      </c>
      <c r="BL28" s="11">
        <f t="shared" si="49"/>
        <v>184.98557138247546</v>
      </c>
      <c r="BM28" s="11">
        <f t="shared" si="49"/>
        <v>207.96251441452858</v>
      </c>
      <c r="BN28" s="11">
        <f t="shared" si="49"/>
        <v>233.07357253785233</v>
      </c>
      <c r="BO28" s="11">
        <f t="shared" si="49"/>
        <v>260.49266222628688</v>
      </c>
    </row>
    <row r="29" spans="1:267">
      <c r="B29" s="9" t="s">
        <v>104</v>
      </c>
      <c r="C29" s="11">
        <f t="shared" ref="C29:E29" si="50">+C27/C28</f>
        <v>31106.25</v>
      </c>
      <c r="D29" s="11">
        <f t="shared" si="50"/>
        <v>28597.413793103449</v>
      </c>
      <c r="E29" s="11">
        <f t="shared" si="50"/>
        <v>38198.550724637687</v>
      </c>
      <c r="F29" s="11">
        <f>+F27/F28</f>
        <v>157759.61538461535</v>
      </c>
      <c r="G29" s="11">
        <f t="shared" ref="G29:I29" si="51">+G27/G28</f>
        <v>30190.140845070426</v>
      </c>
      <c r="H29" s="11">
        <f t="shared" si="51"/>
        <v>54884.523809523809</v>
      </c>
      <c r="I29" s="11">
        <f t="shared" si="51"/>
        <v>32597.0802919708</v>
      </c>
      <c r="J29" s="11">
        <f>+J27/J28</f>
        <v>37188.495575221241</v>
      </c>
      <c r="K29" s="11">
        <f t="shared" ref="K29:S29" si="52">+K27/K28</f>
        <v>30375.079872204475</v>
      </c>
      <c r="L29" s="11">
        <f t="shared" si="52"/>
        <v>29663.043478260868</v>
      </c>
      <c r="M29" s="11">
        <f t="shared" si="52"/>
        <v>30117.8674351585</v>
      </c>
      <c r="N29" s="11">
        <f t="shared" si="52"/>
        <v>30704.687499999993</v>
      </c>
      <c r="O29" s="11">
        <f t="shared" si="52"/>
        <v>31749.629629629628</v>
      </c>
      <c r="P29" s="11">
        <f t="shared" si="52"/>
        <v>46762.068965517246</v>
      </c>
      <c r="Q29" s="11">
        <f t="shared" si="52"/>
        <v>31289.007092198583</v>
      </c>
      <c r="R29" s="11">
        <f t="shared" si="52"/>
        <v>29586.140089418783</v>
      </c>
      <c r="S29" s="11">
        <f t="shared" si="52"/>
        <v>29835.73033707865</v>
      </c>
      <c r="T29" s="11">
        <v>28501</v>
      </c>
      <c r="U29" s="11">
        <v>28475</v>
      </c>
      <c r="V29" s="11">
        <v>28485</v>
      </c>
      <c r="W29" s="11">
        <v>28301</v>
      </c>
      <c r="X29" s="11">
        <v>28092</v>
      </c>
      <c r="Y29" s="11">
        <v>27956</v>
      </c>
      <c r="Z29" s="34">
        <f>+Z27/Z28</f>
        <v>27981.939725566979</v>
      </c>
      <c r="AA29" s="11">
        <v>27788</v>
      </c>
      <c r="AB29" s="11">
        <v>27747</v>
      </c>
      <c r="AC29" s="11">
        <v>27681</v>
      </c>
      <c r="AD29" s="11">
        <f>+AD27/AD28</f>
        <v>27615.865538593382</v>
      </c>
      <c r="AE29" s="11">
        <v>27624</v>
      </c>
      <c r="AS29" s="11">
        <f t="shared" ref="AS29:BB29" si="53">+AS27/AS28</f>
        <v>32655.473372781067</v>
      </c>
      <c r="AT29" s="11">
        <f t="shared" si="53"/>
        <v>32345.942857142858</v>
      </c>
      <c r="AU29" s="11">
        <f t="shared" si="53"/>
        <v>31918.720152817572</v>
      </c>
      <c r="AV29" s="11">
        <f t="shared" si="53"/>
        <v>32013.446567586692</v>
      </c>
      <c r="AW29" s="11">
        <f t="shared" si="53"/>
        <v>32370.596026490068</v>
      </c>
      <c r="AX29" s="11">
        <f t="shared" si="53"/>
        <v>60798.7012987013</v>
      </c>
      <c r="AY29" s="11">
        <f t="shared" si="53"/>
        <v>62978.606158833063</v>
      </c>
      <c r="AZ29" s="11">
        <f t="shared" si="53"/>
        <v>38540.72900158479</v>
      </c>
      <c r="BA29" s="11">
        <f t="shared" si="53"/>
        <v>30185.945072697898</v>
      </c>
      <c r="BB29" s="11">
        <f t="shared" si="53"/>
        <v>30834.105431309905</v>
      </c>
      <c r="BC29" s="11">
        <f>+BB29</f>
        <v>30834.105431309905</v>
      </c>
      <c r="BD29" s="11">
        <v>28062</v>
      </c>
      <c r="BE29" s="11">
        <v>27710</v>
      </c>
      <c r="BF29" s="11">
        <f t="shared" ref="BF29:BO29" si="54">+BE29</f>
        <v>27710</v>
      </c>
      <c r="BG29" s="11">
        <f t="shared" si="54"/>
        <v>27710</v>
      </c>
      <c r="BH29" s="11">
        <f t="shared" si="54"/>
        <v>27710</v>
      </c>
      <c r="BI29" s="11">
        <f t="shared" si="54"/>
        <v>27710</v>
      </c>
      <c r="BJ29" s="11">
        <f t="shared" si="54"/>
        <v>27710</v>
      </c>
      <c r="BK29" s="11">
        <f t="shared" si="54"/>
        <v>27710</v>
      </c>
      <c r="BL29" s="11">
        <f t="shared" si="54"/>
        <v>27710</v>
      </c>
      <c r="BM29" s="11">
        <f t="shared" si="54"/>
        <v>27710</v>
      </c>
      <c r="BN29" s="11">
        <f t="shared" si="54"/>
        <v>27710</v>
      </c>
      <c r="BO29" s="11">
        <f t="shared" si="54"/>
        <v>27710</v>
      </c>
    </row>
    <row r="31" spans="1:267">
      <c r="B31" s="39" t="s">
        <v>37</v>
      </c>
      <c r="BD31" s="28"/>
      <c r="BR31" s="40"/>
      <c r="BS31" s="40"/>
    </row>
    <row r="32" spans="1:267">
      <c r="B32" s="9" t="s">
        <v>93</v>
      </c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>
        <f t="shared" ref="S32:Z39" si="55">+IFERROR(S12/O12-1,0)</f>
        <v>0.22385649699704091</v>
      </c>
      <c r="T32" s="28">
        <f t="shared" si="55"/>
        <v>0</v>
      </c>
      <c r="U32" s="28">
        <f t="shared" si="55"/>
        <v>0.22201114880781114</v>
      </c>
      <c r="V32" s="28">
        <f t="shared" si="55"/>
        <v>-0.33968553259975087</v>
      </c>
      <c r="W32" s="28">
        <f t="shared" si="55"/>
        <v>0.16489956235176195</v>
      </c>
      <c r="X32" s="28">
        <f t="shared" si="55"/>
        <v>0.17301971525090076</v>
      </c>
      <c r="Y32" s="28">
        <f t="shared" si="55"/>
        <v>0.1396841972894971</v>
      </c>
      <c r="Z32" s="28">
        <f>+IFERROR(Z12/V12-1,0)</f>
        <v>0.11575818356660927</v>
      </c>
      <c r="AA32" s="28">
        <f t="shared" ref="AA32:AE39" si="56">+IFERROR(AA12/W12-1,0)</f>
        <v>0.17611843382245529</v>
      </c>
      <c r="AB32" s="28">
        <f t="shared" si="56"/>
        <v>0.13895782656163203</v>
      </c>
      <c r="AC32" s="28">
        <f t="shared" si="56"/>
        <v>0.11519722694448076</v>
      </c>
      <c r="AD32" s="28">
        <f t="shared" si="56"/>
        <v>0.15511757205831866</v>
      </c>
      <c r="AE32" s="28">
        <f t="shared" si="56"/>
        <v>0.14182761529198751</v>
      </c>
      <c r="BD32" s="28"/>
      <c r="BR32" s="41" t="s">
        <v>105</v>
      </c>
      <c r="BS32" s="42">
        <v>0.01</v>
      </c>
    </row>
    <row r="33" spans="1:71">
      <c r="B33" s="9" t="s">
        <v>94</v>
      </c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>
        <f t="shared" si="55"/>
        <v>1.9560947429231659</v>
      </c>
      <c r="T33" s="28">
        <f t="shared" si="55"/>
        <v>0</v>
      </c>
      <c r="U33" s="28">
        <f t="shared" si="55"/>
        <v>-8.6159669306240527E-3</v>
      </c>
      <c r="V33" s="28">
        <f t="shared" si="55"/>
        <v>-0.39957573186253714</v>
      </c>
      <c r="W33" s="28">
        <f t="shared" si="55"/>
        <v>-0.15641977721321088</v>
      </c>
      <c r="X33" s="28">
        <f t="shared" si="55"/>
        <v>-0.1137530746990032</v>
      </c>
      <c r="Y33" s="28">
        <f t="shared" si="55"/>
        <v>-0.10383803878227671</v>
      </c>
      <c r="Z33" s="28">
        <f t="shared" si="55"/>
        <v>-0.21368004522328998</v>
      </c>
      <c r="AA33" s="28">
        <f t="shared" si="56"/>
        <v>-0.18588704072649775</v>
      </c>
      <c r="AB33" s="28">
        <f t="shared" si="56"/>
        <v>-0.15800749866095343</v>
      </c>
      <c r="AC33" s="28">
        <f t="shared" si="56"/>
        <v>-0.10818992095969504</v>
      </c>
      <c r="AD33" s="28">
        <f t="shared" si="56"/>
        <v>3.6544452432303309E-3</v>
      </c>
      <c r="AE33" s="28">
        <f t="shared" si="56"/>
        <v>-9.6750327243754208E-3</v>
      </c>
      <c r="BD33" s="28"/>
      <c r="BR33" s="43" t="s">
        <v>106</v>
      </c>
      <c r="BS33" s="44">
        <v>0.01</v>
      </c>
    </row>
    <row r="34" spans="1:71" s="19" customFormat="1">
      <c r="A34" s="23"/>
      <c r="B34" s="14" t="s">
        <v>95</v>
      </c>
      <c r="G34" s="45">
        <f t="shared" ref="G34:Y39" si="57">+IFERROR(G14/C14-1,0)</f>
        <v>7.4444087875609632E-2</v>
      </c>
      <c r="H34" s="45">
        <f t="shared" si="57"/>
        <v>8.3042801962358803E-2</v>
      </c>
      <c r="I34" s="45">
        <f t="shared" si="57"/>
        <v>8.5927873526027598E-2</v>
      </c>
      <c r="J34" s="45">
        <f t="shared" si="57"/>
        <v>0.10355913881632284</v>
      </c>
      <c r="K34" s="45">
        <f t="shared" si="57"/>
        <v>0.13916790099590992</v>
      </c>
      <c r="L34" s="45">
        <f t="shared" si="57"/>
        <v>0.13241875375043421</v>
      </c>
      <c r="M34" s="45">
        <f t="shared" si="57"/>
        <v>0.14586855422050649</v>
      </c>
      <c r="N34" s="45">
        <f t="shared" si="57"/>
        <v>0.17563451942393082</v>
      </c>
      <c r="O34" s="45">
        <f t="shared" si="57"/>
        <v>7.8392957743248948E-2</v>
      </c>
      <c r="P34" s="45">
        <f t="shared" si="57"/>
        <v>-4.8453143182653258E-2</v>
      </c>
      <c r="Q34" s="45">
        <f t="shared" si="57"/>
        <v>0.14085447215460323</v>
      </c>
      <c r="R34" s="45">
        <f t="shared" si="57"/>
        <v>0.11629163241273588</v>
      </c>
      <c r="S34" s="45">
        <f t="shared" si="57"/>
        <v>0.23448367276923565</v>
      </c>
      <c r="T34" s="45">
        <f t="shared" si="57"/>
        <v>0.38674089825299807</v>
      </c>
      <c r="U34" s="45">
        <f t="shared" si="57"/>
        <v>0.21911947816117516</v>
      </c>
      <c r="V34" s="45">
        <f t="shared" si="57"/>
        <v>0.21951906749351568</v>
      </c>
      <c r="W34" s="45">
        <f t="shared" si="57"/>
        <v>0.1601791481848327</v>
      </c>
      <c r="X34" s="45">
        <f t="shared" si="57"/>
        <v>0.16950835333293179</v>
      </c>
      <c r="Y34" s="45">
        <f t="shared" si="57"/>
        <v>0.13720122008999569</v>
      </c>
      <c r="Z34" s="45">
        <f t="shared" si="55"/>
        <v>0.11219131780399483</v>
      </c>
      <c r="AA34" s="45">
        <f t="shared" si="56"/>
        <v>0.17225156257810426</v>
      </c>
      <c r="AB34" s="45">
        <f t="shared" si="56"/>
        <v>0.13620236213250658</v>
      </c>
      <c r="AC34" s="45">
        <f t="shared" si="56"/>
        <v>0.11340232188904031</v>
      </c>
      <c r="AD34" s="45">
        <f t="shared" si="56"/>
        <v>0.1539581555343279</v>
      </c>
      <c r="AE34" s="45">
        <f t="shared" si="56"/>
        <v>0.14070371277305393</v>
      </c>
      <c r="AU34" s="45">
        <f t="shared" ref="AU34:BO34" si="58">+AU14/AT14-1</f>
        <v>0.17697816070743366</v>
      </c>
      <c r="AV34" s="45">
        <f t="shared" si="58"/>
        <v>0.27800675109212958</v>
      </c>
      <c r="AW34" s="45">
        <f t="shared" si="58"/>
        <v>9.5649530252279069E-2</v>
      </c>
      <c r="AX34" s="45">
        <f t="shared" si="58"/>
        <v>-0.13259485255451686</v>
      </c>
      <c r="AY34" s="45">
        <f t="shared" si="58"/>
        <v>0.14650915483722904</v>
      </c>
      <c r="AZ34" s="45">
        <f t="shared" si="58"/>
        <v>8.6804565799573519E-2</v>
      </c>
      <c r="BA34" s="45">
        <f t="shared" si="58"/>
        <v>0.14828082717623992</v>
      </c>
      <c r="BB34" s="45">
        <f t="shared" si="58"/>
        <v>7.1292283055415684E-2</v>
      </c>
      <c r="BC34" s="45">
        <f t="shared" si="58"/>
        <v>0.26107310823017738</v>
      </c>
      <c r="BD34" s="45">
        <f t="shared" si="58"/>
        <v>0.14410788517543449</v>
      </c>
      <c r="BE34" s="45">
        <f t="shared" si="58"/>
        <v>0.14325962412845361</v>
      </c>
      <c r="BF34" s="45">
        <f t="shared" si="58"/>
        <v>0.15252254873436155</v>
      </c>
      <c r="BG34" s="45">
        <f t="shared" si="58"/>
        <v>0.14509499598608522</v>
      </c>
      <c r="BH34" s="45">
        <f t="shared" si="58"/>
        <v>0.13877136487490715</v>
      </c>
      <c r="BI34" s="45">
        <f t="shared" si="58"/>
        <v>0.13332257320728602</v>
      </c>
      <c r="BJ34" s="45">
        <f t="shared" si="58"/>
        <v>0.12857882251455699</v>
      </c>
      <c r="BK34" s="45">
        <f t="shared" si="58"/>
        <v>0.12441158598339075</v>
      </c>
      <c r="BL34" s="45">
        <f t="shared" si="58"/>
        <v>0.12072178728279548</v>
      </c>
      <c r="BM34" s="45">
        <f t="shared" si="58"/>
        <v>0.11743182228643656</v>
      </c>
      <c r="BN34" s="45">
        <f t="shared" si="58"/>
        <v>0.11448004111701215</v>
      </c>
      <c r="BO34" s="45">
        <f t="shared" si="58"/>
        <v>0.1118168486231057</v>
      </c>
      <c r="BR34" s="43" t="s">
        <v>107</v>
      </c>
      <c r="BS34" s="46">
        <v>7.4999999999999997E-2</v>
      </c>
    </row>
    <row r="35" spans="1:71">
      <c r="B35" s="9" t="s">
        <v>96</v>
      </c>
      <c r="G35" s="28">
        <f t="shared" si="57"/>
        <v>2.7971641399134883E-2</v>
      </c>
      <c r="H35" s="28">
        <f t="shared" si="57"/>
        <v>3.4934060207640227E-2</v>
      </c>
      <c r="I35" s="28">
        <f t="shared" si="57"/>
        <v>3.7119171142036667E-2</v>
      </c>
      <c r="J35" s="28">
        <f t="shared" si="57"/>
        <v>7.0073753533694383E-2</v>
      </c>
      <c r="K35" s="28">
        <f t="shared" si="57"/>
        <v>0.13296586585644565</v>
      </c>
      <c r="L35" s="28">
        <f t="shared" si="57"/>
        <v>0.16990723705869826</v>
      </c>
      <c r="M35" s="28">
        <f t="shared" si="57"/>
        <v>0.13998333386280493</v>
      </c>
      <c r="N35" s="28">
        <f t="shared" si="57"/>
        <v>0.17275960800519519</v>
      </c>
      <c r="O35" s="28">
        <f t="shared" si="57"/>
        <v>9.7140972121689595E-2</v>
      </c>
      <c r="P35" s="28">
        <f t="shared" si="57"/>
        <v>-5.9029473353142237E-2</v>
      </c>
      <c r="Q35" s="28">
        <f t="shared" si="57"/>
        <v>0.10882194059541783</v>
      </c>
      <c r="R35" s="28">
        <f t="shared" si="57"/>
        <v>4.5474852601574245E-2</v>
      </c>
      <c r="S35" s="28">
        <f t="shared" si="57"/>
        <v>0.13059080811336377</v>
      </c>
      <c r="T35" s="28">
        <f t="shared" si="57"/>
        <v>0.26326645497805412</v>
      </c>
      <c r="U35" s="28">
        <f t="shared" si="57"/>
        <v>0.1431985013368493</v>
      </c>
      <c r="V35" s="28">
        <f t="shared" si="57"/>
        <v>0.24415688634767774</v>
      </c>
      <c r="W35" s="28">
        <f t="shared" si="57"/>
        <v>0.19946582075531261</v>
      </c>
      <c r="X35" s="28">
        <f t="shared" si="57"/>
        <v>0.17311367885280204</v>
      </c>
      <c r="Y35" s="28">
        <f t="shared" si="57"/>
        <v>0.12041966272753712</v>
      </c>
      <c r="Z35" s="28">
        <f t="shared" si="55"/>
        <v>3.0155607514311011E-2</v>
      </c>
      <c r="AA35" s="28">
        <f t="shared" si="56"/>
        <v>0.10469018672060182</v>
      </c>
      <c r="AB35" s="28">
        <f t="shared" si="56"/>
        <v>9.6057739105661177E-2</v>
      </c>
      <c r="AC35" s="28">
        <f t="shared" si="56"/>
        <v>0.10813837655084968</v>
      </c>
      <c r="AD35" s="28">
        <f t="shared" si="56"/>
        <v>0.16952935817585013</v>
      </c>
      <c r="AE35" s="28">
        <f t="shared" si="56"/>
        <v>0.12492365271406469</v>
      </c>
      <c r="BD35" s="28"/>
      <c r="BR35" s="47" t="s">
        <v>108</v>
      </c>
      <c r="BS35" s="48">
        <f>NPV(BS34,BF27:JG27)</f>
        <v>82953737.989872724</v>
      </c>
    </row>
    <row r="36" spans="1:71">
      <c r="B36" s="9" t="s">
        <v>16</v>
      </c>
      <c r="G36" s="28">
        <f t="shared" si="57"/>
        <v>0.10773629412439067</v>
      </c>
      <c r="H36" s="28">
        <f t="shared" si="57"/>
        <v>0.11767494629738007</v>
      </c>
      <c r="I36" s="28">
        <f t="shared" si="57"/>
        <v>8.4738416617241574E-2</v>
      </c>
      <c r="J36" s="28">
        <f t="shared" si="57"/>
        <v>8.866574118941295E-2</v>
      </c>
      <c r="K36" s="28">
        <f t="shared" si="57"/>
        <v>9.4018434249191651E-2</v>
      </c>
      <c r="L36" s="28">
        <f t="shared" si="57"/>
        <v>7.6675774188075252E-2</v>
      </c>
      <c r="M36" s="28">
        <f t="shared" si="57"/>
        <v>0.12251212954200641</v>
      </c>
      <c r="N36" s="28">
        <f t="shared" si="57"/>
        <v>0.14739751405225121</v>
      </c>
      <c r="O36" s="28">
        <f t="shared" si="57"/>
        <v>0.12820417266269546</v>
      </c>
      <c r="P36" s="28">
        <f t="shared" si="57"/>
        <v>4.6767720953232228E-2</v>
      </c>
      <c r="Q36" s="28">
        <f t="shared" si="57"/>
        <v>8.6105795608130808E-2</v>
      </c>
      <c r="R36" s="28">
        <f t="shared" si="57"/>
        <v>7.0360662612707126E-2</v>
      </c>
      <c r="S36" s="28">
        <f t="shared" si="57"/>
        <v>0.10189930507031875</v>
      </c>
      <c r="T36" s="28">
        <f t="shared" si="57"/>
        <v>0.20567607834587021</v>
      </c>
      <c r="U36" s="28">
        <f t="shared" si="57"/>
        <v>0.23887309089296194</v>
      </c>
      <c r="V36" s="28">
        <f t="shared" si="57"/>
        <v>0.26560862367887483</v>
      </c>
      <c r="W36" s="28">
        <f t="shared" si="57"/>
        <v>0.22660370005695585</v>
      </c>
      <c r="X36" s="28">
        <f t="shared" si="57"/>
        <v>0.18389428769488436</v>
      </c>
      <c r="Y36" s="28">
        <f t="shared" si="57"/>
        <v>0.10824513631834076</v>
      </c>
      <c r="Z36" s="28">
        <f t="shared" si="55"/>
        <v>8.1429254163369214E-2</v>
      </c>
      <c r="AA36" s="28">
        <f t="shared" si="56"/>
        <v>9.7480918900627822E-2</v>
      </c>
      <c r="AB36" s="28">
        <f t="shared" si="56"/>
        <v>0.11229147194349776</v>
      </c>
      <c r="AC36" s="28">
        <f t="shared" si="56"/>
        <v>0.10607741152737549</v>
      </c>
      <c r="AD36" s="28">
        <f t="shared" si="56"/>
        <v>0.12580468551512403</v>
      </c>
      <c r="AE36" s="28">
        <f t="shared" si="56"/>
        <v>0.12959365803691036</v>
      </c>
      <c r="BD36" s="28"/>
      <c r="BR36" s="49" t="s">
        <v>109</v>
      </c>
      <c r="BS36" s="50">
        <f>[1]Main!G7</f>
        <v>727394</v>
      </c>
    </row>
    <row r="37" spans="1:71">
      <c r="B37" s="9" t="s">
        <v>17</v>
      </c>
      <c r="G37" s="28">
        <f t="shared" si="57"/>
        <v>7.9709227223221379E-2</v>
      </c>
      <c r="H37" s="28">
        <f t="shared" si="57"/>
        <v>8.0315235119084782E-2</v>
      </c>
      <c r="I37" s="28">
        <f t="shared" si="57"/>
        <v>4.1971658313200821E-2</v>
      </c>
      <c r="J37" s="28">
        <f t="shared" si="57"/>
        <v>4.4347312463083322E-2</v>
      </c>
      <c r="K37" s="28">
        <f t="shared" si="57"/>
        <v>4.1217040442901309E-2</v>
      </c>
      <c r="L37" s="28">
        <f t="shared" si="57"/>
        <v>3.6313557368736538E-2</v>
      </c>
      <c r="M37" s="28">
        <f t="shared" si="57"/>
        <v>5.4423181183744562E-2</v>
      </c>
      <c r="N37" s="28">
        <f t="shared" si="57"/>
        <v>5.1649246640423474E-2</v>
      </c>
      <c r="O37" s="28">
        <f t="shared" si="57"/>
        <v>7.3324321279711668E-2</v>
      </c>
      <c r="P37" s="28">
        <f t="shared" si="57"/>
        <v>6.286489552172414E-2</v>
      </c>
      <c r="Q37" s="28">
        <f t="shared" si="57"/>
        <v>6.8756905775142485E-2</v>
      </c>
      <c r="R37" s="28">
        <f t="shared" si="57"/>
        <v>6.7150693772184633E-2</v>
      </c>
      <c r="S37" s="28">
        <f t="shared" si="57"/>
        <v>6.8115744287828406E-2</v>
      </c>
      <c r="T37" s="28">
        <f t="shared" si="57"/>
        <v>8.2175441533439253E-2</v>
      </c>
      <c r="U37" s="28">
        <f t="shared" si="57"/>
        <v>6.6831125760026255E-2</v>
      </c>
      <c r="V37" s="28">
        <f t="shared" si="57"/>
        <v>8.034229385262015E-2</v>
      </c>
      <c r="W37" s="28">
        <f t="shared" si="57"/>
        <v>0.10084603366447542</v>
      </c>
      <c r="X37" s="28">
        <f t="shared" si="57"/>
        <v>0.10141158271294604</v>
      </c>
      <c r="Y37" s="28">
        <f t="shared" si="57"/>
        <v>0.11132859349663704</v>
      </c>
      <c r="Z37" s="28">
        <f t="shared" si="55"/>
        <v>0.10695626212867593</v>
      </c>
      <c r="AA37" s="28">
        <f t="shared" si="56"/>
        <v>8.8358683233361823E-2</v>
      </c>
      <c r="AB37" s="28">
        <f t="shared" si="56"/>
        <v>8.7588549759039402E-2</v>
      </c>
      <c r="AC37" s="28">
        <f t="shared" si="56"/>
        <v>9.0161103724552438E-2</v>
      </c>
      <c r="AD37" s="28">
        <f t="shared" si="56"/>
        <v>0.10551378868586059</v>
      </c>
      <c r="AE37" s="28">
        <f t="shared" si="56"/>
        <v>0.11291632152610909</v>
      </c>
      <c r="BD37" s="28"/>
      <c r="BR37" s="43" t="s">
        <v>110</v>
      </c>
      <c r="BS37" s="51">
        <f>+BS35+BS36</f>
        <v>83681131.989872724</v>
      </c>
    </row>
    <row r="38" spans="1:71">
      <c r="B38" s="9" t="s">
        <v>97</v>
      </c>
      <c r="G38" s="28">
        <f t="shared" si="57"/>
        <v>-1.6864861993639124E-2</v>
      </c>
      <c r="H38" s="28">
        <f t="shared" si="57"/>
        <v>7.0171365732962787E-2</v>
      </c>
      <c r="I38" s="28">
        <f t="shared" si="57"/>
        <v>3.1889201044901228E-2</v>
      </c>
      <c r="J38" s="28">
        <f t="shared" si="57"/>
        <v>8.1496589312035184E-2</v>
      </c>
      <c r="K38" s="28">
        <f t="shared" si="57"/>
        <v>0.18014574286312457</v>
      </c>
      <c r="L38" s="28">
        <f t="shared" si="57"/>
        <v>0.10354453648149531</v>
      </c>
      <c r="M38" s="28">
        <f t="shared" si="57"/>
        <v>7.6250238823079908E-2</v>
      </c>
      <c r="N38" s="28">
        <f t="shared" si="57"/>
        <v>0.12026750764647143</v>
      </c>
      <c r="O38" s="28">
        <f t="shared" si="57"/>
        <v>0.20612556726163556</v>
      </c>
      <c r="P38" s="28">
        <f t="shared" si="57"/>
        <v>0.35729841859406442</v>
      </c>
      <c r="Q38" s="28">
        <f t="shared" si="57"/>
        <v>0.48905741183519269</v>
      </c>
      <c r="R38" s="28">
        <f t="shared" si="57"/>
        <v>0.36019238930541797</v>
      </c>
      <c r="S38" s="28">
        <f t="shared" si="57"/>
        <v>0.39830709520691587</v>
      </c>
      <c r="T38" s="28">
        <f t="shared" si="57"/>
        <v>9.4764042716996011E-2</v>
      </c>
      <c r="U38" s="28">
        <f t="shared" si="57"/>
        <v>9.7736349546971857E-2</v>
      </c>
      <c r="V38" s="28">
        <f t="shared" si="57"/>
        <v>0.11092159636131682</v>
      </c>
      <c r="W38" s="28">
        <f t="shared" si="57"/>
        <v>0.1221030843880424</v>
      </c>
      <c r="X38" s="28">
        <f t="shared" si="57"/>
        <v>0.10527360204983949</v>
      </c>
      <c r="Y38" s="28">
        <f t="shared" si="57"/>
        <v>9.3110470049210914E-2</v>
      </c>
      <c r="Z38" s="28">
        <f t="shared" si="55"/>
        <v>6.613158913035333E-2</v>
      </c>
      <c r="AA38" s="28">
        <f t="shared" si="56"/>
        <v>9.8311132614644858E-2</v>
      </c>
      <c r="AB38" s="28">
        <f t="shared" si="56"/>
        <v>0.10150528693055638</v>
      </c>
      <c r="AC38" s="28">
        <f t="shared" si="56"/>
        <v>7.2288371082167791E-2</v>
      </c>
      <c r="AD38" s="28">
        <f t="shared" si="56"/>
        <v>8.4362669913711441E-2</v>
      </c>
      <c r="AE38" s="28">
        <f t="shared" si="56"/>
        <v>6.2132784150041642E-2</v>
      </c>
      <c r="BD38" s="28"/>
      <c r="BR38" s="43" t="s">
        <v>111</v>
      </c>
      <c r="BS38" s="51">
        <f>+[1]Main!G5</f>
        <v>27467</v>
      </c>
    </row>
    <row r="39" spans="1:71">
      <c r="B39" s="9" t="s">
        <v>19</v>
      </c>
      <c r="G39" s="28">
        <f t="shared" si="57"/>
        <v>0.10976224420731273</v>
      </c>
      <c r="H39" s="28">
        <f t="shared" si="57"/>
        <v>0.21516946129147341</v>
      </c>
      <c r="I39" s="28">
        <f t="shared" si="57"/>
        <v>0.10427295275352377</v>
      </c>
      <c r="J39" s="28">
        <f t="shared" si="57"/>
        <v>0.79788524874328304</v>
      </c>
      <c r="K39" s="28">
        <f t="shared" si="57"/>
        <v>0.33229954712378174</v>
      </c>
      <c r="L39" s="28">
        <f t="shared" si="57"/>
        <v>0.42561037191878159</v>
      </c>
      <c r="M39" s="28">
        <f t="shared" si="57"/>
        <v>5.0637303239472686E-2</v>
      </c>
      <c r="N39" s="28">
        <f t="shared" si="57"/>
        <v>8.3841110682606912E-2</v>
      </c>
      <c r="O39" s="28">
        <f t="shared" si="57"/>
        <v>3.7001684993815287E-2</v>
      </c>
      <c r="P39" s="28">
        <f t="shared" si="57"/>
        <v>-0.15443799168005268</v>
      </c>
      <c r="Q39" s="28">
        <f t="shared" si="57"/>
        <v>0.15712175197705736</v>
      </c>
      <c r="R39" s="28">
        <f t="shared" si="57"/>
        <v>0.10325932251636782</v>
      </c>
      <c r="S39" s="28">
        <f t="shared" si="57"/>
        <v>0.45677655677655671</v>
      </c>
      <c r="T39" s="28">
        <f t="shared" si="57"/>
        <v>0.42277903884185597</v>
      </c>
      <c r="U39" s="28">
        <f t="shared" si="57"/>
        <v>9.5981975215921889E-2</v>
      </c>
      <c r="V39" s="28">
        <f t="shared" si="57"/>
        <v>0.28827485002902664</v>
      </c>
      <c r="W39" s="28">
        <f t="shared" si="57"/>
        <v>-4.9650877159049145E-2</v>
      </c>
      <c r="X39" s="28">
        <f t="shared" si="57"/>
        <v>-3.5770041905179295E-2</v>
      </c>
      <c r="Y39" s="28">
        <f t="shared" si="57"/>
        <v>-3.4495991228671308E-2</v>
      </c>
      <c r="Z39" s="28">
        <f t="shared" si="55"/>
        <v>-0.15461549534663943</v>
      </c>
      <c r="AA39" s="28">
        <f t="shared" si="56"/>
        <v>6.3635500196741468E-3</v>
      </c>
      <c r="AB39" s="28">
        <f t="shared" si="56"/>
        <v>0.11131941485584429</v>
      </c>
      <c r="AC39" s="28">
        <f t="shared" si="56"/>
        <v>0.1320477515330456</v>
      </c>
      <c r="AD39" s="28">
        <f t="shared" si="56"/>
        <v>0.25300393120756914</v>
      </c>
      <c r="AE39" s="28">
        <f t="shared" si="56"/>
        <v>0.37943238506134547</v>
      </c>
      <c r="BD39" s="28"/>
      <c r="BE39" s="28"/>
      <c r="BF39" s="28"/>
      <c r="BR39" s="43" t="s">
        <v>112</v>
      </c>
      <c r="BS39" s="51">
        <f>+BS37/BS38</f>
        <v>3046.6061815951039</v>
      </c>
    </row>
    <row r="40" spans="1:71" s="28" customFormat="1">
      <c r="A40" s="52"/>
      <c r="B40" s="16"/>
      <c r="C40" s="28">
        <f t="shared" ref="C40:AD40" si="59">+C23/C14</f>
        <v>7.1875856661823362E-2</v>
      </c>
      <c r="D40" s="28">
        <f t="shared" si="59"/>
        <v>9.093567776543536E-2</v>
      </c>
      <c r="E40" s="28">
        <f t="shared" si="59"/>
        <v>3.3343557248903886E-2</v>
      </c>
      <c r="F40" s="28">
        <f t="shared" si="59"/>
        <v>5.7076839924331144E-2</v>
      </c>
      <c r="G40" s="28">
        <f t="shared" si="59"/>
        <v>8.5046373336050168E-2</v>
      </c>
      <c r="H40" s="28">
        <f t="shared" si="59"/>
        <v>8.944114581688406E-2</v>
      </c>
      <c r="I40" s="28">
        <f t="shared" si="59"/>
        <v>5.260786264894813E-2</v>
      </c>
      <c r="J40" s="28">
        <f t="shared" si="59"/>
        <v>4.0500840366316453E-2</v>
      </c>
      <c r="K40" s="28">
        <f t="shared" si="59"/>
        <v>8.9513436990957929E-2</v>
      </c>
      <c r="L40" s="28">
        <f t="shared" si="59"/>
        <v>8.6810980936822588E-2</v>
      </c>
      <c r="M40" s="28">
        <f t="shared" si="59"/>
        <v>8.6591337019313999E-2</v>
      </c>
      <c r="N40" s="28">
        <f t="shared" si="59"/>
        <v>7.2449841135823312E-2</v>
      </c>
      <c r="O40" s="28">
        <f t="shared" si="59"/>
        <v>5.7030476930361534E-2</v>
      </c>
      <c r="P40" s="28">
        <f t="shared" si="59"/>
        <v>3.2753539507216769E-4</v>
      </c>
      <c r="Q40" s="28">
        <f t="shared" si="59"/>
        <v>7.1865863543093794E-2</v>
      </c>
      <c r="R40" s="28">
        <f t="shared" si="59"/>
        <v>7.7594839865398613E-2</v>
      </c>
      <c r="S40" s="28">
        <f t="shared" si="59"/>
        <v>9.5953375536511495E-2</v>
      </c>
      <c r="T40" s="28">
        <f t="shared" si="59"/>
        <v>0.13198731016233228</v>
      </c>
      <c r="U40" s="28">
        <f t="shared" si="59"/>
        <v>0.12515295943533702</v>
      </c>
      <c r="V40" s="28">
        <f t="shared" si="59"/>
        <v>8.313386544039604E-2</v>
      </c>
      <c r="W40" s="28">
        <f t="shared" si="59"/>
        <v>9.6276785550786198E-2</v>
      </c>
      <c r="X40" s="28">
        <f t="shared" si="59"/>
        <v>0.15464373058081027</v>
      </c>
      <c r="Y40" s="28">
        <f t="shared" si="59"/>
        <v>0.15431936671658766</v>
      </c>
      <c r="Z40" s="28">
        <f t="shared" si="59"/>
        <v>0.13854725238340473</v>
      </c>
      <c r="AA40" s="28">
        <f t="shared" si="59"/>
        <v>0.15873096961048391</v>
      </c>
      <c r="AB40" s="28">
        <f t="shared" si="59"/>
        <v>0.17816519080436186</v>
      </c>
      <c r="AC40" s="28">
        <f t="shared" si="59"/>
        <v>0.16270204713044126</v>
      </c>
      <c r="AD40" s="28">
        <f t="shared" si="59"/>
        <v>0.14703018693965791</v>
      </c>
      <c r="AE40" s="28">
        <f>+AE23/AE14</f>
        <v>0.16535756267562055</v>
      </c>
      <c r="AS40" s="28">
        <f t="shared" ref="AS40:BL40" si="60">+AS23/AS14</f>
        <v>0.15702157433991262</v>
      </c>
      <c r="AT40" s="28">
        <f t="shared" si="60"/>
        <v>0.16874924942077252</v>
      </c>
      <c r="AU40" s="28">
        <f t="shared" si="60"/>
        <v>0.16781948310064951</v>
      </c>
      <c r="AV40" s="28">
        <f t="shared" si="60"/>
        <v>0.17471494685474587</v>
      </c>
      <c r="AW40" s="28">
        <f t="shared" si="60"/>
        <v>0.17257154333388947</v>
      </c>
      <c r="AX40" s="28">
        <f t="shared" si="60"/>
        <v>1.4968814542831853E-2</v>
      </c>
      <c r="AY40" s="28">
        <f t="shared" si="60"/>
        <v>6.3474720378731891E-2</v>
      </c>
      <c r="AZ40" s="28">
        <f t="shared" si="60"/>
        <v>6.6805344723570581E-2</v>
      </c>
      <c r="BA40" s="28">
        <f t="shared" si="60"/>
        <v>8.3686201180050948E-2</v>
      </c>
      <c r="BB40" s="28">
        <f t="shared" si="60"/>
        <v>5.3594087792169079E-2</v>
      </c>
      <c r="BC40" s="28">
        <f t="shared" si="60"/>
        <v>0.10921257957236598</v>
      </c>
      <c r="BD40" s="28">
        <f t="shared" si="60"/>
        <v>0.13683724601755809</v>
      </c>
      <c r="BE40" s="28">
        <f t="shared" si="60"/>
        <v>0.16169365422129575</v>
      </c>
      <c r="BF40" s="28">
        <f t="shared" si="60"/>
        <v>0.16169365422129575</v>
      </c>
      <c r="BG40" s="28">
        <f t="shared" si="60"/>
        <v>0.16169365422129583</v>
      </c>
      <c r="BH40" s="28">
        <f t="shared" si="60"/>
        <v>0.16169365422129586</v>
      </c>
      <c r="BI40" s="28">
        <f t="shared" si="60"/>
        <v>0.16169365422129561</v>
      </c>
      <c r="BJ40" s="28">
        <f t="shared" si="60"/>
        <v>0.16169365422129583</v>
      </c>
      <c r="BK40" s="28">
        <f t="shared" si="60"/>
        <v>0.16169365422129578</v>
      </c>
      <c r="BL40" s="28">
        <f t="shared" si="60"/>
        <v>0.16169365422129567</v>
      </c>
      <c r="BM40" s="28">
        <f>+BM23/BM14</f>
        <v>0.16169365422129556</v>
      </c>
      <c r="BN40" s="28">
        <f>+BN23/BN14</f>
        <v>0.16169365422129572</v>
      </c>
      <c r="BO40" s="28">
        <f>+BO23/BO14</f>
        <v>0.16169365422129583</v>
      </c>
      <c r="BR40" s="53" t="s">
        <v>113</v>
      </c>
      <c r="BS40" s="54">
        <f>+[1]Main!G4</f>
        <v>3151.63</v>
      </c>
    </row>
    <row r="41" spans="1:71"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7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R41" s="58" t="s">
        <v>114</v>
      </c>
      <c r="BS41" s="59">
        <f>+BS39/BS40-1</f>
        <v>-3.3323651064654292E-2</v>
      </c>
    </row>
    <row r="42" spans="1:71" s="40" customFormat="1">
      <c r="A42" s="60"/>
      <c r="B42" s="14"/>
      <c r="C42" s="19"/>
      <c r="D42" s="19"/>
      <c r="E42" s="19"/>
      <c r="F42" s="19"/>
      <c r="AA42" s="61"/>
      <c r="AM42" s="19"/>
      <c r="BR42" s="11"/>
      <c r="BS42" s="11"/>
    </row>
    <row r="43" spans="1:71" s="40" customFormat="1">
      <c r="A43" s="60"/>
      <c r="B43" s="14"/>
      <c r="C43" s="19"/>
      <c r="D43" s="19"/>
      <c r="E43" s="19"/>
      <c r="F43" s="19"/>
      <c r="AA43" s="61"/>
      <c r="AM43" s="19"/>
    </row>
    <row r="44" spans="1:71" s="63" customFormat="1">
      <c r="A44" s="62"/>
      <c r="B44" s="14" t="s">
        <v>115</v>
      </c>
      <c r="C44" s="19"/>
      <c r="D44" s="19"/>
      <c r="E44" s="19"/>
      <c r="F44" s="19"/>
      <c r="O44" s="64"/>
      <c r="P44" s="64"/>
      <c r="Q44" s="64"/>
      <c r="R44" s="64"/>
      <c r="S44" s="64">
        <v>1424.91</v>
      </c>
      <c r="T44" s="64">
        <v>1407.99</v>
      </c>
      <c r="U44" s="64">
        <v>1812.75</v>
      </c>
      <c r="V44" s="64">
        <v>1750.04</v>
      </c>
      <c r="W44" s="64">
        <v>1490.25</v>
      </c>
      <c r="X44" s="64">
        <f>+BS40</f>
        <v>3151.63</v>
      </c>
      <c r="Y44" s="64"/>
      <c r="Z44" s="64"/>
      <c r="AA44" s="65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11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R44" s="11" t="s">
        <v>116</v>
      </c>
      <c r="BS44" s="66">
        <f>+[1]Main!$G$9/'cmg baseline model'!BE27</f>
        <v>67.743629551411217</v>
      </c>
    </row>
    <row r="45" spans="1:71" s="63" customFormat="1">
      <c r="A45" s="62"/>
      <c r="B45" s="14" t="s">
        <v>117</v>
      </c>
      <c r="C45" s="19"/>
      <c r="D45" s="19"/>
      <c r="E45" s="19"/>
      <c r="F45" s="19"/>
      <c r="O45" s="64"/>
      <c r="P45" s="64"/>
      <c r="Q45" s="64"/>
      <c r="R45" s="64"/>
      <c r="S45" s="64">
        <f>+S29*S44/1000</f>
        <v>42513.230514606745</v>
      </c>
      <c r="T45" s="64">
        <f>+T29*T44/1000</f>
        <v>40129.122990000003</v>
      </c>
      <c r="U45" s="64">
        <f>+U29*U44/1000</f>
        <v>51618.056250000001</v>
      </c>
      <c r="V45" s="64">
        <f>+V29*V44/1000</f>
        <v>49849.8894</v>
      </c>
      <c r="W45" s="64">
        <f>+W29*W44/1000</f>
        <v>42175.56525</v>
      </c>
      <c r="X45" s="64">
        <f>+[1]Main!G6/1000</f>
        <v>86565.821210000009</v>
      </c>
      <c r="Y45" s="64"/>
      <c r="Z45" s="64"/>
      <c r="AA45" s="65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11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R45" s="11" t="s">
        <v>118</v>
      </c>
      <c r="BS45" s="66">
        <f>+[1]Main!$G$9/'cmg baseline model'!BF27</f>
        <v>37.032164283578183</v>
      </c>
    </row>
    <row r="46" spans="1:71" s="63" customFormat="1">
      <c r="A46" s="62"/>
      <c r="B46" s="14" t="s">
        <v>119</v>
      </c>
      <c r="C46" s="19"/>
      <c r="D46" s="19"/>
      <c r="E46" s="19"/>
      <c r="F46" s="19"/>
      <c r="O46" s="64"/>
      <c r="P46" s="64"/>
      <c r="Q46" s="64"/>
      <c r="R46" s="64"/>
      <c r="S46" s="64">
        <f>+S45-(S50/1000)</f>
        <v>42513.230514606745</v>
      </c>
      <c r="T46" s="64">
        <f>+T45-(T50/1000)</f>
        <v>40129.122990000003</v>
      </c>
      <c r="U46" s="64">
        <f>+U45-(U50/1000)</f>
        <v>51618.056250000001</v>
      </c>
      <c r="V46" s="64">
        <f>+V45-(V50/1000)</f>
        <v>49849.8894</v>
      </c>
      <c r="W46" s="64">
        <f>+W45-(W50/1000)</f>
        <v>42175.56525</v>
      </c>
      <c r="X46" s="64">
        <f>+[1]Main!G9/1000</f>
        <v>85838.427210000009</v>
      </c>
      <c r="Y46" s="64"/>
      <c r="Z46" s="64"/>
      <c r="AA46" s="65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11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R46" s="11" t="s">
        <v>120</v>
      </c>
      <c r="BS46" s="66">
        <f>+[1]Main!$G$9/'cmg baseline model'!BG27</f>
        <v>31.987841713037223</v>
      </c>
    </row>
    <row r="47" spans="1:71" s="40" customFormat="1">
      <c r="A47" s="60"/>
      <c r="B47" s="14"/>
      <c r="C47" s="19"/>
      <c r="D47" s="19"/>
      <c r="E47" s="19"/>
      <c r="F47" s="19"/>
      <c r="AA47" s="61"/>
      <c r="AM47" s="19"/>
    </row>
    <row r="48" spans="1:71" s="40" customFormat="1">
      <c r="A48" s="60"/>
      <c r="B48" s="14"/>
      <c r="C48" s="19"/>
      <c r="D48" s="19"/>
      <c r="E48" s="19"/>
      <c r="F48" s="19"/>
      <c r="AA48" s="61"/>
      <c r="AM48" s="19"/>
    </row>
    <row r="49" spans="2:67"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X49" s="28"/>
      <c r="AY49" s="28"/>
      <c r="AZ49" s="28"/>
      <c r="BA49" s="28"/>
      <c r="BB49" s="28"/>
      <c r="BC49" s="28"/>
    </row>
    <row r="50" spans="2:67">
      <c r="B50" s="9" t="s">
        <v>121</v>
      </c>
      <c r="C50" s="11">
        <f>+C51+C59+C60+C56</f>
        <v>0</v>
      </c>
      <c r="D50" s="11">
        <f t="shared" ref="D50:T50" si="61">+D51+D59+D60+D56</f>
        <v>0</v>
      </c>
      <c r="E50" s="11">
        <f t="shared" si="61"/>
        <v>0</v>
      </c>
      <c r="F50" s="11">
        <f t="shared" si="61"/>
        <v>0</v>
      </c>
      <c r="G50" s="11">
        <f t="shared" si="61"/>
        <v>0</v>
      </c>
      <c r="H50" s="11">
        <f t="shared" si="61"/>
        <v>0</v>
      </c>
      <c r="I50" s="11">
        <f t="shared" si="61"/>
        <v>0</v>
      </c>
      <c r="J50" s="11">
        <f t="shared" si="61"/>
        <v>0</v>
      </c>
      <c r="K50" s="11">
        <f t="shared" si="61"/>
        <v>0</v>
      </c>
      <c r="L50" s="11">
        <f t="shared" si="61"/>
        <v>0</v>
      </c>
      <c r="M50" s="11">
        <f t="shared" si="61"/>
        <v>0</v>
      </c>
      <c r="N50" s="11">
        <f t="shared" si="61"/>
        <v>0</v>
      </c>
      <c r="O50" s="11">
        <f t="shared" si="61"/>
        <v>0</v>
      </c>
      <c r="P50" s="11">
        <f t="shared" si="61"/>
        <v>0</v>
      </c>
      <c r="Q50" s="11">
        <f t="shared" si="61"/>
        <v>0</v>
      </c>
      <c r="R50" s="11">
        <f t="shared" si="61"/>
        <v>0</v>
      </c>
      <c r="S50" s="11">
        <f t="shared" si="61"/>
        <v>0</v>
      </c>
      <c r="T50" s="11">
        <f t="shared" si="61"/>
        <v>0</v>
      </c>
      <c r="U50" s="11">
        <f>+U51+U59+U60+U56</f>
        <v>0</v>
      </c>
      <c r="V50" s="11">
        <f t="shared" ref="V50:AE50" si="62">+V51+V59+V60+V56</f>
        <v>0</v>
      </c>
      <c r="W50" s="11">
        <f t="shared" si="62"/>
        <v>0</v>
      </c>
      <c r="X50" s="11">
        <f>+X51+X59+X60+X56</f>
        <v>0</v>
      </c>
      <c r="Y50" s="11">
        <f t="shared" si="62"/>
        <v>0</v>
      </c>
      <c r="Z50" s="11">
        <f t="shared" si="62"/>
        <v>0</v>
      </c>
      <c r="AA50" s="11">
        <f t="shared" si="62"/>
        <v>0</v>
      </c>
      <c r="AB50" s="11">
        <f t="shared" si="62"/>
        <v>0</v>
      </c>
      <c r="AC50" s="11">
        <f t="shared" si="62"/>
        <v>0</v>
      </c>
      <c r="AD50" s="11">
        <f t="shared" si="62"/>
        <v>0</v>
      </c>
      <c r="AE50" s="11">
        <f t="shared" si="62"/>
        <v>0</v>
      </c>
      <c r="BE50" s="11">
        <f>+AE50</f>
        <v>0</v>
      </c>
      <c r="BF50" s="11">
        <f t="shared" ref="BF50:BO50" si="63">+BE50+BF27</f>
        <v>2317942.4932521386</v>
      </c>
      <c r="BG50" s="11">
        <f t="shared" si="63"/>
        <v>5001412.9186736513</v>
      </c>
      <c r="BH50" s="11">
        <f t="shared" si="63"/>
        <v>8087030.958044691</v>
      </c>
      <c r="BI50" s="11">
        <f t="shared" si="63"/>
        <v>11614508.626031697</v>
      </c>
      <c r="BJ50" s="11">
        <f t="shared" si="63"/>
        <v>15626889.694061885</v>
      </c>
      <c r="BK50" s="11">
        <f t="shared" si="63"/>
        <v>20170806.714866482</v>
      </c>
      <c r="BL50" s="11">
        <f t="shared" si="63"/>
        <v>25296756.897874877</v>
      </c>
      <c r="BM50" s="11">
        <f t="shared" si="63"/>
        <v>31059398.172301464</v>
      </c>
      <c r="BN50" s="11">
        <f t="shared" si="63"/>
        <v>37517866.867325351</v>
      </c>
      <c r="BO50" s="11">
        <f t="shared" si="63"/>
        <v>44736118.537615761</v>
      </c>
    </row>
    <row r="56" spans="2:67">
      <c r="B56" s="14" t="s">
        <v>95</v>
      </c>
    </row>
    <row r="57" spans="2:67">
      <c r="B57" s="9" t="s">
        <v>96</v>
      </c>
      <c r="AR57" s="28">
        <f t="shared" ref="AR57:BE63" si="64">+AR15/AR$14</f>
        <v>0</v>
      </c>
      <c r="AS57" s="28">
        <f t="shared" si="64"/>
        <v>0.32549212442301284</v>
      </c>
      <c r="AT57" s="28">
        <f t="shared" si="64"/>
        <v>0.32622846020685231</v>
      </c>
      <c r="AU57" s="28">
        <f t="shared" si="64"/>
        <v>0.3339504154649845</v>
      </c>
      <c r="AV57" s="28">
        <f t="shared" si="64"/>
        <v>0.34588630880791887</v>
      </c>
      <c r="AW57" s="28">
        <f t="shared" si="64"/>
        <v>0.33409475602519584</v>
      </c>
      <c r="AX57" s="28">
        <f t="shared" si="64"/>
        <v>0.34975555683047571</v>
      </c>
      <c r="AY57" s="28">
        <f t="shared" si="64"/>
        <v>0.34300417387854382</v>
      </c>
      <c r="AZ57" s="28">
        <f t="shared" si="64"/>
        <v>0.32903698572554696</v>
      </c>
      <c r="BA57" s="28">
        <f t="shared" si="64"/>
        <v>0.33079017873685035</v>
      </c>
      <c r="BB57" s="28">
        <f t="shared" si="64"/>
        <v>0.32295475379112576</v>
      </c>
      <c r="BC57" s="28">
        <f t="shared" si="64"/>
        <v>0.30589801778467141</v>
      </c>
      <c r="BD57" s="28">
        <f t="shared" si="64"/>
        <v>0.30137230776642765</v>
      </c>
      <c r="BE57" s="28">
        <f>+BE15/BE$14</f>
        <v>0.29504331039322812</v>
      </c>
      <c r="BN57" s="64"/>
    </row>
    <row r="58" spans="2:67">
      <c r="B58" s="9" t="s">
        <v>16</v>
      </c>
      <c r="AR58" s="28">
        <f t="shared" si="64"/>
        <v>0</v>
      </c>
      <c r="AS58" s="28">
        <f t="shared" si="64"/>
        <v>0.23930712194674886</v>
      </c>
      <c r="AT58" s="28">
        <f t="shared" si="64"/>
        <v>0.23499939953661803</v>
      </c>
      <c r="AU58" s="28">
        <f t="shared" si="64"/>
        <v>0.23013814199069182</v>
      </c>
      <c r="AV58" s="28">
        <f t="shared" si="64"/>
        <v>0.22014308215942044</v>
      </c>
      <c r="AW58" s="28">
        <f t="shared" si="64"/>
        <v>0.23232041602915474</v>
      </c>
      <c r="AX58" s="28">
        <f t="shared" si="64"/>
        <v>0.28301545134904765</v>
      </c>
      <c r="AY58" s="28">
        <f t="shared" si="64"/>
        <v>0.26941041173153857</v>
      </c>
      <c r="AZ58" s="28">
        <f t="shared" si="64"/>
        <v>0.27257617443835902</v>
      </c>
      <c r="BA58" s="28">
        <f t="shared" si="64"/>
        <v>0.26350926693170468</v>
      </c>
      <c r="BB58" s="28">
        <f t="shared" si="64"/>
        <v>0.26618386354119566</v>
      </c>
      <c r="BC58" s="28">
        <f t="shared" si="64"/>
        <v>0.25410699608761611</v>
      </c>
      <c r="BD58" s="28">
        <f t="shared" si="64"/>
        <v>0.25455084929884841</v>
      </c>
      <c r="BE58" s="28">
        <f t="shared" ref="BE58:BE63" si="65">+BE16/BE$14</f>
        <v>0.247271960338136</v>
      </c>
    </row>
    <row r="59" spans="2:67">
      <c r="B59" s="9" t="s">
        <v>17</v>
      </c>
      <c r="AR59" s="28">
        <f t="shared" si="64"/>
        <v>0</v>
      </c>
      <c r="AS59" s="28">
        <f t="shared" si="64"/>
        <v>6.4891335190971941E-2</v>
      </c>
      <c r="AT59" s="28">
        <f t="shared" si="64"/>
        <v>6.2768560908955107E-2</v>
      </c>
      <c r="AU59" s="28">
        <f t="shared" si="64"/>
        <v>6.1938517217275856E-2</v>
      </c>
      <c r="AV59" s="28">
        <f t="shared" si="64"/>
        <v>5.6195930694898505E-2</v>
      </c>
      <c r="AW59" s="28">
        <f t="shared" si="64"/>
        <v>5.829793369490914E-2</v>
      </c>
      <c r="AX59" s="28">
        <f t="shared" si="64"/>
        <v>7.5206741959807227E-2</v>
      </c>
      <c r="AY59" s="28">
        <f t="shared" si="64"/>
        <v>7.3079064214822048E-2</v>
      </c>
      <c r="AZ59" s="28">
        <f t="shared" si="64"/>
        <v>7.1351299130418697E-2</v>
      </c>
      <c r="BA59" s="28">
        <f t="shared" si="64"/>
        <v>6.4992484384758686E-2</v>
      </c>
      <c r="BB59" s="28">
        <f t="shared" si="64"/>
        <v>6.4792934705781513E-2</v>
      </c>
      <c r="BC59" s="28">
        <f t="shared" si="64"/>
        <v>5.5201090861727496E-2</v>
      </c>
      <c r="BD59" s="28">
        <f t="shared" si="64"/>
        <v>5.332293646576608E-2</v>
      </c>
      <c r="BE59" s="28">
        <f t="shared" si="65"/>
        <v>5.09807429336274E-2</v>
      </c>
    </row>
    <row r="60" spans="2:67">
      <c r="B60" s="9" t="s">
        <v>97</v>
      </c>
      <c r="AR60" s="28">
        <f t="shared" si="64"/>
        <v>0</v>
      </c>
      <c r="AS60" s="28">
        <f t="shared" si="64"/>
        <v>0.11068635693098361</v>
      </c>
      <c r="AT60" s="28">
        <f t="shared" si="64"/>
        <v>0.1049382987261389</v>
      </c>
      <c r="AU60" s="28">
        <f t="shared" si="64"/>
        <v>0.10807004685821618</v>
      </c>
      <c r="AV60" s="28">
        <f t="shared" si="64"/>
        <v>0.1056999918943964</v>
      </c>
      <c r="AW60" s="28">
        <f t="shared" si="64"/>
        <v>0.11440512945037382</v>
      </c>
      <c r="AX60" s="28">
        <f t="shared" si="64"/>
        <v>0.1644185100645838</v>
      </c>
      <c r="AY60" s="28">
        <f t="shared" si="64"/>
        <v>0.14557283824634551</v>
      </c>
      <c r="AZ60" s="28">
        <f t="shared" si="64"/>
        <v>0.13978069819331407</v>
      </c>
      <c r="BA60" s="28">
        <f t="shared" si="64"/>
        <v>0.13611363660366868</v>
      </c>
      <c r="BB60" s="28">
        <f t="shared" si="64"/>
        <v>0.17210943893979147</v>
      </c>
      <c r="BC60" s="28">
        <f t="shared" si="64"/>
        <v>0.15861194178767071</v>
      </c>
      <c r="BD60" s="28">
        <f t="shared" si="64"/>
        <v>0.15193490137182136</v>
      </c>
      <c r="BE60" s="28">
        <f t="shared" si="65"/>
        <v>0.1447323542399046</v>
      </c>
    </row>
    <row r="61" spans="2:67">
      <c r="B61" s="9" t="s">
        <v>19</v>
      </c>
      <c r="AR61" s="28">
        <f t="shared" si="64"/>
        <v>0</v>
      </c>
      <c r="AS61" s="28">
        <f t="shared" si="64"/>
        <v>6.5839541617978559E-2</v>
      </c>
      <c r="AT61" s="28">
        <f t="shared" si="64"/>
        <v>6.715267586986641E-2</v>
      </c>
      <c r="AU61" s="28">
        <f t="shared" si="64"/>
        <v>6.3377580538239539E-2</v>
      </c>
      <c r="AV61" s="28">
        <f t="shared" si="64"/>
        <v>6.6669684969509049E-2</v>
      </c>
      <c r="AW61" s="28">
        <f t="shared" si="64"/>
        <v>5.5588003527041428E-2</v>
      </c>
      <c r="AX61" s="28">
        <f t="shared" si="64"/>
        <v>7.0751237583188534E-2</v>
      </c>
      <c r="AY61" s="28">
        <f t="shared" si="64"/>
        <v>6.6211063682252658E-2</v>
      </c>
      <c r="AZ61" s="28">
        <f t="shared" si="64"/>
        <v>7.71759830708625E-2</v>
      </c>
      <c r="BA61" s="28">
        <f t="shared" si="64"/>
        <v>8.0831037119101876E-2</v>
      </c>
      <c r="BB61" s="28">
        <f t="shared" si="64"/>
        <v>7.7914706229319952E-2</v>
      </c>
      <c r="BC61" s="28">
        <f t="shared" si="64"/>
        <v>8.0409314301288934E-2</v>
      </c>
      <c r="BD61" s="28">
        <f t="shared" si="64"/>
        <v>6.5340328712726353E-2</v>
      </c>
      <c r="BE61" s="28">
        <f t="shared" si="65"/>
        <v>6.4182184759608046E-2</v>
      </c>
    </row>
    <row r="62" spans="2:67">
      <c r="B62" s="9" t="s">
        <v>20</v>
      </c>
      <c r="AR62" s="28">
        <f t="shared" si="64"/>
        <v>0</v>
      </c>
      <c r="AS62" s="28">
        <f t="shared" si="64"/>
        <v>3.3018909492110324E-2</v>
      </c>
      <c r="AT62" s="28">
        <f t="shared" si="64"/>
        <v>3.0803039223439747E-2</v>
      </c>
      <c r="AU62" s="28">
        <f t="shared" si="64"/>
        <v>2.9880628670956897E-2</v>
      </c>
      <c r="AV62" s="28">
        <f t="shared" si="64"/>
        <v>2.689064421049352E-2</v>
      </c>
      <c r="AW62" s="28">
        <f t="shared" si="64"/>
        <v>2.8962795222542852E-2</v>
      </c>
      <c r="AX62" s="28">
        <f t="shared" si="64"/>
        <v>3.7488115923023965E-2</v>
      </c>
      <c r="AY62" s="28">
        <f t="shared" si="64"/>
        <v>3.6490832389869388E-2</v>
      </c>
      <c r="AZ62" s="28">
        <f t="shared" si="64"/>
        <v>4.1516880319261006E-2</v>
      </c>
      <c r="BA62" s="28">
        <f t="shared" si="64"/>
        <v>3.8088783608816387E-2</v>
      </c>
      <c r="BB62" s="28">
        <f t="shared" si="64"/>
        <v>3.9857742344811729E-2</v>
      </c>
      <c r="BC62" s="28">
        <f t="shared" si="64"/>
        <v>3.3742538983055785E-2</v>
      </c>
      <c r="BD62" s="28">
        <f t="shared" si="64"/>
        <v>3.3218015039864955E-2</v>
      </c>
      <c r="BE62" s="28">
        <f t="shared" si="65"/>
        <v>3.2354675495451672E-2</v>
      </c>
    </row>
    <row r="63" spans="2:67">
      <c r="B63" s="9" t="s">
        <v>98</v>
      </c>
      <c r="AR63" s="28">
        <f t="shared" si="64"/>
        <v>0</v>
      </c>
      <c r="AS63" s="28">
        <f t="shared" si="64"/>
        <v>3.7430360582812084E-3</v>
      </c>
      <c r="AT63" s="28">
        <f t="shared" si="64"/>
        <v>4.3603161073569943E-3</v>
      </c>
      <c r="AU63" s="28">
        <f t="shared" si="64"/>
        <v>4.8251861589857E-3</v>
      </c>
      <c r="AV63" s="28">
        <f t="shared" si="64"/>
        <v>3.7994104086173518E-3</v>
      </c>
      <c r="AW63" s="28">
        <f t="shared" si="64"/>
        <v>3.7594227168927202E-3</v>
      </c>
      <c r="AX63" s="28">
        <f t="shared" si="64"/>
        <v>4.3955717470412744E-3</v>
      </c>
      <c r="AY63" s="28">
        <f t="shared" si="64"/>
        <v>2.7568954778961364E-3</v>
      </c>
      <c r="AZ63" s="28">
        <f t="shared" si="64"/>
        <v>1.7566343986672108E-3</v>
      </c>
      <c r="BA63" s="28">
        <f t="shared" si="64"/>
        <v>1.9884114350484186E-3</v>
      </c>
      <c r="BB63" s="28">
        <f t="shared" si="64"/>
        <v>2.5924726558048494E-3</v>
      </c>
      <c r="BC63" s="28">
        <f t="shared" si="64"/>
        <v>2.817520621603562E-3</v>
      </c>
      <c r="BD63" s="28">
        <f t="shared" si="64"/>
        <v>3.4234153269871214E-3</v>
      </c>
      <c r="BE63" s="28">
        <f t="shared" si="65"/>
        <v>3.7411176187483975E-3</v>
      </c>
    </row>
    <row r="80" spans="1:2" s="19" customFormat="1">
      <c r="A80" s="23"/>
      <c r="B80" s="14"/>
    </row>
    <row r="82" spans="1:2" s="28" customFormat="1">
      <c r="A82" s="52"/>
      <c r="B82" s="16"/>
    </row>
    <row r="84" spans="1:2" hidden="1" outlineLevel="1">
      <c r="B84" s="14"/>
    </row>
    <row r="85" spans="1:2" hidden="1" outlineLevel="1"/>
    <row r="86" spans="1:2" hidden="1" outlineLevel="1"/>
    <row r="87" spans="1:2" hidden="1" outlineLevel="1"/>
    <row r="88" spans="1:2" hidden="1" outlineLevel="1"/>
    <row r="89" spans="1:2" hidden="1" outlineLevel="1"/>
    <row r="90" spans="1:2" hidden="1" outlineLevel="1"/>
    <row r="91" spans="1:2" hidden="1" outlineLevel="1"/>
    <row r="92" spans="1:2" hidden="1" outlineLevel="1"/>
    <row r="93" spans="1:2" hidden="1" outlineLevel="1"/>
    <row r="94" spans="1:2" hidden="1" outlineLevel="1">
      <c r="B94" s="14"/>
    </row>
    <row r="95" spans="1:2" hidden="1" outlineLevel="1"/>
    <row r="96" spans="1:2" hidden="1" outlineLevel="1"/>
    <row r="97" spans="1:2" hidden="1" outlineLevel="1"/>
    <row r="98" spans="1:2" hidden="1" outlineLevel="1"/>
    <row r="99" spans="1:2" hidden="1" outlineLevel="1"/>
    <row r="100" spans="1:2" hidden="1" outlineLevel="1"/>
    <row r="101" spans="1:2" hidden="1" outlineLevel="1"/>
    <row r="102" spans="1:2" collapsed="1"/>
    <row r="103" spans="1:2" s="19" customFormat="1">
      <c r="A103" s="23"/>
      <c r="B103" s="14"/>
    </row>
    <row r="110" spans="1:2" s="19" customFormat="1">
      <c r="A110" s="23"/>
      <c r="B110" s="14"/>
    </row>
    <row r="124" spans="66:66">
      <c r="BN124" s="19"/>
    </row>
    <row r="131" spans="1:23" s="19" customFormat="1">
      <c r="A131" s="23"/>
      <c r="B131" s="14"/>
    </row>
    <row r="133" spans="1:23"/>
    <row r="138" spans="1:23" s="19" customFormat="1">
      <c r="A138" s="23"/>
      <c r="B138" s="14"/>
    </row>
    <row r="143" spans="1:23" s="19" customFormat="1">
      <c r="A143" s="23"/>
      <c r="B143" s="14"/>
    </row>
    <row r="145" spans="1:2" s="19" customFormat="1">
      <c r="A145" s="23"/>
      <c r="B145" s="14"/>
    </row>
    <row r="149" spans="1:2" s="19" customFormat="1">
      <c r="A149" s="23"/>
      <c r="B149" s="14"/>
    </row>
    <row r="152" spans="1:2" s="19" customFormat="1">
      <c r="A152" s="23"/>
      <c r="B152" s="14"/>
    </row>
    <row r="155" spans="1:2" s="19" customFormat="1">
      <c r="A155" s="23"/>
      <c r="B155" s="14"/>
    </row>
    <row r="159" spans="1:2">
      <c r="B159" s="14"/>
    </row>
    <row r="165" spans="2:68">
      <c r="B165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</row>
    <row r="166" spans="2:68">
      <c r="B166" s="69"/>
      <c r="BF166" s="70"/>
      <c r="BG166" s="71"/>
      <c r="BH166" s="71"/>
      <c r="BI166" s="71"/>
      <c r="BJ166" s="71"/>
      <c r="BK166" s="71"/>
      <c r="BL166" s="71"/>
      <c r="BM166" s="71"/>
      <c r="BN166" s="71"/>
      <c r="BO166" s="71"/>
      <c r="BP166" s="71"/>
    </row>
    <row r="167" spans="2:68">
      <c r="B167" s="69"/>
      <c r="BF167" s="70"/>
      <c r="BG167" s="71"/>
      <c r="BH167" s="71"/>
      <c r="BI167" s="71"/>
      <c r="BJ167" s="71"/>
      <c r="BK167" s="71"/>
      <c r="BL167" s="71"/>
      <c r="BM167" s="71"/>
      <c r="BN167" s="71"/>
      <c r="BO167" s="71"/>
      <c r="BP167" s="71"/>
    </row>
    <row r="168" spans="2:68">
      <c r="B168" s="69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</row>
    <row r="169" spans="2:68">
      <c r="B169"/>
      <c r="BF169" s="71"/>
      <c r="BG169" s="71"/>
      <c r="BH169" s="71"/>
      <c r="BI169" s="71"/>
      <c r="BJ169" s="71"/>
      <c r="BK169" s="71"/>
      <c r="BL169" s="71"/>
      <c r="BM169" s="71"/>
      <c r="BN169" s="71"/>
      <c r="BO169" s="71"/>
      <c r="BP169" s="71"/>
    </row>
    <row r="170" spans="2:68">
      <c r="B170" s="69"/>
      <c r="BF170" s="73"/>
      <c r="BG170" s="73"/>
      <c r="BH170" s="73"/>
      <c r="BI170" s="73"/>
      <c r="BJ170" s="73"/>
      <c r="BK170" s="73"/>
      <c r="BL170" s="73"/>
      <c r="BM170" s="73"/>
      <c r="BN170" s="73"/>
      <c r="BO170" s="73"/>
      <c r="BP170" s="73"/>
    </row>
    <row r="171" spans="2:68">
      <c r="B171" s="69"/>
      <c r="BF171" s="73"/>
      <c r="BG171" s="73"/>
      <c r="BH171" s="73"/>
      <c r="BI171" s="73"/>
      <c r="BJ171" s="73"/>
      <c r="BK171" s="73"/>
      <c r="BL171" s="73"/>
      <c r="BM171" s="73"/>
      <c r="BN171" s="73"/>
      <c r="BO171" s="73"/>
      <c r="BP171" s="73"/>
    </row>
    <row r="172" spans="2:68">
      <c r="B172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</row>
    <row r="173" spans="2:68">
      <c r="B173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</row>
    <row r="174" spans="2:68">
      <c r="B174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</row>
  </sheetData>
  <conditionalFormatting sqref="BS41">
    <cfRule type="cellIs" dxfId="0" priority="1" operator="greaterThan">
      <formula>0</formula>
    </cfRule>
  </conditionalFormatting>
  <hyperlinks>
    <hyperlink ref="A1" location="Main!A1" display="Main " xr:uid="{ED7DB476-C443-AB48-A0D4-B52B40DAF994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6A9DB-4F78-8E45-9F2C-D2EFF3688216}">
  <dimension ref="B2:L21"/>
  <sheetViews>
    <sheetView tabSelected="1" zoomScale="150" workbookViewId="0">
      <selection activeCell="D25" sqref="D25"/>
    </sheetView>
  </sheetViews>
  <sheetFormatPr baseColWidth="10" defaultRowHeight="13"/>
  <cols>
    <col min="1" max="1" width="2" style="1" customWidth="1"/>
    <col min="2" max="2" width="25" style="1" bestFit="1" customWidth="1"/>
    <col min="3" max="3" width="16.33203125" style="83" bestFit="1" customWidth="1"/>
    <col min="4" max="9" width="10.83203125" style="1"/>
    <col min="10" max="10" width="3.6640625" style="1" bestFit="1" customWidth="1"/>
    <col min="11" max="11" width="7.6640625" style="1" bestFit="1" customWidth="1"/>
    <col min="12" max="12" width="5.5" style="1" bestFit="1" customWidth="1"/>
    <col min="13" max="16384" width="10.83203125" style="1"/>
  </cols>
  <sheetData>
    <row r="2" spans="2:12">
      <c r="B2" s="4" t="s">
        <v>128</v>
      </c>
      <c r="C2" s="83" t="s">
        <v>129</v>
      </c>
    </row>
    <row r="3" spans="2:12">
      <c r="B3" s="1" t="s">
        <v>130</v>
      </c>
      <c r="C3" s="83" t="s">
        <v>141</v>
      </c>
    </row>
    <row r="4" spans="2:12">
      <c r="B4" s="1" t="s">
        <v>132</v>
      </c>
      <c r="C4" s="83" t="s">
        <v>131</v>
      </c>
      <c r="J4" s="1" t="s">
        <v>0</v>
      </c>
      <c r="K4" s="1">
        <v>31.04</v>
      </c>
    </row>
    <row r="5" spans="2:12">
      <c r="B5" s="1" t="s">
        <v>133</v>
      </c>
      <c r="C5" s="83" t="s">
        <v>137</v>
      </c>
      <c r="E5" s="1" t="s">
        <v>64</v>
      </c>
      <c r="J5" s="1" t="s">
        <v>1</v>
      </c>
      <c r="K5" s="1">
        <f>100.440089+12.871027</f>
        <v>113.311116</v>
      </c>
      <c r="L5" s="1" t="s">
        <v>63</v>
      </c>
    </row>
    <row r="6" spans="2:12">
      <c r="B6" s="1" t="s">
        <v>134</v>
      </c>
      <c r="C6" s="83" t="s">
        <v>139</v>
      </c>
      <c r="J6" s="1" t="s">
        <v>2</v>
      </c>
      <c r="K6" s="1">
        <f>+K4*K5</f>
        <v>3517.1770406399996</v>
      </c>
    </row>
    <row r="7" spans="2:12">
      <c r="B7" s="1" t="s">
        <v>135</v>
      </c>
      <c r="C7" s="83" t="s">
        <v>138</v>
      </c>
      <c r="J7" s="1" t="s">
        <v>3</v>
      </c>
      <c r="K7" s="1">
        <v>243.756</v>
      </c>
      <c r="L7" s="1" t="str">
        <f>+L5</f>
        <v>Q124</v>
      </c>
    </row>
    <row r="8" spans="2:12">
      <c r="B8" s="1" t="s">
        <v>136</v>
      </c>
      <c r="C8" s="83" t="s">
        <v>140</v>
      </c>
      <c r="J8" s="1" t="s">
        <v>4</v>
      </c>
      <c r="K8" s="1">
        <v>0</v>
      </c>
      <c r="L8" s="1" t="str">
        <f>+L7</f>
        <v>Q124</v>
      </c>
    </row>
    <row r="9" spans="2:12">
      <c r="J9" s="1" t="s">
        <v>5</v>
      </c>
      <c r="K9" s="1">
        <f>+K6-K7+K8</f>
        <v>3273.4210406399998</v>
      </c>
    </row>
    <row r="11" spans="2:12">
      <c r="B11" s="5" t="s">
        <v>142</v>
      </c>
    </row>
    <row r="12" spans="2:12">
      <c r="B12" s="1" t="s">
        <v>143</v>
      </c>
    </row>
    <row r="13" spans="2:12">
      <c r="B13" s="1" t="s">
        <v>144</v>
      </c>
    </row>
    <row r="14" spans="2:12">
      <c r="B14" s="1" t="s">
        <v>145</v>
      </c>
    </row>
    <row r="15" spans="2:12">
      <c r="B15" s="1" t="s">
        <v>146</v>
      </c>
    </row>
    <row r="16" spans="2:12">
      <c r="B16" s="1" t="s">
        <v>147</v>
      </c>
    </row>
    <row r="17" spans="2:4">
      <c r="B17" s="1" t="s">
        <v>148</v>
      </c>
    </row>
    <row r="18" spans="2:4">
      <c r="B18" s="1" t="s">
        <v>149</v>
      </c>
    </row>
    <row r="19" spans="2:4">
      <c r="B19" s="1" t="s">
        <v>150</v>
      </c>
    </row>
    <row r="20" spans="2:4">
      <c r="C20" s="84" t="s">
        <v>151</v>
      </c>
      <c r="D20" s="1" t="s">
        <v>152</v>
      </c>
    </row>
    <row r="21" spans="2:4">
      <c r="C21" s="85">
        <v>45419</v>
      </c>
      <c r="D21" s="1" t="s">
        <v>153</v>
      </c>
    </row>
  </sheetData>
  <hyperlinks>
    <hyperlink ref="C21" r:id="rId1" display="https://investor.sweetgreen.com/press/news-details/2024/Sweetgreen-Launches-Caramelized-Garlic-Steak-Nationwide-Expanding-Its-Protein-Offerings/default.aspx" xr:uid="{EDC556E0-3A69-384D-880B-960AD95DC1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72FD-27E2-8840-935A-09595DF08E27}">
  <dimension ref="B2:IB67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9" sqref="Q19"/>
    </sheetView>
  </sheetViews>
  <sheetFormatPr baseColWidth="10" defaultColWidth="10.6640625" defaultRowHeight="13"/>
  <cols>
    <col min="1" max="1" width="1.6640625" style="1" customWidth="1"/>
    <col min="2" max="2" width="18.5" style="1" bestFit="1" customWidth="1"/>
    <col min="3" max="6" width="7.1640625" style="1" bestFit="1" customWidth="1"/>
    <col min="7" max="15" width="7.6640625" style="1" bestFit="1" customWidth="1"/>
    <col min="16" max="17" width="10.6640625" style="1"/>
    <col min="18" max="22" width="5.1640625" style="1" bestFit="1" customWidth="1"/>
    <col min="23" max="26" width="8.1640625" style="1" bestFit="1" customWidth="1"/>
    <col min="27" max="30" width="7.6640625" style="1" bestFit="1" customWidth="1"/>
    <col min="31" max="36" width="9.1640625" style="1" bestFit="1" customWidth="1"/>
    <col min="37" max="38" width="7.6640625" style="1" bestFit="1" customWidth="1"/>
    <col min="39" max="39" width="10.5" style="1" bestFit="1" customWidth="1"/>
    <col min="40" max="40" width="9.1640625" style="1" bestFit="1" customWidth="1"/>
    <col min="41" max="95" width="7.6640625" style="1" bestFit="1" customWidth="1"/>
    <col min="96" max="236" width="9.1640625" style="1" bestFit="1" customWidth="1"/>
    <col min="237" max="16384" width="10.6640625" style="1"/>
  </cols>
  <sheetData>
    <row r="2" spans="2:236">
      <c r="C2" s="1" t="s">
        <v>31</v>
      </c>
      <c r="D2" s="1" t="s">
        <v>32</v>
      </c>
      <c r="E2" s="1" t="s">
        <v>33</v>
      </c>
      <c r="F2" s="1" t="s">
        <v>34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63</v>
      </c>
      <c r="R2" s="2">
        <v>2015</v>
      </c>
      <c r="S2" s="2">
        <f>+R2+1</f>
        <v>2016</v>
      </c>
      <c r="T2" s="2">
        <f t="shared" ref="T2:AH2" si="0">+S2+1</f>
        <v>2017</v>
      </c>
      <c r="U2" s="2">
        <f t="shared" si="0"/>
        <v>2018</v>
      </c>
      <c r="V2" s="2">
        <f t="shared" si="0"/>
        <v>2019</v>
      </c>
      <c r="W2" s="2">
        <f t="shared" si="0"/>
        <v>2020</v>
      </c>
      <c r="X2" s="2">
        <f t="shared" si="0"/>
        <v>2021</v>
      </c>
      <c r="Y2" s="2">
        <f t="shared" si="0"/>
        <v>2022</v>
      </c>
      <c r="Z2" s="2">
        <f t="shared" si="0"/>
        <v>2023</v>
      </c>
      <c r="AA2" s="2">
        <f t="shared" si="0"/>
        <v>2024</v>
      </c>
      <c r="AB2" s="2">
        <f t="shared" si="0"/>
        <v>2025</v>
      </c>
      <c r="AC2" s="2">
        <f t="shared" si="0"/>
        <v>2026</v>
      </c>
      <c r="AD2" s="2">
        <f t="shared" si="0"/>
        <v>2027</v>
      </c>
      <c r="AE2" s="2">
        <f t="shared" si="0"/>
        <v>2028</v>
      </c>
      <c r="AF2" s="2">
        <f t="shared" si="0"/>
        <v>2029</v>
      </c>
      <c r="AG2" s="2">
        <f t="shared" si="0"/>
        <v>2030</v>
      </c>
      <c r="AH2" s="2">
        <f t="shared" si="0"/>
        <v>2031</v>
      </c>
      <c r="AI2" s="2">
        <f t="shared" ref="AI2" si="1">+AH2+1</f>
        <v>2032</v>
      </c>
      <c r="AJ2" s="2">
        <f t="shared" ref="AJ2" si="2">+AI2+1</f>
        <v>2033</v>
      </c>
      <c r="AK2" s="1">
        <f>+AJ2+1</f>
        <v>2034</v>
      </c>
      <c r="AL2" s="1">
        <f t="shared" ref="AL2:CW2" si="3">+AK2+1</f>
        <v>2035</v>
      </c>
      <c r="AM2" s="1">
        <f t="shared" si="3"/>
        <v>2036</v>
      </c>
      <c r="AN2" s="1">
        <f t="shared" si="3"/>
        <v>2037</v>
      </c>
      <c r="AO2" s="1">
        <f t="shared" si="3"/>
        <v>2038</v>
      </c>
      <c r="AP2" s="1">
        <f t="shared" si="3"/>
        <v>2039</v>
      </c>
      <c r="AQ2" s="1">
        <f t="shared" si="3"/>
        <v>2040</v>
      </c>
      <c r="AR2" s="1">
        <f t="shared" si="3"/>
        <v>2041</v>
      </c>
      <c r="AS2" s="1">
        <f t="shared" si="3"/>
        <v>2042</v>
      </c>
      <c r="AT2" s="1">
        <f t="shared" si="3"/>
        <v>2043</v>
      </c>
      <c r="AU2" s="1">
        <f t="shared" si="3"/>
        <v>2044</v>
      </c>
      <c r="AV2" s="1">
        <f t="shared" si="3"/>
        <v>2045</v>
      </c>
      <c r="AW2" s="1">
        <f t="shared" si="3"/>
        <v>2046</v>
      </c>
      <c r="AX2" s="1">
        <f t="shared" si="3"/>
        <v>2047</v>
      </c>
      <c r="AY2" s="1">
        <f t="shared" si="3"/>
        <v>2048</v>
      </c>
      <c r="AZ2" s="1">
        <f t="shared" si="3"/>
        <v>2049</v>
      </c>
      <c r="BA2" s="1">
        <f t="shared" si="3"/>
        <v>2050</v>
      </c>
      <c r="BB2" s="1">
        <f t="shared" si="3"/>
        <v>2051</v>
      </c>
      <c r="BC2" s="1">
        <f t="shared" si="3"/>
        <v>2052</v>
      </c>
      <c r="BD2" s="1">
        <f t="shared" si="3"/>
        <v>2053</v>
      </c>
      <c r="BE2" s="1">
        <f t="shared" si="3"/>
        <v>2054</v>
      </c>
      <c r="BF2" s="1">
        <f t="shared" si="3"/>
        <v>2055</v>
      </c>
      <c r="BG2" s="1">
        <f t="shared" si="3"/>
        <v>2056</v>
      </c>
      <c r="BH2" s="1">
        <f t="shared" si="3"/>
        <v>2057</v>
      </c>
      <c r="BI2" s="1">
        <f t="shared" si="3"/>
        <v>2058</v>
      </c>
      <c r="BJ2" s="1">
        <f t="shared" si="3"/>
        <v>2059</v>
      </c>
      <c r="BK2" s="1">
        <f t="shared" si="3"/>
        <v>2060</v>
      </c>
      <c r="BL2" s="1">
        <f t="shared" si="3"/>
        <v>2061</v>
      </c>
      <c r="BM2" s="1">
        <f t="shared" si="3"/>
        <v>2062</v>
      </c>
      <c r="BN2" s="1">
        <f t="shared" si="3"/>
        <v>2063</v>
      </c>
      <c r="BO2" s="1">
        <f t="shared" si="3"/>
        <v>2064</v>
      </c>
      <c r="BP2" s="1">
        <f t="shared" si="3"/>
        <v>2065</v>
      </c>
      <c r="BQ2" s="1">
        <f t="shared" si="3"/>
        <v>2066</v>
      </c>
      <c r="BR2" s="1">
        <f t="shared" si="3"/>
        <v>2067</v>
      </c>
      <c r="BS2" s="1">
        <f t="shared" si="3"/>
        <v>2068</v>
      </c>
      <c r="BT2" s="1">
        <f t="shared" si="3"/>
        <v>2069</v>
      </c>
      <c r="BU2" s="1">
        <f t="shared" si="3"/>
        <v>2070</v>
      </c>
      <c r="BV2" s="1">
        <f t="shared" si="3"/>
        <v>2071</v>
      </c>
      <c r="BW2" s="1">
        <f t="shared" si="3"/>
        <v>2072</v>
      </c>
      <c r="BX2" s="1">
        <f t="shared" si="3"/>
        <v>2073</v>
      </c>
      <c r="BY2" s="1">
        <f t="shared" si="3"/>
        <v>2074</v>
      </c>
      <c r="BZ2" s="1">
        <f t="shared" si="3"/>
        <v>2075</v>
      </c>
      <c r="CA2" s="1">
        <f t="shared" si="3"/>
        <v>2076</v>
      </c>
      <c r="CB2" s="1">
        <f t="shared" si="3"/>
        <v>2077</v>
      </c>
      <c r="CC2" s="1">
        <f t="shared" si="3"/>
        <v>2078</v>
      </c>
      <c r="CD2" s="1">
        <f t="shared" si="3"/>
        <v>2079</v>
      </c>
      <c r="CE2" s="1">
        <f t="shared" si="3"/>
        <v>2080</v>
      </c>
      <c r="CF2" s="1">
        <f t="shared" si="3"/>
        <v>2081</v>
      </c>
      <c r="CG2" s="1">
        <f t="shared" si="3"/>
        <v>2082</v>
      </c>
      <c r="CH2" s="1">
        <f t="shared" si="3"/>
        <v>2083</v>
      </c>
      <c r="CI2" s="1">
        <f t="shared" si="3"/>
        <v>2084</v>
      </c>
      <c r="CJ2" s="1">
        <f t="shared" si="3"/>
        <v>2085</v>
      </c>
      <c r="CK2" s="1">
        <f t="shared" si="3"/>
        <v>2086</v>
      </c>
      <c r="CL2" s="1">
        <f t="shared" si="3"/>
        <v>2087</v>
      </c>
      <c r="CM2" s="1">
        <f t="shared" si="3"/>
        <v>2088</v>
      </c>
      <c r="CN2" s="1">
        <f t="shared" si="3"/>
        <v>2089</v>
      </c>
      <c r="CO2" s="1">
        <f t="shared" si="3"/>
        <v>2090</v>
      </c>
      <c r="CP2" s="1">
        <f t="shared" si="3"/>
        <v>2091</v>
      </c>
      <c r="CQ2" s="1">
        <f t="shared" si="3"/>
        <v>2092</v>
      </c>
      <c r="CR2" s="1">
        <f t="shared" si="3"/>
        <v>2093</v>
      </c>
      <c r="CS2" s="1">
        <f t="shared" si="3"/>
        <v>2094</v>
      </c>
      <c r="CT2" s="1">
        <f t="shared" si="3"/>
        <v>2095</v>
      </c>
      <c r="CU2" s="1">
        <f t="shared" si="3"/>
        <v>2096</v>
      </c>
      <c r="CV2" s="1">
        <f t="shared" si="3"/>
        <v>2097</v>
      </c>
      <c r="CW2" s="1">
        <f t="shared" si="3"/>
        <v>2098</v>
      </c>
      <c r="CX2" s="1">
        <f t="shared" ref="CX2:CY2" si="4">+CW2+1</f>
        <v>2099</v>
      </c>
      <c r="CY2" s="1">
        <f t="shared" si="4"/>
        <v>2100</v>
      </c>
      <c r="CZ2" s="1">
        <f t="shared" ref="CZ2:DW2" si="5">+CY2+1</f>
        <v>2101</v>
      </c>
      <c r="DA2" s="1">
        <f t="shared" si="5"/>
        <v>2102</v>
      </c>
      <c r="DB2" s="1">
        <f t="shared" si="5"/>
        <v>2103</v>
      </c>
      <c r="DC2" s="1">
        <f t="shared" si="5"/>
        <v>2104</v>
      </c>
      <c r="DD2" s="1">
        <f t="shared" si="5"/>
        <v>2105</v>
      </c>
      <c r="DE2" s="1">
        <f t="shared" si="5"/>
        <v>2106</v>
      </c>
      <c r="DF2" s="1">
        <f t="shared" si="5"/>
        <v>2107</v>
      </c>
      <c r="DG2" s="1">
        <f t="shared" si="5"/>
        <v>2108</v>
      </c>
      <c r="DH2" s="1">
        <f t="shared" si="5"/>
        <v>2109</v>
      </c>
      <c r="DI2" s="1">
        <f t="shared" si="5"/>
        <v>2110</v>
      </c>
      <c r="DJ2" s="1">
        <f t="shared" si="5"/>
        <v>2111</v>
      </c>
      <c r="DK2" s="1">
        <f t="shared" si="5"/>
        <v>2112</v>
      </c>
      <c r="DL2" s="1">
        <f t="shared" si="5"/>
        <v>2113</v>
      </c>
      <c r="DM2" s="1">
        <f t="shared" si="5"/>
        <v>2114</v>
      </c>
      <c r="DN2" s="1">
        <f t="shared" si="5"/>
        <v>2115</v>
      </c>
      <c r="DO2" s="1">
        <f t="shared" si="5"/>
        <v>2116</v>
      </c>
      <c r="DP2" s="1">
        <f t="shared" si="5"/>
        <v>2117</v>
      </c>
      <c r="DQ2" s="1">
        <f t="shared" si="5"/>
        <v>2118</v>
      </c>
      <c r="DR2" s="1">
        <f t="shared" si="5"/>
        <v>2119</v>
      </c>
      <c r="DS2" s="1">
        <f t="shared" si="5"/>
        <v>2120</v>
      </c>
      <c r="DT2" s="1">
        <f t="shared" si="5"/>
        <v>2121</v>
      </c>
      <c r="DU2" s="1">
        <f t="shared" si="5"/>
        <v>2122</v>
      </c>
      <c r="DV2" s="1">
        <f t="shared" si="5"/>
        <v>2123</v>
      </c>
      <c r="DW2" s="1">
        <f t="shared" ref="DW2:EV2" si="6">+DV2+1</f>
        <v>2124</v>
      </c>
      <c r="DX2" s="1">
        <f t="shared" si="6"/>
        <v>2125</v>
      </c>
      <c r="DY2" s="1">
        <f t="shared" si="6"/>
        <v>2126</v>
      </c>
      <c r="DZ2" s="1">
        <f t="shared" si="6"/>
        <v>2127</v>
      </c>
      <c r="EA2" s="1">
        <f t="shared" si="6"/>
        <v>2128</v>
      </c>
      <c r="EB2" s="1">
        <f t="shared" si="6"/>
        <v>2129</v>
      </c>
      <c r="EC2" s="1">
        <f t="shared" si="6"/>
        <v>2130</v>
      </c>
      <c r="ED2" s="1">
        <f t="shared" si="6"/>
        <v>2131</v>
      </c>
      <c r="EE2" s="1">
        <f t="shared" si="6"/>
        <v>2132</v>
      </c>
      <c r="EF2" s="1">
        <f t="shared" si="6"/>
        <v>2133</v>
      </c>
      <c r="EG2" s="1">
        <f t="shared" si="6"/>
        <v>2134</v>
      </c>
      <c r="EH2" s="1">
        <f t="shared" si="6"/>
        <v>2135</v>
      </c>
      <c r="EI2" s="1">
        <f t="shared" si="6"/>
        <v>2136</v>
      </c>
      <c r="EJ2" s="1">
        <f t="shared" si="6"/>
        <v>2137</v>
      </c>
      <c r="EK2" s="1">
        <f t="shared" si="6"/>
        <v>2138</v>
      </c>
      <c r="EL2" s="1">
        <f t="shared" si="6"/>
        <v>2139</v>
      </c>
      <c r="EM2" s="1">
        <f t="shared" si="6"/>
        <v>2140</v>
      </c>
      <c r="EN2" s="1">
        <f t="shared" si="6"/>
        <v>2141</v>
      </c>
      <c r="EO2" s="1">
        <f t="shared" si="6"/>
        <v>2142</v>
      </c>
      <c r="EP2" s="1">
        <f t="shared" si="6"/>
        <v>2143</v>
      </c>
      <c r="EQ2" s="1">
        <f t="shared" si="6"/>
        <v>2144</v>
      </c>
      <c r="ER2" s="1">
        <f t="shared" si="6"/>
        <v>2145</v>
      </c>
      <c r="ES2" s="1">
        <f t="shared" si="6"/>
        <v>2146</v>
      </c>
      <c r="ET2" s="1">
        <f t="shared" si="6"/>
        <v>2147</v>
      </c>
      <c r="EU2" s="1">
        <f t="shared" si="6"/>
        <v>2148</v>
      </c>
      <c r="EV2" s="1">
        <f t="shared" ref="EV2:FP2" si="7">+EU2+1</f>
        <v>2149</v>
      </c>
      <c r="EW2" s="1">
        <f t="shared" si="7"/>
        <v>2150</v>
      </c>
      <c r="EX2" s="1">
        <f t="shared" si="7"/>
        <v>2151</v>
      </c>
      <c r="EY2" s="1">
        <f t="shared" si="7"/>
        <v>2152</v>
      </c>
      <c r="EZ2" s="1">
        <f t="shared" si="7"/>
        <v>2153</v>
      </c>
      <c r="FA2" s="1">
        <f t="shared" si="7"/>
        <v>2154</v>
      </c>
      <c r="FB2" s="1">
        <f t="shared" si="7"/>
        <v>2155</v>
      </c>
      <c r="FC2" s="1">
        <f t="shared" si="7"/>
        <v>2156</v>
      </c>
      <c r="FD2" s="1">
        <f t="shared" si="7"/>
        <v>2157</v>
      </c>
      <c r="FE2" s="1">
        <f t="shared" si="7"/>
        <v>2158</v>
      </c>
      <c r="FF2" s="1">
        <f t="shared" si="7"/>
        <v>2159</v>
      </c>
      <c r="FG2" s="1">
        <f t="shared" si="7"/>
        <v>2160</v>
      </c>
      <c r="FH2" s="1">
        <f t="shared" si="7"/>
        <v>2161</v>
      </c>
      <c r="FI2" s="1">
        <f t="shared" si="7"/>
        <v>2162</v>
      </c>
      <c r="FJ2" s="1">
        <f t="shared" si="7"/>
        <v>2163</v>
      </c>
      <c r="FK2" s="1">
        <f t="shared" si="7"/>
        <v>2164</v>
      </c>
      <c r="FL2" s="1">
        <f t="shared" si="7"/>
        <v>2165</v>
      </c>
      <c r="FM2" s="1">
        <f t="shared" si="7"/>
        <v>2166</v>
      </c>
      <c r="FN2" s="1">
        <f t="shared" si="7"/>
        <v>2167</v>
      </c>
      <c r="FO2" s="1">
        <f t="shared" si="7"/>
        <v>2168</v>
      </c>
      <c r="FP2" s="1">
        <f t="shared" si="7"/>
        <v>2169</v>
      </c>
      <c r="FQ2" s="1">
        <f t="shared" ref="FQ2:GE2" si="8">+FP2+1</f>
        <v>2170</v>
      </c>
      <c r="FR2" s="1">
        <f t="shared" si="8"/>
        <v>2171</v>
      </c>
      <c r="FS2" s="1">
        <f t="shared" si="8"/>
        <v>2172</v>
      </c>
      <c r="FT2" s="1">
        <f t="shared" si="8"/>
        <v>2173</v>
      </c>
      <c r="FU2" s="1">
        <f t="shared" si="8"/>
        <v>2174</v>
      </c>
      <c r="FV2" s="1">
        <f t="shared" si="8"/>
        <v>2175</v>
      </c>
      <c r="FW2" s="1">
        <f t="shared" si="8"/>
        <v>2176</v>
      </c>
      <c r="FX2" s="1">
        <f t="shared" si="8"/>
        <v>2177</v>
      </c>
      <c r="FY2" s="1">
        <f t="shared" si="8"/>
        <v>2178</v>
      </c>
      <c r="FZ2" s="1">
        <f t="shared" si="8"/>
        <v>2179</v>
      </c>
      <c r="GA2" s="1">
        <f t="shared" si="8"/>
        <v>2180</v>
      </c>
      <c r="GB2" s="1">
        <f t="shared" si="8"/>
        <v>2181</v>
      </c>
      <c r="GC2" s="1">
        <f t="shared" si="8"/>
        <v>2182</v>
      </c>
      <c r="GD2" s="1">
        <f t="shared" si="8"/>
        <v>2183</v>
      </c>
      <c r="GE2" s="1">
        <f t="shared" ref="GE2:GZ2" si="9">+GD2+1</f>
        <v>2184</v>
      </c>
      <c r="GF2" s="1">
        <f t="shared" si="9"/>
        <v>2185</v>
      </c>
      <c r="GG2" s="1">
        <f t="shared" si="9"/>
        <v>2186</v>
      </c>
      <c r="GH2" s="1">
        <f t="shared" si="9"/>
        <v>2187</v>
      </c>
      <c r="GI2" s="1">
        <f t="shared" si="9"/>
        <v>2188</v>
      </c>
      <c r="GJ2" s="1">
        <f t="shared" si="9"/>
        <v>2189</v>
      </c>
      <c r="GK2" s="1">
        <f t="shared" si="9"/>
        <v>2190</v>
      </c>
      <c r="GL2" s="1">
        <f t="shared" si="9"/>
        <v>2191</v>
      </c>
      <c r="GM2" s="1">
        <f t="shared" si="9"/>
        <v>2192</v>
      </c>
      <c r="GN2" s="1">
        <f t="shared" si="9"/>
        <v>2193</v>
      </c>
      <c r="GO2" s="1">
        <f t="shared" si="9"/>
        <v>2194</v>
      </c>
      <c r="GP2" s="1">
        <f t="shared" si="9"/>
        <v>2195</v>
      </c>
      <c r="GQ2" s="1">
        <f t="shared" si="9"/>
        <v>2196</v>
      </c>
      <c r="GR2" s="1">
        <f t="shared" si="9"/>
        <v>2197</v>
      </c>
      <c r="GS2" s="1">
        <f t="shared" si="9"/>
        <v>2198</v>
      </c>
      <c r="GT2" s="1">
        <f t="shared" si="9"/>
        <v>2199</v>
      </c>
      <c r="GU2" s="1">
        <f t="shared" si="9"/>
        <v>2200</v>
      </c>
      <c r="GV2" s="1">
        <f t="shared" si="9"/>
        <v>2201</v>
      </c>
      <c r="GW2" s="1">
        <f t="shared" si="9"/>
        <v>2202</v>
      </c>
      <c r="GX2" s="1">
        <f t="shared" si="9"/>
        <v>2203</v>
      </c>
      <c r="GY2" s="1">
        <f t="shared" si="9"/>
        <v>2204</v>
      </c>
      <c r="GZ2" s="1">
        <f t="shared" ref="GZ2:HN2" si="10">+GY2+1</f>
        <v>2205</v>
      </c>
      <c r="HA2" s="1">
        <f t="shared" si="10"/>
        <v>2206</v>
      </c>
      <c r="HB2" s="1">
        <f t="shared" si="10"/>
        <v>2207</v>
      </c>
      <c r="HC2" s="1">
        <f t="shared" si="10"/>
        <v>2208</v>
      </c>
      <c r="HD2" s="1">
        <f t="shared" si="10"/>
        <v>2209</v>
      </c>
      <c r="HE2" s="1">
        <f t="shared" si="10"/>
        <v>2210</v>
      </c>
      <c r="HF2" s="1">
        <f t="shared" si="10"/>
        <v>2211</v>
      </c>
      <c r="HG2" s="1">
        <f t="shared" si="10"/>
        <v>2212</v>
      </c>
      <c r="HH2" s="1">
        <f t="shared" si="10"/>
        <v>2213</v>
      </c>
      <c r="HI2" s="1">
        <f t="shared" si="10"/>
        <v>2214</v>
      </c>
      <c r="HJ2" s="1">
        <f t="shared" si="10"/>
        <v>2215</v>
      </c>
      <c r="HK2" s="1">
        <f t="shared" si="10"/>
        <v>2216</v>
      </c>
      <c r="HL2" s="1">
        <f t="shared" si="10"/>
        <v>2217</v>
      </c>
      <c r="HM2" s="1">
        <f t="shared" si="10"/>
        <v>2218</v>
      </c>
      <c r="HN2" s="1">
        <f t="shared" ref="HN2:HV2" si="11">+HM2+1</f>
        <v>2219</v>
      </c>
      <c r="HO2" s="1">
        <f t="shared" si="11"/>
        <v>2220</v>
      </c>
      <c r="HP2" s="1">
        <f t="shared" si="11"/>
        <v>2221</v>
      </c>
      <c r="HQ2" s="1">
        <f t="shared" si="11"/>
        <v>2222</v>
      </c>
      <c r="HR2" s="1">
        <f t="shared" si="11"/>
        <v>2223</v>
      </c>
      <c r="HS2" s="1">
        <f t="shared" si="11"/>
        <v>2224</v>
      </c>
      <c r="HT2" s="1">
        <f t="shared" si="11"/>
        <v>2225</v>
      </c>
      <c r="HU2" s="1">
        <f t="shared" si="11"/>
        <v>2226</v>
      </c>
      <c r="HV2" s="1">
        <f t="shared" ref="HV2:HY2" si="12">+HU2+1</f>
        <v>2227</v>
      </c>
      <c r="HW2" s="1">
        <f t="shared" si="12"/>
        <v>2228</v>
      </c>
      <c r="HX2" s="1">
        <f t="shared" si="12"/>
        <v>2229</v>
      </c>
      <c r="HY2" s="1">
        <f t="shared" ref="HY2:IB2" si="13">+HX2+1</f>
        <v>2230</v>
      </c>
      <c r="HZ2" s="1">
        <f t="shared" si="13"/>
        <v>2231</v>
      </c>
      <c r="IA2" s="1">
        <f t="shared" si="13"/>
        <v>2232</v>
      </c>
      <c r="IB2" s="1">
        <f t="shared" ref="IB2" si="14">+IA2+1</f>
        <v>2233</v>
      </c>
    </row>
    <row r="3" spans="2:236">
      <c r="B3" s="4" t="s">
        <v>35</v>
      </c>
      <c r="G3" s="1">
        <v>158</v>
      </c>
      <c r="H3" s="1">
        <v>166</v>
      </c>
      <c r="I3" s="1">
        <v>176</v>
      </c>
      <c r="J3" s="1">
        <v>186</v>
      </c>
      <c r="K3" s="1">
        <v>195</v>
      </c>
      <c r="L3" s="1">
        <v>205</v>
      </c>
      <c r="M3" s="1">
        <v>220</v>
      </c>
      <c r="N3" s="1">
        <f>+Z3</f>
        <v>221</v>
      </c>
      <c r="O3" s="1">
        <v>227</v>
      </c>
      <c r="X3" s="1">
        <v>150</v>
      </c>
      <c r="Y3" s="1">
        <f>+J3</f>
        <v>186</v>
      </c>
      <c r="Z3" s="1">
        <f>+Y3+35</f>
        <v>221</v>
      </c>
    </row>
    <row r="4" spans="2:236">
      <c r="B4" s="1" t="s">
        <v>36</v>
      </c>
      <c r="G4" s="1">
        <f>+G7/G3</f>
        <v>649.31012658227849</v>
      </c>
      <c r="H4" s="1">
        <f t="shared" ref="H4:O4" si="15">+H7/H3</f>
        <v>752.51807228915663</v>
      </c>
      <c r="I4" s="1">
        <f t="shared" si="15"/>
        <v>704.69318181818187</v>
      </c>
      <c r="J4" s="1">
        <f t="shared" si="15"/>
        <v>637.47311827956992</v>
      </c>
      <c r="K4" s="1">
        <f t="shared" si="15"/>
        <v>641.34358974358975</v>
      </c>
      <c r="L4" s="1">
        <f t="shared" si="15"/>
        <v>744.02439024390242</v>
      </c>
      <c r="M4" s="1">
        <f t="shared" si="15"/>
        <v>697.4</v>
      </c>
      <c r="N4" s="1">
        <f t="shared" si="15"/>
        <v>692.4253393665158</v>
      </c>
      <c r="O4" s="1">
        <f t="shared" si="15"/>
        <v>695.3744493392071</v>
      </c>
      <c r="X4" s="1">
        <f t="shared" ref="X4" si="16">+X7/X3</f>
        <v>2265.8266666666668</v>
      </c>
      <c r="Y4" s="1">
        <f t="shared" ref="Y4:Z4" si="17">+Y7/Y3</f>
        <v>2527.4462365591398</v>
      </c>
      <c r="Z4" s="1">
        <f t="shared" si="17"/>
        <v>2642.7194570135748</v>
      </c>
    </row>
    <row r="5" spans="2:236">
      <c r="AA5" s="86" t="s">
        <v>154</v>
      </c>
      <c r="AB5" s="86"/>
      <c r="AC5" s="86"/>
      <c r="AD5" s="86"/>
      <c r="AE5" s="86"/>
      <c r="AF5" s="86"/>
      <c r="AG5" s="86"/>
      <c r="AH5" s="86"/>
      <c r="AI5" s="86"/>
      <c r="AJ5" s="86"/>
    </row>
    <row r="6" spans="2:236" s="82" customFormat="1">
      <c r="B6" s="82" t="s">
        <v>92</v>
      </c>
      <c r="O6" s="82">
        <v>0.05</v>
      </c>
    </row>
    <row r="7" spans="2:236">
      <c r="B7" s="1" t="s">
        <v>14</v>
      </c>
      <c r="C7" s="1">
        <v>61392</v>
      </c>
      <c r="D7" s="1">
        <v>86212</v>
      </c>
      <c r="E7" s="1">
        <v>95844</v>
      </c>
      <c r="F7" s="1">
        <v>96426</v>
      </c>
      <c r="G7" s="1">
        <v>102591</v>
      </c>
      <c r="H7" s="1">
        <v>124918</v>
      </c>
      <c r="I7" s="1">
        <v>124026</v>
      </c>
      <c r="J7" s="1">
        <v>118570</v>
      </c>
      <c r="K7" s="1">
        <v>125062</v>
      </c>
      <c r="L7" s="1">
        <v>152525</v>
      </c>
      <c r="M7" s="1">
        <v>153428</v>
      </c>
      <c r="N7" s="1">
        <f>+Z7-SUM(K7:M7)</f>
        <v>153026</v>
      </c>
      <c r="O7" s="1">
        <v>157850</v>
      </c>
      <c r="W7" s="1">
        <v>220615</v>
      </c>
      <c r="X7" s="1">
        <f>SUM(C7:F7)</f>
        <v>339874</v>
      </c>
      <c r="Y7" s="1">
        <f>SUM(G7:J7)</f>
        <v>470105</v>
      </c>
      <c r="Z7" s="1">
        <v>584041</v>
      </c>
      <c r="AA7" s="1">
        <f>AVERAGE(660000,675000)</f>
        <v>667500</v>
      </c>
      <c r="AB7" s="6">
        <f>+AA7*1.14</f>
        <v>760949.99999999988</v>
      </c>
      <c r="AC7" s="6">
        <f t="shared" ref="AC7:AJ7" si="18">+AB7*1.14</f>
        <v>867482.99999999977</v>
      </c>
      <c r="AD7" s="6">
        <f t="shared" si="18"/>
        <v>988930.61999999965</v>
      </c>
      <c r="AE7" s="6">
        <f t="shared" si="18"/>
        <v>1127380.9067999995</v>
      </c>
      <c r="AF7" s="6">
        <f t="shared" si="18"/>
        <v>1285214.2337519994</v>
      </c>
      <c r="AG7" s="6">
        <f t="shared" si="18"/>
        <v>1465144.2264772793</v>
      </c>
      <c r="AH7" s="6">
        <f t="shared" si="18"/>
        <v>1670264.4181840983</v>
      </c>
      <c r="AI7" s="6">
        <f t="shared" si="18"/>
        <v>1904101.4367298719</v>
      </c>
      <c r="AJ7" s="6">
        <f t="shared" si="18"/>
        <v>2170675.6378720538</v>
      </c>
    </row>
    <row r="8" spans="2:236">
      <c r="B8" s="1" t="s">
        <v>15</v>
      </c>
      <c r="C8" s="1">
        <v>17268</v>
      </c>
      <c r="D8" s="1">
        <v>23156</v>
      </c>
      <c r="E8" s="1">
        <v>26701</v>
      </c>
      <c r="F8" s="1">
        <v>26574</v>
      </c>
      <c r="G8" s="1">
        <v>27106</v>
      </c>
      <c r="H8" s="1">
        <v>33897</v>
      </c>
      <c r="I8" s="1">
        <v>34474</v>
      </c>
      <c r="J8" s="1">
        <v>34659</v>
      </c>
      <c r="K8" s="1">
        <v>35587</v>
      </c>
      <c r="L8" s="1">
        <v>40992</v>
      </c>
      <c r="M8" s="1">
        <v>41754</v>
      </c>
      <c r="N8" s="1">
        <f t="shared" ref="N8:N20" si="19">+Z8-SUM(K8:M8)</f>
        <v>43392</v>
      </c>
      <c r="O8" s="1">
        <v>43718</v>
      </c>
      <c r="W8" s="1">
        <v>66154</v>
      </c>
      <c r="X8" s="1">
        <f t="shared" ref="X8:X23" si="20">SUM(C8:F8)</f>
        <v>93699</v>
      </c>
      <c r="Y8" s="1">
        <f t="shared" ref="Y8:AA23" si="21">SUM(G8:J8)</f>
        <v>130136</v>
      </c>
      <c r="Z8" s="1">
        <v>161725</v>
      </c>
      <c r="AA8" s="1">
        <f>+AA7*'cmg baseline model'!BE57</f>
        <v>196941.40968747978</v>
      </c>
      <c r="AB8" s="1">
        <f>+AB$7*(AA8/AA$7)</f>
        <v>224513.2070437269</v>
      </c>
      <c r="AC8" s="1">
        <f t="shared" ref="AC8:AJ8" si="22">+AC$7*(AB8/AB$7)</f>
        <v>255945.05602984864</v>
      </c>
      <c r="AD8" s="1">
        <f t="shared" si="22"/>
        <v>291777.36387402745</v>
      </c>
      <c r="AE8" s="1">
        <f t="shared" si="22"/>
        <v>332626.19481639122</v>
      </c>
      <c r="AF8" s="1">
        <f t="shared" si="22"/>
        <v>379193.86209068599</v>
      </c>
      <c r="AG8" s="1">
        <f t="shared" si="22"/>
        <v>432281.00278338202</v>
      </c>
      <c r="AH8" s="1">
        <f t="shared" si="22"/>
        <v>492800.3431730555</v>
      </c>
      <c r="AI8" s="1">
        <f t="shared" si="22"/>
        <v>561792.39121728321</v>
      </c>
      <c r="AJ8" s="1">
        <f t="shared" si="22"/>
        <v>640443.32598770282</v>
      </c>
    </row>
    <row r="9" spans="2:236">
      <c r="B9" s="1" t="s">
        <v>16</v>
      </c>
      <c r="C9" s="1">
        <v>22292</v>
      </c>
      <c r="D9" s="1">
        <v>26735</v>
      </c>
      <c r="E9" s="1">
        <v>30316</v>
      </c>
      <c r="F9" s="1">
        <v>31025</v>
      </c>
      <c r="G9" s="1">
        <v>34302</v>
      </c>
      <c r="H9" s="1">
        <v>37013</v>
      </c>
      <c r="I9" s="1">
        <v>38006</v>
      </c>
      <c r="J9" s="1">
        <v>38153</v>
      </c>
      <c r="K9" s="1">
        <v>39243</v>
      </c>
      <c r="L9" s="1">
        <v>43513</v>
      </c>
      <c r="M9" s="1">
        <v>43750</v>
      </c>
      <c r="N9" s="1">
        <f t="shared" si="19"/>
        <v>44800</v>
      </c>
      <c r="O9" s="1">
        <v>45766</v>
      </c>
      <c r="W9" s="1">
        <v>83691</v>
      </c>
      <c r="X9" s="1">
        <f t="shared" si="20"/>
        <v>110368</v>
      </c>
      <c r="Y9" s="1">
        <f t="shared" si="21"/>
        <v>147474</v>
      </c>
      <c r="Z9" s="1">
        <v>171306</v>
      </c>
      <c r="AA9" s="1">
        <f>+AA7*'cmg baseline model'!BE58</f>
        <v>165054.03352570577</v>
      </c>
      <c r="AB9" s="1">
        <f t="shared" ref="AB9:AJ14" si="23">+AB$7*(AA9/AA$7)</f>
        <v>188161.59821930455</v>
      </c>
      <c r="AC9" s="1">
        <f t="shared" si="23"/>
        <v>214504.22197000714</v>
      </c>
      <c r="AD9" s="1">
        <f t="shared" si="23"/>
        <v>244534.81304580814</v>
      </c>
      <c r="AE9" s="1">
        <f t="shared" si="23"/>
        <v>278769.68687222124</v>
      </c>
      <c r="AF9" s="1">
        <f t="shared" si="23"/>
        <v>317797.44303433219</v>
      </c>
      <c r="AG9" s="1">
        <f t="shared" si="23"/>
        <v>362289.08505913871</v>
      </c>
      <c r="AH9" s="1">
        <f t="shared" si="23"/>
        <v>413009.55696741812</v>
      </c>
      <c r="AI9" s="1">
        <f t="shared" si="23"/>
        <v>470830.89494285663</v>
      </c>
      <c r="AJ9" s="1">
        <f t="shared" si="23"/>
        <v>536747.22023485648</v>
      </c>
    </row>
    <row r="10" spans="2:236">
      <c r="B10" s="1" t="s">
        <v>17</v>
      </c>
      <c r="C10" s="1">
        <v>10049</v>
      </c>
      <c r="D10" s="1">
        <v>11817</v>
      </c>
      <c r="E10" s="1">
        <v>14053</v>
      </c>
      <c r="F10" s="1">
        <v>10129</v>
      </c>
      <c r="G10" s="1">
        <v>10517</v>
      </c>
      <c r="H10" s="1">
        <v>11150</v>
      </c>
      <c r="I10" s="1">
        <v>11504</v>
      </c>
      <c r="J10" s="1">
        <v>12067</v>
      </c>
      <c r="K10" s="1">
        <v>12630</v>
      </c>
      <c r="L10" s="1">
        <v>13526</v>
      </c>
      <c r="M10" s="1">
        <v>13961</v>
      </c>
      <c r="N10" s="1">
        <f t="shared" si="19"/>
        <v>14164</v>
      </c>
      <c r="O10" s="1">
        <v>14448</v>
      </c>
      <c r="W10" s="1">
        <v>32308</v>
      </c>
      <c r="X10" s="1">
        <f t="shared" si="20"/>
        <v>46048</v>
      </c>
      <c r="Y10" s="1">
        <f t="shared" si="21"/>
        <v>45238</v>
      </c>
      <c r="Z10" s="1">
        <v>54281</v>
      </c>
      <c r="AA10" s="1">
        <f>+AA7*'cmg baseline model'!BE59</f>
        <v>34029.645908196289</v>
      </c>
      <c r="AB10" s="1">
        <f t="shared" si="23"/>
        <v>38793.796335343766</v>
      </c>
      <c r="AC10" s="1">
        <f t="shared" si="23"/>
        <v>44224.927822291887</v>
      </c>
      <c r="AD10" s="1">
        <f t="shared" si="23"/>
        <v>50416.417717412747</v>
      </c>
      <c r="AE10" s="1">
        <f t="shared" si="23"/>
        <v>57474.716197850525</v>
      </c>
      <c r="AF10" s="1">
        <f t="shared" si="23"/>
        <v>65521.176465549601</v>
      </c>
      <c r="AG10" s="1">
        <f t="shared" si="23"/>
        <v>74694.141170726536</v>
      </c>
      <c r="AH10" s="1">
        <f t="shared" si="23"/>
        <v>85151.320934628238</v>
      </c>
      <c r="AI10" s="1">
        <f t="shared" si="23"/>
        <v>97072.505865476181</v>
      </c>
      <c r="AJ10" s="1">
        <f t="shared" si="23"/>
        <v>110662.65668664283</v>
      </c>
    </row>
    <row r="11" spans="2:236">
      <c r="B11" s="1" t="s">
        <v>18</v>
      </c>
      <c r="C11" s="1">
        <v>9681</v>
      </c>
      <c r="D11" s="1">
        <v>11669</v>
      </c>
      <c r="E11" s="1">
        <v>11640</v>
      </c>
      <c r="F11" s="1">
        <v>16353</v>
      </c>
      <c r="G11" s="1">
        <v>17275</v>
      </c>
      <c r="H11" s="1">
        <v>19715</v>
      </c>
      <c r="I11" s="1">
        <v>20113</v>
      </c>
      <c r="J11" s="1">
        <v>20868</v>
      </c>
      <c r="K11" s="1">
        <v>20665</v>
      </c>
      <c r="L11" s="1">
        <v>23405</v>
      </c>
      <c r="M11" s="1">
        <v>24850</v>
      </c>
      <c r="N11" s="1">
        <f t="shared" si="19"/>
        <v>25889</v>
      </c>
      <c r="O11" s="1">
        <v>25381</v>
      </c>
      <c r="W11" s="1">
        <v>47164</v>
      </c>
      <c r="X11" s="1">
        <f t="shared" si="20"/>
        <v>49343</v>
      </c>
      <c r="Y11" s="1">
        <f t="shared" si="21"/>
        <v>77971</v>
      </c>
      <c r="Z11" s="1">
        <v>94809</v>
      </c>
      <c r="AA11" s="1">
        <f>+AA7*'cmg baseline model'!BE60</f>
        <v>96608.846455136329</v>
      </c>
      <c r="AB11" s="1">
        <f t="shared" si="23"/>
        <v>110134.0849588554</v>
      </c>
      <c r="AC11" s="1">
        <f t="shared" si="23"/>
        <v>125552.85685309513</v>
      </c>
      <c r="AD11" s="1">
        <f t="shared" si="23"/>
        <v>143130.25681252845</v>
      </c>
      <c r="AE11" s="1">
        <f t="shared" si="23"/>
        <v>163168.4927662824</v>
      </c>
      <c r="AF11" s="1">
        <f t="shared" si="23"/>
        <v>186012.08175356194</v>
      </c>
      <c r="AG11" s="1">
        <f t="shared" si="23"/>
        <v>212053.77319906061</v>
      </c>
      <c r="AH11" s="1">
        <f t="shared" si="23"/>
        <v>241741.30144692908</v>
      </c>
      <c r="AI11" s="1">
        <f t="shared" si="23"/>
        <v>275585.08364949911</v>
      </c>
      <c r="AJ11" s="1">
        <f t="shared" si="23"/>
        <v>314166.99536042899</v>
      </c>
    </row>
    <row r="12" spans="2:236">
      <c r="B12" s="1" t="s">
        <v>19</v>
      </c>
      <c r="C12" s="1">
        <v>23380</v>
      </c>
      <c r="D12" s="1">
        <v>26081</v>
      </c>
      <c r="E12" s="1">
        <v>28944</v>
      </c>
      <c r="F12" s="1">
        <v>46645</v>
      </c>
      <c r="G12" s="1">
        <v>50199</v>
      </c>
      <c r="H12" s="1">
        <v>51798</v>
      </c>
      <c r="I12" s="1">
        <v>41903</v>
      </c>
      <c r="J12" s="1">
        <v>43467</v>
      </c>
      <c r="K12" s="1">
        <v>34907</v>
      </c>
      <c r="L12" s="1">
        <v>40350</v>
      </c>
      <c r="M12" s="1">
        <v>35963</v>
      </c>
      <c r="N12" s="1">
        <f t="shared" si="19"/>
        <v>35542</v>
      </c>
      <c r="O12" s="1">
        <v>36865</v>
      </c>
      <c r="W12" s="1">
        <v>99142</v>
      </c>
      <c r="X12" s="1">
        <f t="shared" si="20"/>
        <v>125050</v>
      </c>
      <c r="Y12" s="1">
        <f t="shared" si="21"/>
        <v>187367</v>
      </c>
      <c r="Z12" s="1">
        <v>146762</v>
      </c>
      <c r="AA12" s="1">
        <f>+AA7*'cmg baseline model'!BE61</f>
        <v>42841.608327038368</v>
      </c>
      <c r="AB12" s="1">
        <f t="shared" si="23"/>
        <v>48839.433492823737</v>
      </c>
      <c r="AC12" s="1">
        <f t="shared" si="23"/>
        <v>55676.954181819056</v>
      </c>
      <c r="AD12" s="1">
        <f t="shared" si="23"/>
        <v>63471.727767273711</v>
      </c>
      <c r="AE12" s="1">
        <f t="shared" si="23"/>
        <v>72357.769654692034</v>
      </c>
      <c r="AF12" s="1">
        <f t="shared" si="23"/>
        <v>82487.857406348907</v>
      </c>
      <c r="AG12" s="1">
        <f t="shared" si="23"/>
        <v>94036.157443237753</v>
      </c>
      <c r="AH12" s="1">
        <f t="shared" si="23"/>
        <v>107201.21948529103</v>
      </c>
      <c r="AI12" s="1">
        <f t="shared" si="23"/>
        <v>122209.39021323177</v>
      </c>
      <c r="AJ12" s="1">
        <f t="shared" si="23"/>
        <v>139318.70484308421</v>
      </c>
    </row>
    <row r="13" spans="2:236">
      <c r="B13" s="1" t="s">
        <v>20</v>
      </c>
      <c r="C13" s="1">
        <v>7847</v>
      </c>
      <c r="D13" s="1">
        <v>8408</v>
      </c>
      <c r="E13" s="1">
        <v>9303</v>
      </c>
      <c r="F13" s="1">
        <v>9991</v>
      </c>
      <c r="G13" s="1">
        <v>10677</v>
      </c>
      <c r="H13" s="1">
        <v>11305</v>
      </c>
      <c r="I13" s="1">
        <v>11887</v>
      </c>
      <c r="J13" s="1">
        <v>12602</v>
      </c>
      <c r="K13" s="1">
        <v>13110</v>
      </c>
      <c r="L13" s="1">
        <v>14518</v>
      </c>
      <c r="M13" s="1">
        <v>15682</v>
      </c>
      <c r="N13" s="1">
        <f t="shared" si="19"/>
        <v>16181</v>
      </c>
      <c r="O13" s="1">
        <v>16427</v>
      </c>
      <c r="W13" s="1">
        <v>26851</v>
      </c>
      <c r="X13" s="1">
        <f t="shared" si="20"/>
        <v>35549</v>
      </c>
      <c r="Y13" s="1">
        <f t="shared" si="21"/>
        <v>46471</v>
      </c>
      <c r="Z13" s="1">
        <v>59491</v>
      </c>
      <c r="AA13" s="1">
        <f>+AA7*'cmg baseline model'!BE62</f>
        <v>21596.745893213993</v>
      </c>
      <c r="AB13" s="1">
        <f t="shared" si="23"/>
        <v>24620.290318263946</v>
      </c>
      <c r="AC13" s="1">
        <f t="shared" si="23"/>
        <v>28067.130962820895</v>
      </c>
      <c r="AD13" s="1">
        <f t="shared" si="23"/>
        <v>31996.529297615816</v>
      </c>
      <c r="AE13" s="1">
        <f t="shared" si="23"/>
        <v>36476.043399282033</v>
      </c>
      <c r="AF13" s="1">
        <f t="shared" si="23"/>
        <v>41582.689475181513</v>
      </c>
      <c r="AG13" s="1">
        <f t="shared" si="23"/>
        <v>47404.266001706921</v>
      </c>
      <c r="AH13" s="1">
        <f t="shared" si="23"/>
        <v>54040.863241945888</v>
      </c>
      <c r="AI13" s="1">
        <f t="shared" si="23"/>
        <v>61606.584095818311</v>
      </c>
      <c r="AJ13" s="1">
        <f t="shared" si="23"/>
        <v>70231.50586923286</v>
      </c>
    </row>
    <row r="14" spans="2:236">
      <c r="B14" s="1" t="s">
        <v>21</v>
      </c>
      <c r="C14" s="1">
        <v>961</v>
      </c>
      <c r="D14" s="1">
        <v>2506</v>
      </c>
      <c r="E14" s="1">
        <v>2789</v>
      </c>
      <c r="F14" s="1">
        <v>2937</v>
      </c>
      <c r="G14" s="1">
        <v>2512</v>
      </c>
      <c r="H14" s="1">
        <v>2520</v>
      </c>
      <c r="I14" s="1">
        <v>3061</v>
      </c>
      <c r="J14" s="1">
        <v>3430</v>
      </c>
      <c r="K14" s="1">
        <v>3366</v>
      </c>
      <c r="L14" s="1">
        <v>2302</v>
      </c>
      <c r="M14" s="1">
        <v>2522</v>
      </c>
      <c r="N14" s="1">
        <f t="shared" si="19"/>
        <v>1073</v>
      </c>
      <c r="O14" s="1">
        <v>1432</v>
      </c>
      <c r="W14" s="1">
        <v>4551</v>
      </c>
      <c r="X14" s="1">
        <f t="shared" si="20"/>
        <v>9193</v>
      </c>
      <c r="Y14" s="1">
        <f t="shared" si="21"/>
        <v>11523</v>
      </c>
      <c r="Z14" s="1">
        <v>9263</v>
      </c>
      <c r="AA14" s="1">
        <f>+AA7*'cmg baseline model'!BE63</f>
        <v>2497.1960105145554</v>
      </c>
      <c r="AB14" s="1">
        <f t="shared" si="23"/>
        <v>2846.8034519865928</v>
      </c>
      <c r="AC14" s="1">
        <f t="shared" si="23"/>
        <v>3245.3559352647153</v>
      </c>
      <c r="AD14" s="1">
        <f t="shared" si="23"/>
        <v>3699.7057662017751</v>
      </c>
      <c r="AE14" s="1">
        <f t="shared" si="23"/>
        <v>4217.6645734700232</v>
      </c>
      <c r="AF14" s="1">
        <f t="shared" si="23"/>
        <v>4808.1376137558264</v>
      </c>
      <c r="AG14" s="1">
        <f t="shared" si="23"/>
        <v>5481.2768796816417</v>
      </c>
      <c r="AH14" s="1">
        <f t="shared" si="23"/>
        <v>6248.6556428370704</v>
      </c>
      <c r="AI14" s="1">
        <f t="shared" si="23"/>
        <v>7123.4674328342589</v>
      </c>
      <c r="AJ14" s="1">
        <f t="shared" si="23"/>
        <v>8120.7528734310545</v>
      </c>
    </row>
    <row r="15" spans="2:236">
      <c r="B15" s="1" t="s">
        <v>22</v>
      </c>
      <c r="C15" s="1">
        <f t="shared" ref="C15:O15" si="24">+C7-SUM(C8:C14)</f>
        <v>-30086</v>
      </c>
      <c r="D15" s="1">
        <f t="shared" si="24"/>
        <v>-24160</v>
      </c>
      <c r="E15" s="1">
        <f t="shared" si="24"/>
        <v>-27902</v>
      </c>
      <c r="F15" s="1">
        <f t="shared" si="24"/>
        <v>-47228</v>
      </c>
      <c r="G15" s="1">
        <f t="shared" si="24"/>
        <v>-49997</v>
      </c>
      <c r="H15" s="1">
        <f t="shared" si="24"/>
        <v>-42480</v>
      </c>
      <c r="I15" s="1">
        <f t="shared" si="24"/>
        <v>-36922</v>
      </c>
      <c r="J15" s="1">
        <f t="shared" si="24"/>
        <v>-46676</v>
      </c>
      <c r="K15" s="1">
        <f t="shared" si="24"/>
        <v>-34446</v>
      </c>
      <c r="L15" s="1">
        <f t="shared" si="24"/>
        <v>-26081</v>
      </c>
      <c r="M15" s="1">
        <f t="shared" si="24"/>
        <v>-25054</v>
      </c>
      <c r="N15" s="1">
        <f t="shared" si="24"/>
        <v>-28015</v>
      </c>
      <c r="O15" s="1">
        <f t="shared" si="24"/>
        <v>-26187</v>
      </c>
      <c r="W15" s="1">
        <f>+W7-SUM(W8:W14)</f>
        <v>-139246</v>
      </c>
      <c r="X15" s="1">
        <f t="shared" si="20"/>
        <v>-129376</v>
      </c>
      <c r="Y15" s="1">
        <f t="shared" si="21"/>
        <v>-176075</v>
      </c>
      <c r="Z15" s="1">
        <f t="shared" si="21"/>
        <v>-160524</v>
      </c>
      <c r="AA15" s="1">
        <f>+AA7-SUM(AA8:AA14)</f>
        <v>107930.51419271494</v>
      </c>
      <c r="AB15" s="1">
        <f t="shared" ref="AB15:AJ15" si="25">+AB7-SUM(AB8:AB14)</f>
        <v>123040.78617969493</v>
      </c>
      <c r="AC15" s="1">
        <f t="shared" si="25"/>
        <v>140266.4962448522</v>
      </c>
      <c r="AD15" s="1">
        <f t="shared" si="25"/>
        <v>159903.8057191316</v>
      </c>
      <c r="AE15" s="1">
        <f t="shared" si="25"/>
        <v>182290.33851981</v>
      </c>
      <c r="AF15" s="1">
        <f t="shared" si="25"/>
        <v>207810.9859125833</v>
      </c>
      <c r="AG15" s="1">
        <f t="shared" si="25"/>
        <v>236904.52394034504</v>
      </c>
      <c r="AH15" s="1">
        <f t="shared" si="25"/>
        <v>270071.1572919935</v>
      </c>
      <c r="AI15" s="1">
        <f t="shared" si="25"/>
        <v>307881.11931287264</v>
      </c>
      <c r="AJ15" s="1">
        <f t="shared" si="25"/>
        <v>350984.47601667489</v>
      </c>
    </row>
    <row r="16" spans="2:236">
      <c r="B16" s="1" t="s">
        <v>23</v>
      </c>
      <c r="C16" s="1">
        <v>-112</v>
      </c>
      <c r="D16" s="1">
        <v>-109</v>
      </c>
      <c r="E16" s="1">
        <v>-78</v>
      </c>
      <c r="F16" s="1">
        <v>-151</v>
      </c>
      <c r="G16" s="1">
        <v>-168</v>
      </c>
      <c r="H16" s="1">
        <v>-593</v>
      </c>
      <c r="I16" s="1">
        <v>-1644</v>
      </c>
      <c r="J16" s="1">
        <v>-2738</v>
      </c>
      <c r="K16" s="1">
        <v>-3062</v>
      </c>
      <c r="L16" s="1">
        <v>-3251</v>
      </c>
      <c r="M16" s="1">
        <v>-3381</v>
      </c>
      <c r="N16" s="1">
        <f t="shared" si="19"/>
        <v>-3248</v>
      </c>
      <c r="O16" s="1">
        <v>-3016</v>
      </c>
      <c r="W16" s="1">
        <v>-1018</v>
      </c>
      <c r="X16" s="1">
        <f t="shared" si="20"/>
        <v>-450</v>
      </c>
      <c r="Y16" s="1">
        <f t="shared" si="21"/>
        <v>-5143</v>
      </c>
      <c r="Z16" s="1">
        <v>-12942</v>
      </c>
      <c r="AA16" s="1">
        <f>+AA15*(Z16/Z15)</f>
        <v>8701.7312967663202</v>
      </c>
      <c r="AB16" s="1">
        <f t="shared" ref="AB16:AJ16" si="26">+AB15*(AA16/AA15)</f>
        <v>9919.9736783135959</v>
      </c>
      <c r="AC16" s="1">
        <f t="shared" si="26"/>
        <v>11308.769993277498</v>
      </c>
      <c r="AD16" s="1">
        <f t="shared" si="26"/>
        <v>12891.997792336355</v>
      </c>
      <c r="AE16" s="1">
        <f t="shared" si="26"/>
        <v>14696.877483263443</v>
      </c>
      <c r="AF16" s="1">
        <f t="shared" si="26"/>
        <v>16754.440330920319</v>
      </c>
      <c r="AG16" s="1">
        <f t="shared" si="26"/>
        <v>19100.06197724917</v>
      </c>
      <c r="AH16" s="1">
        <f t="shared" si="26"/>
        <v>21774.070654064068</v>
      </c>
      <c r="AI16" s="1">
        <f t="shared" si="26"/>
        <v>24822.440545633042</v>
      </c>
      <c r="AJ16" s="1">
        <f t="shared" si="26"/>
        <v>28297.582222021672</v>
      </c>
    </row>
    <row r="17" spans="2:236">
      <c r="B17" s="1" t="s">
        <v>24</v>
      </c>
      <c r="C17" s="1">
        <v>20</v>
      </c>
      <c r="D17" s="1">
        <v>23</v>
      </c>
      <c r="E17" s="1">
        <v>23</v>
      </c>
      <c r="F17" s="1">
        <v>22</v>
      </c>
      <c r="G17" s="1">
        <v>23</v>
      </c>
      <c r="H17" s="1">
        <v>22</v>
      </c>
      <c r="I17" s="1">
        <v>23</v>
      </c>
      <c r="J17" s="1">
        <v>15</v>
      </c>
      <c r="K17" s="1">
        <v>21</v>
      </c>
      <c r="L17" s="1">
        <v>18</v>
      </c>
      <c r="M17" s="1">
        <v>19</v>
      </c>
      <c r="N17" s="1">
        <f t="shared" si="19"/>
        <v>70</v>
      </c>
      <c r="O17" s="1">
        <v>19</v>
      </c>
      <c r="W17" s="1">
        <v>404</v>
      </c>
      <c r="X17" s="1">
        <f t="shared" si="20"/>
        <v>88</v>
      </c>
      <c r="Y17" s="1">
        <f t="shared" si="21"/>
        <v>83</v>
      </c>
      <c r="Z17" s="1">
        <v>128</v>
      </c>
      <c r="AA17" s="1">
        <f>+AA15*(Z17/Z15)</f>
        <v>-86.062556481694401</v>
      </c>
      <c r="AB17" s="1">
        <f t="shared" ref="AB17:AJ17" si="27">+AB15*(AA17/AA15)</f>
        <v>-98.111314389131536</v>
      </c>
      <c r="AC17" s="1">
        <f t="shared" si="27"/>
        <v>-111.84689840360994</v>
      </c>
      <c r="AD17" s="1">
        <f t="shared" si="27"/>
        <v>-127.50546418011541</v>
      </c>
      <c r="AE17" s="1">
        <f t="shared" si="27"/>
        <v>-145.35622916533154</v>
      </c>
      <c r="AF17" s="1">
        <f t="shared" si="27"/>
        <v>-165.70610124847789</v>
      </c>
      <c r="AG17" s="1">
        <f t="shared" si="27"/>
        <v>-188.90495542326488</v>
      </c>
      <c r="AH17" s="1">
        <f t="shared" si="27"/>
        <v>-215.35164918252207</v>
      </c>
      <c r="AI17" s="1">
        <f t="shared" si="27"/>
        <v>-245.50088006807522</v>
      </c>
      <c r="AJ17" s="1">
        <f t="shared" si="27"/>
        <v>-279.87100327760578</v>
      </c>
    </row>
    <row r="18" spans="2:236">
      <c r="B18" s="1" t="s">
        <v>18</v>
      </c>
      <c r="C18" s="1">
        <v>0</v>
      </c>
      <c r="D18" s="1">
        <v>2804</v>
      </c>
      <c r="E18" s="1">
        <v>-2196</v>
      </c>
      <c r="F18" s="1">
        <v>18384</v>
      </c>
      <c r="G18" s="1">
        <v>-245</v>
      </c>
      <c r="H18" s="1">
        <v>-1618</v>
      </c>
      <c r="I18" s="1">
        <v>-303</v>
      </c>
      <c r="J18" s="1">
        <v>2985</v>
      </c>
      <c r="K18" s="1">
        <v>1058</v>
      </c>
      <c r="L18" s="1">
        <v>-1073</v>
      </c>
      <c r="M18" s="1">
        <v>1612</v>
      </c>
      <c r="N18" s="1">
        <f t="shared" si="19"/>
        <v>1878</v>
      </c>
      <c r="O18" s="1">
        <v>2059</v>
      </c>
      <c r="W18" s="1">
        <v>245</v>
      </c>
      <c r="X18" s="1">
        <f t="shared" si="20"/>
        <v>18992</v>
      </c>
      <c r="Y18" s="1">
        <f t="shared" si="21"/>
        <v>819</v>
      </c>
      <c r="Z18" s="1">
        <v>3475</v>
      </c>
      <c r="AA18" s="1">
        <f>+AA15*(Z18/Z15)</f>
        <v>-2336.4639357335004</v>
      </c>
      <c r="AB18" s="1">
        <f t="shared" ref="AB18:AJ18" si="28">+AB15*(AA18/AA15)</f>
        <v>-2663.5688867361882</v>
      </c>
      <c r="AC18" s="1">
        <f t="shared" si="28"/>
        <v>-3036.4685308792541</v>
      </c>
      <c r="AD18" s="1">
        <f t="shared" si="28"/>
        <v>-3461.5741252023518</v>
      </c>
      <c r="AE18" s="1">
        <f t="shared" si="28"/>
        <v>-3946.1945027306806</v>
      </c>
      <c r="AF18" s="1">
        <f t="shared" si="28"/>
        <v>-4498.6617331129737</v>
      </c>
      <c r="AG18" s="1">
        <f t="shared" si="28"/>
        <v>-5128.4743757487913</v>
      </c>
      <c r="AH18" s="1">
        <f t="shared" si="28"/>
        <v>-5846.4607883536255</v>
      </c>
      <c r="AI18" s="1">
        <f t="shared" si="28"/>
        <v>-6664.9652987231348</v>
      </c>
      <c r="AJ18" s="1">
        <f t="shared" si="28"/>
        <v>-7598.0604405443746</v>
      </c>
    </row>
    <row r="19" spans="2:236">
      <c r="B19" s="1" t="s">
        <v>25</v>
      </c>
      <c r="C19" s="1">
        <f t="shared" ref="C19:O19" si="29">+C15-SUM(C16:C18)</f>
        <v>-29994</v>
      </c>
      <c r="D19" s="1">
        <f t="shared" si="29"/>
        <v>-26878</v>
      </c>
      <c r="E19" s="1">
        <f t="shared" si="29"/>
        <v>-25651</v>
      </c>
      <c r="F19" s="1">
        <f t="shared" si="29"/>
        <v>-65483</v>
      </c>
      <c r="G19" s="1">
        <f t="shared" si="29"/>
        <v>-49607</v>
      </c>
      <c r="H19" s="1">
        <f t="shared" si="29"/>
        <v>-40291</v>
      </c>
      <c r="I19" s="1">
        <f t="shared" si="29"/>
        <v>-34998</v>
      </c>
      <c r="J19" s="1">
        <f t="shared" si="29"/>
        <v>-46938</v>
      </c>
      <c r="K19" s="1">
        <f t="shared" si="29"/>
        <v>-32463</v>
      </c>
      <c r="L19" s="1">
        <f t="shared" si="29"/>
        <v>-21775</v>
      </c>
      <c r="M19" s="1">
        <f t="shared" si="29"/>
        <v>-23304</v>
      </c>
      <c r="N19" s="1">
        <f t="shared" si="29"/>
        <v>-26715</v>
      </c>
      <c r="O19" s="1">
        <f t="shared" si="29"/>
        <v>-25249</v>
      </c>
      <c r="W19" s="1">
        <f>+W15-SUM(W16:W18)</f>
        <v>-138877</v>
      </c>
      <c r="X19" s="1">
        <f t="shared" si="20"/>
        <v>-148006</v>
      </c>
      <c r="Y19" s="1">
        <f t="shared" si="21"/>
        <v>-171834</v>
      </c>
      <c r="Z19" s="1">
        <f t="shared" si="21"/>
        <v>-154690</v>
      </c>
      <c r="AA19" s="1">
        <f>+AA15-SUM(AA16:AA18)</f>
        <v>101651.30938816382</v>
      </c>
      <c r="AB19" s="1">
        <f t="shared" ref="AB19:AJ19" si="30">+AB15-SUM(AB16:AB18)</f>
        <v>115882.49270250666</v>
      </c>
      <c r="AC19" s="1">
        <f t="shared" si="30"/>
        <v>132106.04168085757</v>
      </c>
      <c r="AD19" s="1">
        <f t="shared" si="30"/>
        <v>150600.88751617773</v>
      </c>
      <c r="AE19" s="1">
        <f t="shared" si="30"/>
        <v>171685.01176844258</v>
      </c>
      <c r="AF19" s="1">
        <f t="shared" si="30"/>
        <v>195720.91341602444</v>
      </c>
      <c r="AG19" s="1">
        <f t="shared" si="30"/>
        <v>223121.84129426791</v>
      </c>
      <c r="AH19" s="1">
        <f t="shared" si="30"/>
        <v>254358.89907546557</v>
      </c>
      <c r="AI19" s="1">
        <f t="shared" si="30"/>
        <v>289969.14494603081</v>
      </c>
      <c r="AJ19" s="1">
        <f t="shared" si="30"/>
        <v>330564.82523847523</v>
      </c>
    </row>
    <row r="20" spans="2:236">
      <c r="B20" s="1" t="s">
        <v>26</v>
      </c>
      <c r="C20" s="1">
        <v>0</v>
      </c>
      <c r="D20" s="1">
        <v>0</v>
      </c>
      <c r="E20" s="1">
        <v>0</v>
      </c>
      <c r="F20" s="1">
        <v>147</v>
      </c>
      <c r="G20" s="1">
        <v>20</v>
      </c>
      <c r="H20" s="1">
        <v>20</v>
      </c>
      <c r="I20" s="1">
        <v>20</v>
      </c>
      <c r="J20" s="1">
        <v>1285</v>
      </c>
      <c r="K20" s="1">
        <v>318</v>
      </c>
      <c r="L20" s="1">
        <v>318</v>
      </c>
      <c r="M20" s="1">
        <v>318</v>
      </c>
      <c r="N20" s="1">
        <f t="shared" si="19"/>
        <v>-575</v>
      </c>
      <c r="O20" s="1">
        <v>90</v>
      </c>
      <c r="W20" s="1">
        <v>0</v>
      </c>
      <c r="X20" s="1">
        <f t="shared" si="20"/>
        <v>147</v>
      </c>
      <c r="Y20" s="1">
        <f t="shared" si="21"/>
        <v>1345</v>
      </c>
      <c r="Z20" s="1">
        <v>379</v>
      </c>
      <c r="AA20" s="1">
        <f>+AA19*(Z20/Z19)</f>
        <v>-249.05195072799847</v>
      </c>
      <c r="AB20" s="1">
        <f t="shared" ref="AB20:AJ20" si="31">+AB19*(AA20/AA19)</f>
        <v>-283.91922382991805</v>
      </c>
      <c r="AC20" s="1">
        <f t="shared" si="31"/>
        <v>-323.66791516610652</v>
      </c>
      <c r="AD20" s="1">
        <f t="shared" si="31"/>
        <v>-368.98142328936166</v>
      </c>
      <c r="AE20" s="1">
        <f t="shared" si="31"/>
        <v>-420.6388225498722</v>
      </c>
      <c r="AF20" s="1">
        <f t="shared" si="31"/>
        <v>-479.52825770685411</v>
      </c>
      <c r="AG20" s="1">
        <f t="shared" si="31"/>
        <v>-546.66221378581383</v>
      </c>
      <c r="AH20" s="1">
        <f t="shared" si="31"/>
        <v>-623.19492371582805</v>
      </c>
      <c r="AI20" s="1">
        <f t="shared" si="31"/>
        <v>-710.44221303604411</v>
      </c>
      <c r="AJ20" s="1">
        <f t="shared" si="31"/>
        <v>-809.90412286109063</v>
      </c>
    </row>
    <row r="21" spans="2:236">
      <c r="B21" s="1" t="s">
        <v>27</v>
      </c>
      <c r="C21" s="1">
        <f t="shared" ref="C21:O21" si="32">+C19-C20</f>
        <v>-29994</v>
      </c>
      <c r="D21" s="1">
        <f t="shared" si="32"/>
        <v>-26878</v>
      </c>
      <c r="E21" s="1">
        <f t="shared" si="32"/>
        <v>-25651</v>
      </c>
      <c r="F21" s="1">
        <f t="shared" si="32"/>
        <v>-65630</v>
      </c>
      <c r="G21" s="1">
        <f t="shared" si="32"/>
        <v>-49627</v>
      </c>
      <c r="H21" s="1">
        <f t="shared" si="32"/>
        <v>-40311</v>
      </c>
      <c r="I21" s="1">
        <f t="shared" si="32"/>
        <v>-35018</v>
      </c>
      <c r="J21" s="1">
        <f t="shared" si="32"/>
        <v>-48223</v>
      </c>
      <c r="K21" s="1">
        <f t="shared" si="32"/>
        <v>-32781</v>
      </c>
      <c r="L21" s="1">
        <f t="shared" si="32"/>
        <v>-22093</v>
      </c>
      <c r="M21" s="1">
        <f t="shared" si="32"/>
        <v>-23622</v>
      </c>
      <c r="N21" s="1">
        <f t="shared" si="32"/>
        <v>-26140</v>
      </c>
      <c r="O21" s="1">
        <f t="shared" si="32"/>
        <v>-25339</v>
      </c>
      <c r="W21" s="1">
        <f>+W19-W20</f>
        <v>-138877</v>
      </c>
      <c r="X21" s="1">
        <f t="shared" si="20"/>
        <v>-148153</v>
      </c>
      <c r="Y21" s="1">
        <f t="shared" si="21"/>
        <v>-173179</v>
      </c>
      <c r="Z21" s="1">
        <f t="shared" si="21"/>
        <v>-156333</v>
      </c>
      <c r="AA21" s="1">
        <f>+AA19-AA20</f>
        <v>101900.36133889182</v>
      </c>
      <c r="AB21" s="1">
        <f t="shared" ref="AB21:AJ21" si="33">+AB19-AB20</f>
        <v>116166.41192633657</v>
      </c>
      <c r="AC21" s="1">
        <f t="shared" si="33"/>
        <v>132429.70959602366</v>
      </c>
      <c r="AD21" s="1">
        <f t="shared" si="33"/>
        <v>150969.86893946709</v>
      </c>
      <c r="AE21" s="1">
        <f t="shared" si="33"/>
        <v>172105.65059099245</v>
      </c>
      <c r="AF21" s="1">
        <f t="shared" si="33"/>
        <v>196200.44167373129</v>
      </c>
      <c r="AG21" s="1">
        <f t="shared" si="33"/>
        <v>223668.50350805372</v>
      </c>
      <c r="AH21" s="1">
        <f t="shared" si="33"/>
        <v>254982.09399918141</v>
      </c>
      <c r="AI21" s="1">
        <f t="shared" si="33"/>
        <v>290679.58715906687</v>
      </c>
      <c r="AJ21" s="1">
        <f t="shared" si="33"/>
        <v>331374.72936133633</v>
      </c>
      <c r="AK21" s="1">
        <f>+AJ21*(1+$AN$25)</f>
        <v>334688.47665494971</v>
      </c>
      <c r="AL21" s="1">
        <f t="shared" ref="AL21:CW21" si="34">+AK21*(1+$AN$25)</f>
        <v>338035.36142149923</v>
      </c>
      <c r="AM21" s="1">
        <f t="shared" si="34"/>
        <v>341415.71503571421</v>
      </c>
      <c r="AN21" s="1">
        <f t="shared" si="34"/>
        <v>344829.87218607136</v>
      </c>
      <c r="AO21" s="1">
        <f t="shared" si="34"/>
        <v>348278.1709079321</v>
      </c>
      <c r="AP21" s="1">
        <f t="shared" si="34"/>
        <v>351760.95261701144</v>
      </c>
      <c r="AQ21" s="1">
        <f t="shared" si="34"/>
        <v>355278.56214318157</v>
      </c>
      <c r="AR21" s="1">
        <f t="shared" si="34"/>
        <v>358831.3477646134</v>
      </c>
      <c r="AS21" s="1">
        <f t="shared" si="34"/>
        <v>362419.66124225955</v>
      </c>
      <c r="AT21" s="1">
        <f t="shared" si="34"/>
        <v>366043.85785468214</v>
      </c>
      <c r="AU21" s="1">
        <f t="shared" si="34"/>
        <v>369704.29643322894</v>
      </c>
      <c r="AV21" s="1">
        <f t="shared" si="34"/>
        <v>373401.33939756121</v>
      </c>
      <c r="AW21" s="1">
        <f t="shared" si="34"/>
        <v>377135.35279153683</v>
      </c>
      <c r="AX21" s="1">
        <f t="shared" si="34"/>
        <v>380906.70631945221</v>
      </c>
      <c r="AY21" s="1">
        <f t="shared" si="34"/>
        <v>384715.77338264673</v>
      </c>
      <c r="AZ21" s="1">
        <f t="shared" si="34"/>
        <v>388562.93111647322</v>
      </c>
      <c r="BA21" s="1">
        <f t="shared" si="34"/>
        <v>392448.56042763795</v>
      </c>
      <c r="BB21" s="1">
        <f t="shared" si="34"/>
        <v>396373.0460319143</v>
      </c>
      <c r="BC21" s="1">
        <f t="shared" si="34"/>
        <v>400336.77649223345</v>
      </c>
      <c r="BD21" s="1">
        <f t="shared" si="34"/>
        <v>404340.14425715577</v>
      </c>
      <c r="BE21" s="1">
        <f t="shared" si="34"/>
        <v>408383.54569972731</v>
      </c>
      <c r="BF21" s="1">
        <f t="shared" si="34"/>
        <v>412467.38115672459</v>
      </c>
      <c r="BG21" s="1">
        <f t="shared" si="34"/>
        <v>416592.05496829184</v>
      </c>
      <c r="BH21" s="1">
        <f t="shared" si="34"/>
        <v>420757.97551797476</v>
      </c>
      <c r="BI21" s="1">
        <f t="shared" si="34"/>
        <v>424965.55527315452</v>
      </c>
      <c r="BJ21" s="1">
        <f t="shared" si="34"/>
        <v>429215.21082588605</v>
      </c>
      <c r="BK21" s="1">
        <f t="shared" si="34"/>
        <v>433507.36293414491</v>
      </c>
      <c r="BL21" s="1">
        <f t="shared" si="34"/>
        <v>437842.43656348635</v>
      </c>
      <c r="BM21" s="1">
        <f t="shared" si="34"/>
        <v>442220.86092912121</v>
      </c>
      <c r="BN21" s="1">
        <f t="shared" si="34"/>
        <v>446643.06953841244</v>
      </c>
      <c r="BO21" s="1">
        <f t="shared" si="34"/>
        <v>451109.50023379654</v>
      </c>
      <c r="BP21" s="1">
        <f t="shared" si="34"/>
        <v>455620.59523613448</v>
      </c>
      <c r="BQ21" s="1">
        <f t="shared" si="34"/>
        <v>460176.80118849583</v>
      </c>
      <c r="BR21" s="1">
        <f t="shared" si="34"/>
        <v>464778.56920038076</v>
      </c>
      <c r="BS21" s="1">
        <f t="shared" si="34"/>
        <v>469426.35489238455</v>
      </c>
      <c r="BT21" s="1">
        <f t="shared" si="34"/>
        <v>474120.61844130838</v>
      </c>
      <c r="BU21" s="1">
        <f t="shared" si="34"/>
        <v>478861.82462572149</v>
      </c>
      <c r="BV21" s="1">
        <f t="shared" si="34"/>
        <v>483650.44287197874</v>
      </c>
      <c r="BW21" s="1">
        <f t="shared" si="34"/>
        <v>488486.94730069855</v>
      </c>
      <c r="BX21" s="1">
        <f t="shared" si="34"/>
        <v>493371.81677370553</v>
      </c>
      <c r="BY21" s="1">
        <f t="shared" si="34"/>
        <v>498305.5349414426</v>
      </c>
      <c r="BZ21" s="1">
        <f t="shared" si="34"/>
        <v>503288.59029085701</v>
      </c>
      <c r="CA21" s="1">
        <f t="shared" si="34"/>
        <v>508321.47619376559</v>
      </c>
      <c r="CB21" s="1">
        <f t="shared" si="34"/>
        <v>513404.69095570326</v>
      </c>
      <c r="CC21" s="1">
        <f t="shared" si="34"/>
        <v>518538.73786526028</v>
      </c>
      <c r="CD21" s="1">
        <f t="shared" si="34"/>
        <v>523724.12524391286</v>
      </c>
      <c r="CE21" s="1">
        <f t="shared" si="34"/>
        <v>528961.36649635201</v>
      </c>
      <c r="CF21" s="1">
        <f t="shared" si="34"/>
        <v>534250.98016131553</v>
      </c>
      <c r="CG21" s="1">
        <f t="shared" si="34"/>
        <v>539593.4899629287</v>
      </c>
      <c r="CH21" s="1">
        <f t="shared" si="34"/>
        <v>544989.42486255802</v>
      </c>
      <c r="CI21" s="1">
        <f t="shared" si="34"/>
        <v>550439.31911118363</v>
      </c>
      <c r="CJ21" s="1">
        <f t="shared" si="34"/>
        <v>555943.71230229549</v>
      </c>
      <c r="CK21" s="1">
        <f t="shared" si="34"/>
        <v>561503.14942531846</v>
      </c>
      <c r="CL21" s="1">
        <f t="shared" si="34"/>
        <v>567118.18091957166</v>
      </c>
      <c r="CM21" s="1">
        <f t="shared" si="34"/>
        <v>572789.36272876733</v>
      </c>
      <c r="CN21" s="1">
        <f t="shared" si="34"/>
        <v>578517.25635605503</v>
      </c>
      <c r="CO21" s="1">
        <f t="shared" si="34"/>
        <v>584302.42891961557</v>
      </c>
      <c r="CP21" s="1">
        <f t="shared" si="34"/>
        <v>590145.4532088117</v>
      </c>
      <c r="CQ21" s="1">
        <f t="shared" si="34"/>
        <v>596046.90774089983</v>
      </c>
      <c r="CR21" s="1">
        <f t="shared" si="34"/>
        <v>602007.37681830884</v>
      </c>
      <c r="CS21" s="1">
        <f t="shared" si="34"/>
        <v>608027.45058649196</v>
      </c>
      <c r="CT21" s="1">
        <f t="shared" si="34"/>
        <v>614107.72509235691</v>
      </c>
      <c r="CU21" s="1">
        <f t="shared" si="34"/>
        <v>620248.80234328052</v>
      </c>
      <c r="CV21" s="1">
        <f t="shared" si="34"/>
        <v>626451.29036671331</v>
      </c>
      <c r="CW21" s="1">
        <f t="shared" si="34"/>
        <v>632715.80327038048</v>
      </c>
      <c r="CX21" s="1">
        <f t="shared" ref="CX21:CY21" si="35">+CW21*(1+$AN$25)</f>
        <v>639042.96130308427</v>
      </c>
      <c r="CY21" s="1">
        <f t="shared" si="35"/>
        <v>645433.39091611514</v>
      </c>
      <c r="CZ21" s="1">
        <f t="shared" ref="CZ21:DW21" si="36">+CY21*(1+$AN$25)</f>
        <v>651887.72482527629</v>
      </c>
      <c r="DA21" s="1">
        <f t="shared" si="36"/>
        <v>658406.60207352904</v>
      </c>
      <c r="DB21" s="1">
        <f t="shared" si="36"/>
        <v>664990.66809426434</v>
      </c>
      <c r="DC21" s="1">
        <f t="shared" si="36"/>
        <v>671640.57477520697</v>
      </c>
      <c r="DD21" s="1">
        <f t="shared" si="36"/>
        <v>678356.98052295903</v>
      </c>
      <c r="DE21" s="1">
        <f t="shared" si="36"/>
        <v>685140.55032818858</v>
      </c>
      <c r="DF21" s="1">
        <f t="shared" si="36"/>
        <v>691991.95583147043</v>
      </c>
      <c r="DG21" s="1">
        <f t="shared" si="36"/>
        <v>698911.87538978516</v>
      </c>
      <c r="DH21" s="1">
        <f t="shared" si="36"/>
        <v>705900.994143683</v>
      </c>
      <c r="DI21" s="1">
        <f t="shared" si="36"/>
        <v>712960.00408511981</v>
      </c>
      <c r="DJ21" s="1">
        <f t="shared" si="36"/>
        <v>720089.60412597097</v>
      </c>
      <c r="DK21" s="1">
        <f t="shared" si="36"/>
        <v>727290.50016723073</v>
      </c>
      <c r="DL21" s="1">
        <f t="shared" si="36"/>
        <v>734563.40516890306</v>
      </c>
      <c r="DM21" s="1">
        <f t="shared" si="36"/>
        <v>741909.03922059212</v>
      </c>
      <c r="DN21" s="1">
        <f t="shared" si="36"/>
        <v>749328.1296127981</v>
      </c>
      <c r="DO21" s="1">
        <f t="shared" si="36"/>
        <v>756821.41090892605</v>
      </c>
      <c r="DP21" s="1">
        <f t="shared" si="36"/>
        <v>764389.62501801527</v>
      </c>
      <c r="DQ21" s="1">
        <f t="shared" si="36"/>
        <v>772033.52126819547</v>
      </c>
      <c r="DR21" s="1">
        <f t="shared" si="36"/>
        <v>779753.85648087738</v>
      </c>
      <c r="DS21" s="1">
        <f t="shared" si="36"/>
        <v>787551.39504568616</v>
      </c>
      <c r="DT21" s="1">
        <f t="shared" si="36"/>
        <v>795426.90899614303</v>
      </c>
      <c r="DU21" s="1">
        <f t="shared" si="36"/>
        <v>803381.17808610445</v>
      </c>
      <c r="DV21" s="1">
        <f t="shared" si="36"/>
        <v>811414.98986696545</v>
      </c>
      <c r="DW21" s="1">
        <f t="shared" ref="DW21:EV21" si="37">+DV21*(1+$AN$25)</f>
        <v>819529.13976563513</v>
      </c>
      <c r="DX21" s="1">
        <f t="shared" si="37"/>
        <v>827724.43116329145</v>
      </c>
      <c r="DY21" s="1">
        <f t="shared" si="37"/>
        <v>836001.67547492438</v>
      </c>
      <c r="DZ21" s="1">
        <f t="shared" si="37"/>
        <v>844361.69222967362</v>
      </c>
      <c r="EA21" s="1">
        <f t="shared" si="37"/>
        <v>852805.30915197032</v>
      </c>
      <c r="EB21" s="1">
        <f t="shared" si="37"/>
        <v>861333.36224349006</v>
      </c>
      <c r="EC21" s="1">
        <f t="shared" si="37"/>
        <v>869946.69586592494</v>
      </c>
      <c r="ED21" s="1">
        <f t="shared" si="37"/>
        <v>878646.16282458417</v>
      </c>
      <c r="EE21" s="1">
        <f t="shared" si="37"/>
        <v>887432.62445283006</v>
      </c>
      <c r="EF21" s="1">
        <f t="shared" si="37"/>
        <v>896306.95069735835</v>
      </c>
      <c r="EG21" s="1">
        <f t="shared" si="37"/>
        <v>905270.02020433196</v>
      </c>
      <c r="EH21" s="1">
        <f t="shared" si="37"/>
        <v>914322.72040637524</v>
      </c>
      <c r="EI21" s="1">
        <f t="shared" si="37"/>
        <v>923465.94761043903</v>
      </c>
      <c r="EJ21" s="1">
        <f t="shared" si="37"/>
        <v>932700.60708654346</v>
      </c>
      <c r="EK21" s="1">
        <f t="shared" si="37"/>
        <v>942027.61315740889</v>
      </c>
      <c r="EL21" s="1">
        <f t="shared" si="37"/>
        <v>951447.88928898296</v>
      </c>
      <c r="EM21" s="1">
        <f t="shared" si="37"/>
        <v>960962.36818187276</v>
      </c>
      <c r="EN21" s="1">
        <f t="shared" si="37"/>
        <v>970571.99186369148</v>
      </c>
      <c r="EO21" s="1">
        <f t="shared" si="37"/>
        <v>980277.71178232844</v>
      </c>
      <c r="EP21" s="1">
        <f t="shared" si="37"/>
        <v>990080.48890015169</v>
      </c>
      <c r="EQ21" s="1">
        <f t="shared" si="37"/>
        <v>999981.29378915322</v>
      </c>
      <c r="ER21" s="1">
        <f t="shared" si="37"/>
        <v>1009981.1067270448</v>
      </c>
      <c r="ES21" s="1">
        <f t="shared" si="37"/>
        <v>1020080.9177943153</v>
      </c>
      <c r="ET21" s="1">
        <f t="shared" si="37"/>
        <v>1030281.7269722584</v>
      </c>
      <c r="EU21" s="1">
        <f t="shared" si="37"/>
        <v>1040584.544241981</v>
      </c>
      <c r="EV21" s="1">
        <f t="shared" ref="EV21:FP21" si="38">+EU21*(1+$AN$25)</f>
        <v>1050990.3896844008</v>
      </c>
      <c r="EW21" s="1">
        <f t="shared" si="38"/>
        <v>1061500.2935812448</v>
      </c>
      <c r="EX21" s="1">
        <f t="shared" si="38"/>
        <v>1072115.2965170571</v>
      </c>
      <c r="EY21" s="1">
        <f t="shared" si="38"/>
        <v>1082836.4494822277</v>
      </c>
      <c r="EZ21" s="1">
        <f t="shared" si="38"/>
        <v>1093664.8139770499</v>
      </c>
      <c r="FA21" s="1">
        <f t="shared" si="38"/>
        <v>1104601.4621168205</v>
      </c>
      <c r="FB21" s="1">
        <f t="shared" si="38"/>
        <v>1115647.4767379886</v>
      </c>
      <c r="FC21" s="1">
        <f t="shared" si="38"/>
        <v>1126803.9515053686</v>
      </c>
      <c r="FD21" s="1">
        <f t="shared" si="38"/>
        <v>1138071.9910204222</v>
      </c>
      <c r="FE21" s="1">
        <f t="shared" si="38"/>
        <v>1149452.7109306264</v>
      </c>
      <c r="FF21" s="1">
        <f t="shared" si="38"/>
        <v>1160947.2380399327</v>
      </c>
      <c r="FG21" s="1">
        <f t="shared" si="38"/>
        <v>1172556.7104203319</v>
      </c>
      <c r="FH21" s="1">
        <f t="shared" si="38"/>
        <v>1184282.2775245353</v>
      </c>
      <c r="FI21" s="1">
        <f t="shared" si="38"/>
        <v>1196125.1002997807</v>
      </c>
      <c r="FJ21" s="1">
        <f t="shared" si="38"/>
        <v>1208086.3513027786</v>
      </c>
      <c r="FK21" s="1">
        <f t="shared" si="38"/>
        <v>1220167.2148158064</v>
      </c>
      <c r="FL21" s="1">
        <f t="shared" si="38"/>
        <v>1232368.8869639644</v>
      </c>
      <c r="FM21" s="1">
        <f t="shared" si="38"/>
        <v>1244692.5758336042</v>
      </c>
      <c r="FN21" s="1">
        <f t="shared" si="38"/>
        <v>1257139.5015919402</v>
      </c>
      <c r="FO21" s="1">
        <f t="shared" si="38"/>
        <v>1269710.8966078595</v>
      </c>
      <c r="FP21" s="1">
        <f t="shared" si="38"/>
        <v>1282408.0055739381</v>
      </c>
      <c r="FQ21" s="1">
        <f t="shared" ref="FQ21:GE21" si="39">+FP21*(1+$AN$25)</f>
        <v>1295232.0856296776</v>
      </c>
      <c r="FR21" s="1">
        <f t="shared" si="39"/>
        <v>1308184.4064859743</v>
      </c>
      <c r="FS21" s="1">
        <f t="shared" si="39"/>
        <v>1321266.250550834</v>
      </c>
      <c r="FT21" s="1">
        <f t="shared" si="39"/>
        <v>1334478.9130563424</v>
      </c>
      <c r="FU21" s="1">
        <f t="shared" si="39"/>
        <v>1347823.7021869058</v>
      </c>
      <c r="FV21" s="1">
        <f t="shared" si="39"/>
        <v>1361301.9392087748</v>
      </c>
      <c r="FW21" s="1">
        <f t="shared" si="39"/>
        <v>1374914.9586008627</v>
      </c>
      <c r="FX21" s="1">
        <f t="shared" si="39"/>
        <v>1388664.1081868713</v>
      </c>
      <c r="FY21" s="1">
        <f t="shared" si="39"/>
        <v>1402550.7492687399</v>
      </c>
      <c r="FZ21" s="1">
        <f t="shared" si="39"/>
        <v>1416576.2567614273</v>
      </c>
      <c r="GA21" s="1">
        <f t="shared" si="39"/>
        <v>1430742.0193290415</v>
      </c>
      <c r="GB21" s="1">
        <f t="shared" si="39"/>
        <v>1445049.4395223318</v>
      </c>
      <c r="GC21" s="1">
        <f t="shared" si="39"/>
        <v>1459499.9339175553</v>
      </c>
      <c r="GD21" s="1">
        <f t="shared" si="39"/>
        <v>1474094.9332567309</v>
      </c>
      <c r="GE21" s="1">
        <f t="shared" ref="GE21:GZ21" si="40">+GD21*(1+$AN$25)</f>
        <v>1488835.8825892983</v>
      </c>
      <c r="GF21" s="1">
        <f t="shared" si="40"/>
        <v>1503724.2414151912</v>
      </c>
      <c r="GG21" s="1">
        <f t="shared" si="40"/>
        <v>1518761.4838293432</v>
      </c>
      <c r="GH21" s="1">
        <f t="shared" si="40"/>
        <v>1533949.0986676367</v>
      </c>
      <c r="GI21" s="1">
        <f t="shared" si="40"/>
        <v>1549288.5896543132</v>
      </c>
      <c r="GJ21" s="1">
        <f t="shared" si="40"/>
        <v>1564781.4755508562</v>
      </c>
      <c r="GK21" s="1">
        <f t="shared" si="40"/>
        <v>1580429.2903063649</v>
      </c>
      <c r="GL21" s="1">
        <f t="shared" si="40"/>
        <v>1596233.5832094285</v>
      </c>
      <c r="GM21" s="1">
        <f t="shared" si="40"/>
        <v>1612195.9190415228</v>
      </c>
      <c r="GN21" s="1">
        <f t="shared" si="40"/>
        <v>1628317.878231938</v>
      </c>
      <c r="GO21" s="1">
        <f t="shared" si="40"/>
        <v>1644601.0570142574</v>
      </c>
      <c r="GP21" s="1">
        <f t="shared" si="40"/>
        <v>1661047.0675844001</v>
      </c>
      <c r="GQ21" s="1">
        <f t="shared" si="40"/>
        <v>1677657.5382602441</v>
      </c>
      <c r="GR21" s="1">
        <f t="shared" si="40"/>
        <v>1694434.1136428465</v>
      </c>
      <c r="GS21" s="1">
        <f t="shared" si="40"/>
        <v>1711378.454779275</v>
      </c>
      <c r="GT21" s="1">
        <f t="shared" si="40"/>
        <v>1728492.2393270677</v>
      </c>
      <c r="GU21" s="1">
        <f t="shared" si="40"/>
        <v>1745777.1617203385</v>
      </c>
      <c r="GV21" s="1">
        <f t="shared" si="40"/>
        <v>1763234.933337542</v>
      </c>
      <c r="GW21" s="1">
        <f t="shared" si="40"/>
        <v>1780867.2826709175</v>
      </c>
      <c r="GX21" s="1">
        <f t="shared" si="40"/>
        <v>1798675.9554976267</v>
      </c>
      <c r="GY21" s="1">
        <f t="shared" si="40"/>
        <v>1816662.715052603</v>
      </c>
      <c r="GZ21" s="1">
        <f t="shared" ref="GZ21:HN21" si="41">+GY21*(1+$AN$25)</f>
        <v>1834829.3422031291</v>
      </c>
      <c r="HA21" s="1">
        <f t="shared" si="41"/>
        <v>1853177.6356251603</v>
      </c>
      <c r="HB21" s="1">
        <f t="shared" si="41"/>
        <v>1871709.411981412</v>
      </c>
      <c r="HC21" s="1">
        <f t="shared" si="41"/>
        <v>1890426.5061012262</v>
      </c>
      <c r="HD21" s="1">
        <f t="shared" si="41"/>
        <v>1909330.7711622384</v>
      </c>
      <c r="HE21" s="1">
        <f t="shared" si="41"/>
        <v>1928424.0788738609</v>
      </c>
      <c r="HF21" s="1">
        <f t="shared" si="41"/>
        <v>1947708.3196625996</v>
      </c>
      <c r="HG21" s="1">
        <f t="shared" si="41"/>
        <v>1967185.4028592256</v>
      </c>
      <c r="HH21" s="1">
        <f t="shared" si="41"/>
        <v>1986857.256887818</v>
      </c>
      <c r="HI21" s="1">
        <f t="shared" si="41"/>
        <v>2006725.8294566963</v>
      </c>
      <c r="HJ21" s="1">
        <f t="shared" si="41"/>
        <v>2026793.0877512633</v>
      </c>
      <c r="HK21" s="1">
        <f t="shared" si="41"/>
        <v>2047061.0186287758</v>
      </c>
      <c r="HL21" s="1">
        <f t="shared" si="41"/>
        <v>2067531.6288150635</v>
      </c>
      <c r="HM21" s="1">
        <f t="shared" si="41"/>
        <v>2088206.9451032141</v>
      </c>
      <c r="HN21" s="1">
        <f t="shared" ref="HN21:HV21" si="42">+HM21*(1+$AN$25)</f>
        <v>2109089.0145542463</v>
      </c>
      <c r="HO21" s="1">
        <f t="shared" si="42"/>
        <v>2130179.9046997889</v>
      </c>
      <c r="HP21" s="1">
        <f t="shared" si="42"/>
        <v>2151481.7037467868</v>
      </c>
      <c r="HQ21" s="1">
        <f t="shared" si="42"/>
        <v>2172996.5207842547</v>
      </c>
      <c r="HR21" s="1">
        <f t="shared" si="42"/>
        <v>2194726.4859920973</v>
      </c>
      <c r="HS21" s="1">
        <f t="shared" si="42"/>
        <v>2216673.7508520181</v>
      </c>
      <c r="HT21" s="1">
        <f t="shared" si="42"/>
        <v>2238840.4883605381</v>
      </c>
      <c r="HU21" s="1">
        <f t="shared" si="42"/>
        <v>2261228.8932441436</v>
      </c>
      <c r="HV21" s="1">
        <f t="shared" ref="HV21:HY21" si="43">+HU21*(1+$AN$25)</f>
        <v>2283841.1821765848</v>
      </c>
      <c r="HW21" s="1">
        <f t="shared" si="43"/>
        <v>2306679.5939983507</v>
      </c>
      <c r="HX21" s="1">
        <f t="shared" si="43"/>
        <v>2329746.389938334</v>
      </c>
      <c r="HY21" s="1">
        <f t="shared" ref="HY21:IB21" si="44">+HX21*(1+$AN$25)</f>
        <v>2353043.8538377173</v>
      </c>
      <c r="HZ21" s="1">
        <f t="shared" si="44"/>
        <v>2376574.2923760945</v>
      </c>
      <c r="IA21" s="1">
        <f t="shared" si="44"/>
        <v>2400340.0352998553</v>
      </c>
      <c r="IB21" s="1">
        <f t="shared" ref="IB21" si="45">+IA21*(1+$AN$25)</f>
        <v>2424343.4356528539</v>
      </c>
    </row>
    <row r="22" spans="2:236">
      <c r="B22" s="1" t="s">
        <v>28</v>
      </c>
      <c r="C22" s="1">
        <v>16962.694</v>
      </c>
      <c r="D22" s="1">
        <v>17359.717000000001</v>
      </c>
      <c r="E22" s="1">
        <v>19084.124</v>
      </c>
      <c r="F22" s="1">
        <v>57905.7</v>
      </c>
      <c r="G22" s="1">
        <v>109472.05</v>
      </c>
      <c r="H22" s="1">
        <v>109679.467</v>
      </c>
      <c r="I22" s="1">
        <v>110375.126</v>
      </c>
      <c r="J22" s="1">
        <v>110934.44500000001</v>
      </c>
      <c r="K22" s="1">
        <v>111297.064</v>
      </c>
      <c r="L22" s="1">
        <v>111585.28200000001</v>
      </c>
      <c r="M22" s="1">
        <v>112179.72199999999</v>
      </c>
      <c r="N22" s="1">
        <f>+N21/N23</f>
        <v>36768.666614000816</v>
      </c>
      <c r="O22" s="1">
        <v>117772.776</v>
      </c>
      <c r="W22" s="1">
        <v>16051.96</v>
      </c>
      <c r="X22" s="1">
        <f>+X21/X23</f>
        <v>25569.956025843658</v>
      </c>
      <c r="Y22" s="1">
        <f>+Y21/Y23</f>
        <v>110106.86022486637</v>
      </c>
      <c r="Z22" s="1">
        <v>111907.675</v>
      </c>
      <c r="AA22" s="1">
        <f>+Z22</f>
        <v>111907.675</v>
      </c>
      <c r="AB22" s="1">
        <f t="shared" ref="AB22:AJ22" si="46">+AA22</f>
        <v>111907.675</v>
      </c>
      <c r="AC22" s="1">
        <f t="shared" si="46"/>
        <v>111907.675</v>
      </c>
      <c r="AD22" s="1">
        <f t="shared" si="46"/>
        <v>111907.675</v>
      </c>
      <c r="AE22" s="1">
        <f t="shared" si="46"/>
        <v>111907.675</v>
      </c>
      <c r="AF22" s="1">
        <f t="shared" si="46"/>
        <v>111907.675</v>
      </c>
      <c r="AG22" s="1">
        <f t="shared" si="46"/>
        <v>111907.675</v>
      </c>
      <c r="AH22" s="1">
        <f t="shared" si="46"/>
        <v>111907.675</v>
      </c>
      <c r="AI22" s="1">
        <f t="shared" si="46"/>
        <v>111907.675</v>
      </c>
      <c r="AJ22" s="1">
        <f t="shared" si="46"/>
        <v>111907.675</v>
      </c>
    </row>
    <row r="23" spans="2:236" s="7" customFormat="1">
      <c r="B23" s="7" t="s">
        <v>29</v>
      </c>
      <c r="C23" s="7">
        <f t="shared" ref="C23:M23" si="47">+C21/C22</f>
        <v>-1.768233277096197</v>
      </c>
      <c r="D23" s="7">
        <f t="shared" si="47"/>
        <v>-1.5482971294981362</v>
      </c>
      <c r="E23" s="7">
        <f t="shared" si="47"/>
        <v>-1.3441015160035641</v>
      </c>
      <c r="F23" s="7">
        <f t="shared" si="47"/>
        <v>-1.1333944672113454</v>
      </c>
      <c r="G23" s="7">
        <f t="shared" si="47"/>
        <v>-0.45333032495509129</v>
      </c>
      <c r="H23" s="7">
        <f t="shared" si="47"/>
        <v>-0.3675346088251869</v>
      </c>
      <c r="I23" s="7">
        <f t="shared" si="47"/>
        <v>-0.31726351098344385</v>
      </c>
      <c r="J23" s="7">
        <f t="shared" si="47"/>
        <v>-0.43469816791349158</v>
      </c>
      <c r="K23" s="7">
        <f t="shared" si="47"/>
        <v>-0.29453607149960398</v>
      </c>
      <c r="L23" s="7">
        <f t="shared" si="47"/>
        <v>-0.19799206135447145</v>
      </c>
      <c r="M23" s="7">
        <f t="shared" si="47"/>
        <v>-0.21057281635980521</v>
      </c>
      <c r="N23" s="7">
        <f t="shared" ref="N23" si="48">+Z23-SUM(K23:M23)</f>
        <v>-0.71093141000784565</v>
      </c>
      <c r="O23" s="7">
        <f>+O21/O22</f>
        <v>-0.21515158987166949</v>
      </c>
      <c r="W23" s="7">
        <f>+W21/W22</f>
        <v>-8.6517160521207384</v>
      </c>
      <c r="X23" s="7">
        <f t="shared" si="20"/>
        <v>-5.7940263898092423</v>
      </c>
      <c r="Y23" s="7">
        <f t="shared" si="21"/>
        <v>-1.5728266126772137</v>
      </c>
      <c r="Z23" s="7">
        <f t="shared" si="21"/>
        <v>-1.4140323592217263</v>
      </c>
      <c r="AA23" s="7">
        <f>+AA21/AA22</f>
        <v>0.91057526964876911</v>
      </c>
      <c r="AB23" s="7">
        <f t="shared" ref="AB23:AJ23" si="49">+AB21/AB22</f>
        <v>1.0380558073995958</v>
      </c>
      <c r="AC23" s="7">
        <f t="shared" si="49"/>
        <v>1.183383620435539</v>
      </c>
      <c r="AD23" s="7">
        <f t="shared" si="49"/>
        <v>1.3490573272965156</v>
      </c>
      <c r="AE23" s="7">
        <f t="shared" si="49"/>
        <v>1.5379253531180272</v>
      </c>
      <c r="AF23" s="7">
        <f t="shared" si="49"/>
        <v>1.7532349025545502</v>
      </c>
      <c r="AG23" s="7">
        <f t="shared" si="49"/>
        <v>1.9986877889121877</v>
      </c>
      <c r="AH23" s="7">
        <f t="shared" si="49"/>
        <v>2.2785040793598954</v>
      </c>
      <c r="AI23" s="7">
        <f t="shared" si="49"/>
        <v>2.5974946504702814</v>
      </c>
      <c r="AJ23" s="7">
        <f t="shared" si="49"/>
        <v>2.9611439015361216</v>
      </c>
    </row>
    <row r="24" spans="2:236">
      <c r="AM24" s="80"/>
      <c r="AN24" s="80"/>
    </row>
    <row r="25" spans="2:236">
      <c r="B25" s="5" t="s">
        <v>37</v>
      </c>
      <c r="AM25" s="74" t="s">
        <v>122</v>
      </c>
      <c r="AN25" s="75">
        <v>0.01</v>
      </c>
    </row>
    <row r="26" spans="2:236" s="3" customFormat="1">
      <c r="B26" s="3" t="s">
        <v>30</v>
      </c>
      <c r="G26" s="3">
        <f t="shared" ref="G26:O26" si="50">+G7/C7-1</f>
        <v>0.6710809225957779</v>
      </c>
      <c r="H26" s="3">
        <f t="shared" si="50"/>
        <v>0.4489630213891338</v>
      </c>
      <c r="I26" s="3">
        <f t="shared" si="50"/>
        <v>0.29404031551270826</v>
      </c>
      <c r="J26" s="3">
        <f t="shared" si="50"/>
        <v>0.22964760541762597</v>
      </c>
      <c r="K26" s="3">
        <f t="shared" si="50"/>
        <v>0.21903480812157006</v>
      </c>
      <c r="L26" s="3">
        <f t="shared" si="50"/>
        <v>0.22100097664067619</v>
      </c>
      <c r="M26" s="3">
        <f t="shared" si="50"/>
        <v>0.23706319642655571</v>
      </c>
      <c r="N26" s="3">
        <f t="shared" si="50"/>
        <v>0.29059627224424389</v>
      </c>
      <c r="O26" s="3">
        <f t="shared" si="50"/>
        <v>0.26217396171498941</v>
      </c>
      <c r="X26" s="3">
        <f>+X7/W7-1</f>
        <v>0.54057521020782806</v>
      </c>
      <c r="Y26" s="3">
        <f>+Y7/X7-1</f>
        <v>0.38317435284840862</v>
      </c>
      <c r="Z26" s="3">
        <f>+Z7/Y7-1</f>
        <v>0.24236287637868137</v>
      </c>
      <c r="AA26" s="3">
        <f t="shared" ref="AA26:AJ26" si="51">+AA7/Z7-1</f>
        <v>0.14289921426749141</v>
      </c>
      <c r="AB26" s="3">
        <f t="shared" si="51"/>
        <v>0.1399999999999999</v>
      </c>
      <c r="AC26" s="3">
        <f t="shared" si="51"/>
        <v>0.1399999999999999</v>
      </c>
      <c r="AD26" s="3">
        <f t="shared" si="51"/>
        <v>0.1399999999999999</v>
      </c>
      <c r="AE26" s="3">
        <f t="shared" si="51"/>
        <v>0.1399999999999999</v>
      </c>
      <c r="AF26" s="3">
        <f t="shared" si="51"/>
        <v>0.1399999999999999</v>
      </c>
      <c r="AG26" s="3">
        <f t="shared" si="51"/>
        <v>0.1399999999999999</v>
      </c>
      <c r="AH26" s="3">
        <f t="shared" si="51"/>
        <v>0.1399999999999999</v>
      </c>
      <c r="AI26" s="3">
        <f t="shared" si="51"/>
        <v>0.1399999999999999</v>
      </c>
      <c r="AJ26" s="3">
        <f t="shared" si="51"/>
        <v>0.1399999999999999</v>
      </c>
      <c r="AM26" s="76" t="s">
        <v>123</v>
      </c>
      <c r="AN26" s="93">
        <v>0.08</v>
      </c>
    </row>
    <row r="27" spans="2:236">
      <c r="AM27" s="78" t="s">
        <v>108</v>
      </c>
      <c r="AN27" s="79">
        <f>NPV(AN26,AA21:IB21)</f>
        <v>3432629.3418606846</v>
      </c>
    </row>
    <row r="28" spans="2:236">
      <c r="B28" s="74" t="s">
        <v>155</v>
      </c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8"/>
      <c r="AM28" s="78" t="s">
        <v>124</v>
      </c>
      <c r="AN28" s="79">
        <f>+O40</f>
        <v>243756</v>
      </c>
    </row>
    <row r="29" spans="2:236">
      <c r="B29" s="78" t="s">
        <v>14</v>
      </c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79"/>
      <c r="AM29" s="78" t="s">
        <v>126</v>
      </c>
      <c r="AN29" s="79">
        <f>SUM(AN27:AN28)</f>
        <v>3676385.3418606846</v>
      </c>
    </row>
    <row r="30" spans="2:236">
      <c r="B30" s="78" t="s">
        <v>15</v>
      </c>
      <c r="C30" s="81">
        <f>+C8/C$7</f>
        <v>0.28127443315089912</v>
      </c>
      <c r="D30" s="81">
        <f>+D8/D$7</f>
        <v>0.26859369925300425</v>
      </c>
      <c r="E30" s="81">
        <f>+E8/E$7</f>
        <v>0.27858812236551062</v>
      </c>
      <c r="F30" s="81">
        <f>+F8/F$7</f>
        <v>0.27558957127745631</v>
      </c>
      <c r="G30" s="81">
        <f>+G8/G$7</f>
        <v>0.26421420982347377</v>
      </c>
      <c r="H30" s="81">
        <f>+H8/H$7</f>
        <v>0.27135400822939848</v>
      </c>
      <c r="I30" s="81">
        <f>+I8/I$7</f>
        <v>0.27795784754809477</v>
      </c>
      <c r="J30" s="81">
        <f>+J8/J$7</f>
        <v>0.29230834106435016</v>
      </c>
      <c r="K30" s="81">
        <f>+K8/K$7</f>
        <v>0.28455486078904862</v>
      </c>
      <c r="L30" s="81">
        <f>+L8/L$7</f>
        <v>0.26875594164891004</v>
      </c>
      <c r="M30" s="81">
        <f>+M8/M$7</f>
        <v>0.2721406783637928</v>
      </c>
      <c r="N30" s="81">
        <f>+N8/N$7</f>
        <v>0.28355965652895587</v>
      </c>
      <c r="O30" s="81">
        <f>+O8/O$7</f>
        <v>0.27695913842255304</v>
      </c>
      <c r="P30" s="80"/>
      <c r="Q30" s="80"/>
      <c r="R30" s="80"/>
      <c r="S30" s="80"/>
      <c r="T30" s="80"/>
      <c r="U30" s="80"/>
      <c r="V30" s="80"/>
      <c r="W30" s="81">
        <f>+W8/W$7</f>
        <v>0.29986175010765359</v>
      </c>
      <c r="X30" s="81">
        <f>+X8/X$7</f>
        <v>0.27568746064718103</v>
      </c>
      <c r="Y30" s="81">
        <f>+Y8/Y$7</f>
        <v>0.27682326288807818</v>
      </c>
      <c r="Z30" s="81">
        <f>+Z8/Z$7</f>
        <v>0.27690692947926598</v>
      </c>
      <c r="AA30" s="81">
        <f>+AA8/AA$7</f>
        <v>0.29504331039322812</v>
      </c>
      <c r="AB30" s="81">
        <f>+AB8/AB$7</f>
        <v>0.29504331039322812</v>
      </c>
      <c r="AC30" s="81">
        <f>+AC8/AC$7</f>
        <v>0.29504331039322812</v>
      </c>
      <c r="AD30" s="81">
        <f>+AD8/AD$7</f>
        <v>0.29504331039322812</v>
      </c>
      <c r="AE30" s="81">
        <f>+AE8/AE$7</f>
        <v>0.29504331039322812</v>
      </c>
      <c r="AF30" s="81">
        <f>+AF8/AF$7</f>
        <v>0.29504331039322812</v>
      </c>
      <c r="AG30" s="81">
        <f>+AG8/AG$7</f>
        <v>0.29504331039322812</v>
      </c>
      <c r="AH30" s="81">
        <f>+AH8/AH$7</f>
        <v>0.29504331039322812</v>
      </c>
      <c r="AI30" s="81">
        <f>+AI8/AI$7</f>
        <v>0.29504331039322812</v>
      </c>
      <c r="AJ30" s="77">
        <f>+AJ8/AJ$7</f>
        <v>0.29504331039322812</v>
      </c>
      <c r="AM30" s="78" t="s">
        <v>111</v>
      </c>
      <c r="AN30" s="79">
        <f>+main!K5*1000</f>
        <v>113311.11599999999</v>
      </c>
    </row>
    <row r="31" spans="2:236">
      <c r="B31" s="78" t="s">
        <v>16</v>
      </c>
      <c r="C31" s="81">
        <f>+C9/C$7</f>
        <v>0.36310919989575191</v>
      </c>
      <c r="D31" s="81">
        <f>+D9/D$7</f>
        <v>0.31010764162761567</v>
      </c>
      <c r="E31" s="81">
        <f>+E9/E$7</f>
        <v>0.31630566336964233</v>
      </c>
      <c r="F31" s="81">
        <f>+F9/F$7</f>
        <v>0.32174932072262669</v>
      </c>
      <c r="G31" s="81">
        <f>+G9/G$7</f>
        <v>0.33435681492528585</v>
      </c>
      <c r="H31" s="81">
        <f>+H9/H$7</f>
        <v>0.29629837173185608</v>
      </c>
      <c r="I31" s="81">
        <f>+I9/I$7</f>
        <v>0.30643574734329898</v>
      </c>
      <c r="J31" s="81">
        <f>+J9/J$7</f>
        <v>0.32177616597790337</v>
      </c>
      <c r="K31" s="81">
        <f>+K9/K$7</f>
        <v>0.31378836097295743</v>
      </c>
      <c r="L31" s="81">
        <f>+L9/L$7</f>
        <v>0.2852843796099</v>
      </c>
      <c r="M31" s="81">
        <f>+M9/M$7</f>
        <v>0.28515003780274789</v>
      </c>
      <c r="N31" s="81">
        <f>+N9/N$7</f>
        <v>0.29276070733078041</v>
      </c>
      <c r="O31" s="81">
        <f>+O9/O$7</f>
        <v>0.28993348115299333</v>
      </c>
      <c r="P31" s="80"/>
      <c r="Q31" s="80"/>
      <c r="R31" s="80"/>
      <c r="S31" s="80"/>
      <c r="T31" s="80"/>
      <c r="U31" s="80"/>
      <c r="V31" s="80"/>
      <c r="W31" s="81">
        <f>+W9/W$7</f>
        <v>0.3793531718151531</v>
      </c>
      <c r="X31" s="81">
        <f>+X9/X$7</f>
        <v>0.32473210660421215</v>
      </c>
      <c r="Y31" s="81">
        <f>+Y9/Y$7</f>
        <v>0.31370438519054256</v>
      </c>
      <c r="Z31" s="81">
        <f>+Z9/Z$7</f>
        <v>0.29331159969933618</v>
      </c>
      <c r="AA31" s="81">
        <f>+AA9/AA$7</f>
        <v>0.247271960338136</v>
      </c>
      <c r="AB31" s="81">
        <f>+AB9/AB$7</f>
        <v>0.24727196033813598</v>
      </c>
      <c r="AC31" s="81">
        <f>+AC9/AC$7</f>
        <v>0.24727196033813598</v>
      </c>
      <c r="AD31" s="81">
        <f>+AD9/AD$7</f>
        <v>0.24727196033813598</v>
      </c>
      <c r="AE31" s="81">
        <f>+AE9/AE$7</f>
        <v>0.24727196033813595</v>
      </c>
      <c r="AF31" s="81">
        <f>+AF9/AF$7</f>
        <v>0.24727196033813595</v>
      </c>
      <c r="AG31" s="81">
        <f>+AG9/AG$7</f>
        <v>0.24727196033813598</v>
      </c>
      <c r="AH31" s="81">
        <f>+AH9/AH$7</f>
        <v>0.24727196033813598</v>
      </c>
      <c r="AI31" s="81">
        <f>+AI9/AI$7</f>
        <v>0.24727196033813598</v>
      </c>
      <c r="AJ31" s="77">
        <f>+AJ9/AJ$7</f>
        <v>0.24727196033813598</v>
      </c>
      <c r="AM31" s="95" t="s">
        <v>125</v>
      </c>
      <c r="AN31" s="94">
        <f>+AN29/AN30</f>
        <v>32.445054568703434</v>
      </c>
    </row>
    <row r="32" spans="2:236">
      <c r="B32" s="78" t="s">
        <v>17</v>
      </c>
      <c r="C32" s="81">
        <f>+C10/C$7</f>
        <v>0.16368582225697159</v>
      </c>
      <c r="D32" s="81">
        <f>+D10/D$7</f>
        <v>0.1370690855101378</v>
      </c>
      <c r="E32" s="81">
        <f>+E10/E$7</f>
        <v>0.14662368014690538</v>
      </c>
      <c r="F32" s="81">
        <f>+F10/F$7</f>
        <v>0.10504428266235248</v>
      </c>
      <c r="G32" s="81">
        <f>+G10/G$7</f>
        <v>0.10251386573871002</v>
      </c>
      <c r="H32" s="81">
        <f>+H10/H$7</f>
        <v>8.9258553611168925E-2</v>
      </c>
      <c r="I32" s="81">
        <f>+I10/I$7</f>
        <v>9.2754744972828276E-2</v>
      </c>
      <c r="J32" s="81">
        <f>+J10/J$7</f>
        <v>0.101771105675972</v>
      </c>
      <c r="K32" s="81">
        <f>+K10/K$7</f>
        <v>0.10098990900513345</v>
      </c>
      <c r="L32" s="81">
        <f>+L10/L$7</f>
        <v>8.8680544173086379E-2</v>
      </c>
      <c r="M32" s="81">
        <f>+M10/M$7</f>
        <v>9.0993821206038009E-2</v>
      </c>
      <c r="N32" s="81">
        <f>+N10/N$7</f>
        <v>9.2559434344490474E-2</v>
      </c>
      <c r="O32" s="81">
        <f>+O10/O$7</f>
        <v>9.1529933481153E-2</v>
      </c>
      <c r="P32" s="80"/>
      <c r="Q32" s="80"/>
      <c r="R32" s="80"/>
      <c r="S32" s="80"/>
      <c r="T32" s="80"/>
      <c r="U32" s="80"/>
      <c r="V32" s="80"/>
      <c r="W32" s="81">
        <f>+W10/W$7</f>
        <v>0.14644516465335539</v>
      </c>
      <c r="X32" s="81">
        <f>+X10/X$7</f>
        <v>0.13548550345127899</v>
      </c>
      <c r="Y32" s="81">
        <f>+Y10/Y$7</f>
        <v>9.6229565735314451E-2</v>
      </c>
      <c r="Z32" s="81">
        <f>+Z10/Z$7</f>
        <v>9.2940392883376341E-2</v>
      </c>
      <c r="AA32" s="81">
        <f>+AA10/AA$7</f>
        <v>5.09807429336274E-2</v>
      </c>
      <c r="AB32" s="81">
        <f>+AB10/AB$7</f>
        <v>5.09807429336274E-2</v>
      </c>
      <c r="AC32" s="81">
        <f>+AC10/AC$7</f>
        <v>5.09807429336274E-2</v>
      </c>
      <c r="AD32" s="81">
        <f>+AD10/AD$7</f>
        <v>5.09807429336274E-2</v>
      </c>
      <c r="AE32" s="81">
        <f>+AE10/AE$7</f>
        <v>5.09807429336274E-2</v>
      </c>
      <c r="AF32" s="81">
        <f>+AF10/AF$7</f>
        <v>5.09807429336274E-2</v>
      </c>
      <c r="AG32" s="81">
        <f>+AG10/AG$7</f>
        <v>5.0980742933627393E-2</v>
      </c>
      <c r="AH32" s="81">
        <f>+AH10/AH$7</f>
        <v>5.0980742933627393E-2</v>
      </c>
      <c r="AI32" s="81">
        <f>+AI10/AI$7</f>
        <v>5.0980742933627393E-2</v>
      </c>
      <c r="AJ32" s="77">
        <f>+AJ10/AJ$7</f>
        <v>5.0980742933627393E-2</v>
      </c>
      <c r="AM32" s="78" t="s">
        <v>113</v>
      </c>
      <c r="AN32" s="79">
        <f>+main!K4</f>
        <v>31.04</v>
      </c>
    </row>
    <row r="33" spans="2:40">
      <c r="B33" s="78" t="s">
        <v>18</v>
      </c>
      <c r="C33" s="81">
        <f>+C11/C$7</f>
        <v>0.15769155590304926</v>
      </c>
      <c r="D33" s="81">
        <f>+D11/D$7</f>
        <v>0.13535238713868139</v>
      </c>
      <c r="E33" s="81">
        <f>+E11/E$7</f>
        <v>0.12144735194691374</v>
      </c>
      <c r="F33" s="81">
        <f>+F11/F$7</f>
        <v>0.16959118909837595</v>
      </c>
      <c r="G33" s="81">
        <f>+G11/G$7</f>
        <v>0.16838709048552017</v>
      </c>
      <c r="H33" s="81">
        <f>+H11/H$7</f>
        <v>0.15782353223714757</v>
      </c>
      <c r="I33" s="81">
        <f>+I11/I$7</f>
        <v>0.16216761001725444</v>
      </c>
      <c r="J33" s="81">
        <f>+J11/J$7</f>
        <v>0.17599730117230328</v>
      </c>
      <c r="K33" s="81">
        <f>+K11/K$7</f>
        <v>0.16523804193120212</v>
      </c>
      <c r="L33" s="81">
        <f>+L11/L$7</f>
        <v>0.153450254056712</v>
      </c>
      <c r="M33" s="81">
        <f>+M11/M$7</f>
        <v>0.1619652214719608</v>
      </c>
      <c r="N33" s="81">
        <f>+N11/N$7</f>
        <v>0.16918040071621815</v>
      </c>
      <c r="O33" s="81">
        <f>+O11/O$7</f>
        <v>0.16079189103579347</v>
      </c>
      <c r="P33" s="80"/>
      <c r="Q33" s="80"/>
      <c r="R33" s="80"/>
      <c r="S33" s="80"/>
      <c r="T33" s="80"/>
      <c r="U33" s="80"/>
      <c r="V33" s="80"/>
      <c r="W33" s="81">
        <f>+W11/W$7</f>
        <v>0.21378419418443895</v>
      </c>
      <c r="X33" s="81">
        <f>+X11/X$7</f>
        <v>0.14518027268929073</v>
      </c>
      <c r="Y33" s="81">
        <f>+Y11/Y$7</f>
        <v>0.16585869114346796</v>
      </c>
      <c r="Z33" s="81">
        <f>+Z11/Z$7</f>
        <v>0.16233278143144061</v>
      </c>
      <c r="AA33" s="81">
        <f>+AA11/AA$7</f>
        <v>0.1447323542399046</v>
      </c>
      <c r="AB33" s="81">
        <f>+AB11/AB$7</f>
        <v>0.1447323542399046</v>
      </c>
      <c r="AC33" s="81">
        <f>+AC11/AC$7</f>
        <v>0.1447323542399046</v>
      </c>
      <c r="AD33" s="81">
        <f>+AD11/AD$7</f>
        <v>0.1447323542399046</v>
      </c>
      <c r="AE33" s="81">
        <f>+AE11/AE$7</f>
        <v>0.1447323542399046</v>
      </c>
      <c r="AF33" s="81">
        <f>+AF11/AF$7</f>
        <v>0.1447323542399046</v>
      </c>
      <c r="AG33" s="81">
        <f>+AG11/AG$7</f>
        <v>0.1447323542399046</v>
      </c>
      <c r="AH33" s="81">
        <f>+AH11/AH$7</f>
        <v>0.1447323542399046</v>
      </c>
      <c r="AI33" s="81">
        <f>+AI11/AI$7</f>
        <v>0.1447323542399046</v>
      </c>
      <c r="AJ33" s="77">
        <f>+AJ11/AJ$7</f>
        <v>0.1447323542399046</v>
      </c>
      <c r="AM33" s="89" t="s">
        <v>127</v>
      </c>
      <c r="AN33" s="92">
        <f>+AN31/AN32-1</f>
        <v>4.5265933270084879E-2</v>
      </c>
    </row>
    <row r="34" spans="2:40">
      <c r="B34" s="78" t="s">
        <v>19</v>
      </c>
      <c r="C34" s="81">
        <f>+C12/C$7</f>
        <v>0.38083137868126138</v>
      </c>
      <c r="D34" s="81">
        <f>+D12/D$7</f>
        <v>0.30252169071590962</v>
      </c>
      <c r="E34" s="81">
        <f>+E12/E$7</f>
        <v>0.30199073494428447</v>
      </c>
      <c r="F34" s="81">
        <f>+F12/F$7</f>
        <v>0.48373882562794268</v>
      </c>
      <c r="G34" s="81">
        <f>+G12/G$7</f>
        <v>0.48931192794689593</v>
      </c>
      <c r="H34" s="81">
        <f>+H12/H$7</f>
        <v>0.41465601434541061</v>
      </c>
      <c r="I34" s="81">
        <f>+I12/I$7</f>
        <v>0.33785657845935529</v>
      </c>
      <c r="J34" s="81">
        <f>+J12/J$7</f>
        <v>0.36659357341654719</v>
      </c>
      <c r="K34" s="81">
        <f>+K12/K$7</f>
        <v>0.27911755769138508</v>
      </c>
      <c r="L34" s="81">
        <f>+L12/L$7</f>
        <v>0.26454679560727751</v>
      </c>
      <c r="M34" s="81">
        <f>+M12/M$7</f>
        <v>0.23439658993143364</v>
      </c>
      <c r="N34" s="81">
        <f>+N12/N$7</f>
        <v>0.23226118437389726</v>
      </c>
      <c r="O34" s="81">
        <f>+O12/O$7</f>
        <v>0.2335445042762116</v>
      </c>
      <c r="P34" s="80"/>
      <c r="Q34" s="80"/>
      <c r="R34" s="80"/>
      <c r="S34" s="80"/>
      <c r="T34" s="80"/>
      <c r="U34" s="80"/>
      <c r="V34" s="80"/>
      <c r="W34" s="81">
        <f>+W12/W$7</f>
        <v>0.44938920744283029</v>
      </c>
      <c r="X34" s="81">
        <f>+X12/X$7</f>
        <v>0.36793046835003562</v>
      </c>
      <c r="Y34" s="81">
        <f>+Y12/Y$7</f>
        <v>0.39856415056210848</v>
      </c>
      <c r="Z34" s="81">
        <f>+Z12/Z$7</f>
        <v>0.25128715278550651</v>
      </c>
      <c r="AA34" s="81">
        <f>+AA12/AA$7</f>
        <v>6.4182184759608046E-2</v>
      </c>
      <c r="AB34" s="81">
        <f>+AB12/AB$7</f>
        <v>6.4182184759608046E-2</v>
      </c>
      <c r="AC34" s="81">
        <f>+AC12/AC$7</f>
        <v>6.4182184759608046E-2</v>
      </c>
      <c r="AD34" s="81">
        <f>+AD12/AD$7</f>
        <v>6.4182184759608046E-2</v>
      </c>
      <c r="AE34" s="81">
        <f>+AE12/AE$7</f>
        <v>6.4182184759608046E-2</v>
      </c>
      <c r="AF34" s="81">
        <f>+AF12/AF$7</f>
        <v>6.4182184759608046E-2</v>
      </c>
      <c r="AG34" s="81">
        <f>+AG12/AG$7</f>
        <v>6.4182184759608046E-2</v>
      </c>
      <c r="AH34" s="81">
        <f>+AH12/AH$7</f>
        <v>6.4182184759608046E-2</v>
      </c>
      <c r="AI34" s="81">
        <f>+AI12/AI$7</f>
        <v>6.4182184759608046E-2</v>
      </c>
      <c r="AJ34" s="77">
        <f>+AJ12/AJ$7</f>
        <v>6.4182184759608046E-2</v>
      </c>
    </row>
    <row r="35" spans="2:40">
      <c r="B35" s="78" t="s">
        <v>20</v>
      </c>
      <c r="C35" s="81">
        <f>+C13/C$7</f>
        <v>0.12781795673703414</v>
      </c>
      <c r="D35" s="81">
        <f>+D13/D$7</f>
        <v>9.7527026400037117E-2</v>
      </c>
      <c r="E35" s="81">
        <f>+E13/E$7</f>
        <v>9.7063978965819461E-2</v>
      </c>
      <c r="F35" s="81">
        <f>+F13/F$7</f>
        <v>0.10361313338726069</v>
      </c>
      <c r="G35" s="81">
        <f>+G13/G$7</f>
        <v>0.10407345673597099</v>
      </c>
      <c r="H35" s="81">
        <f>+H13/H$7</f>
        <v>9.0499367585135854E-2</v>
      </c>
      <c r="I35" s="81">
        <f>+I13/I$7</f>
        <v>9.5842807153338816E-2</v>
      </c>
      <c r="J35" s="81">
        <f>+J13/J$7</f>
        <v>0.10628320823142448</v>
      </c>
      <c r="K35" s="81">
        <f>+K13/K$7</f>
        <v>0.10482800530936655</v>
      </c>
      <c r="L35" s="81">
        <f>+L13/L$7</f>
        <v>9.5184396000655633E-2</v>
      </c>
      <c r="M35" s="81">
        <f>+M13/M$7</f>
        <v>0.10221080897880438</v>
      </c>
      <c r="N35" s="81">
        <f>+N13/N$7</f>
        <v>0.1057402010115928</v>
      </c>
      <c r="O35" s="81">
        <f>+O13/O$7</f>
        <v>0.10406715235983528</v>
      </c>
      <c r="P35" s="80"/>
      <c r="Q35" s="80"/>
      <c r="R35" s="80"/>
      <c r="S35" s="80"/>
      <c r="T35" s="80"/>
      <c r="U35" s="80"/>
      <c r="V35" s="80"/>
      <c r="W35" s="81">
        <f>+W13/W$7</f>
        <v>0.12170976588173968</v>
      </c>
      <c r="X35" s="81">
        <f>+X13/X$7</f>
        <v>0.10459464389744434</v>
      </c>
      <c r="Y35" s="81">
        <f>+Y13/Y$7</f>
        <v>9.8852384041862987E-2</v>
      </c>
      <c r="Z35" s="81">
        <f>+Z13/Z$7</f>
        <v>0.10186099948462522</v>
      </c>
      <c r="AA35" s="81">
        <f>+AA13/AA$7</f>
        <v>3.2354675495451672E-2</v>
      </c>
      <c r="AB35" s="81">
        <f>+AB13/AB$7</f>
        <v>3.2354675495451672E-2</v>
      </c>
      <c r="AC35" s="81">
        <f>+AC13/AC$7</f>
        <v>3.2354675495451672E-2</v>
      </c>
      <c r="AD35" s="81">
        <f>+AD13/AD$7</f>
        <v>3.2354675495451672E-2</v>
      </c>
      <c r="AE35" s="81">
        <f>+AE13/AE$7</f>
        <v>3.2354675495451672E-2</v>
      </c>
      <c r="AF35" s="81">
        <f>+AF13/AF$7</f>
        <v>3.2354675495451672E-2</v>
      </c>
      <c r="AG35" s="81">
        <f>+AG13/AG$7</f>
        <v>3.2354675495451672E-2</v>
      </c>
      <c r="AH35" s="81">
        <f>+AH13/AH$7</f>
        <v>3.2354675495451672E-2</v>
      </c>
      <c r="AI35" s="81">
        <f>+AI13/AI$7</f>
        <v>3.2354675495451672E-2</v>
      </c>
      <c r="AJ35" s="77">
        <f>+AJ13/AJ$7</f>
        <v>3.2354675495451672E-2</v>
      </c>
    </row>
    <row r="36" spans="2:40">
      <c r="B36" s="89" t="s">
        <v>21</v>
      </c>
      <c r="C36" s="90">
        <f>+C14/C$7</f>
        <v>1.5653505342715663E-2</v>
      </c>
      <c r="D36" s="90">
        <f>+D14/D$7</f>
        <v>2.9067879181552451E-2</v>
      </c>
      <c r="E36" s="90">
        <f>+E14/E$7</f>
        <v>2.9099369809273402E-2</v>
      </c>
      <c r="F36" s="90">
        <f>+F14/F$7</f>
        <v>3.0458590006844626E-2</v>
      </c>
      <c r="G36" s="90">
        <f>+G14/G$7</f>
        <v>2.4485578656997204E-2</v>
      </c>
      <c r="H36" s="90">
        <f>+H14/H$7</f>
        <v>2.0173233641268672E-2</v>
      </c>
      <c r="I36" s="90">
        <f>+I14/I$7</f>
        <v>2.468030896747456E-2</v>
      </c>
      <c r="J36" s="90">
        <f>+J14/J$7</f>
        <v>2.8928059374209329E-2</v>
      </c>
      <c r="K36" s="90">
        <f>+K14/K$7</f>
        <v>2.6914650333434615E-2</v>
      </c>
      <c r="L36" s="90">
        <f>+L14/L$7</f>
        <v>1.5092607769218161E-2</v>
      </c>
      <c r="M36" s="90">
        <f>+M14/M$7</f>
        <v>1.643767760773783E-2</v>
      </c>
      <c r="N36" s="90">
        <f>+N14/N$7</f>
        <v>7.0118803340608786E-3</v>
      </c>
      <c r="O36" s="90">
        <f>+O14/O$7</f>
        <v>9.0719037060500475E-3</v>
      </c>
      <c r="P36" s="91"/>
      <c r="Q36" s="91"/>
      <c r="R36" s="91"/>
      <c r="S36" s="91"/>
      <c r="T36" s="91"/>
      <c r="U36" s="91"/>
      <c r="V36" s="91"/>
      <c r="W36" s="90">
        <f>+W14/W$7</f>
        <v>2.0628697051424429E-2</v>
      </c>
      <c r="X36" s="90">
        <f>+X14/X$7</f>
        <v>2.7048259060710733E-2</v>
      </c>
      <c r="Y36" s="90">
        <f>+Y14/Y$7</f>
        <v>2.4511545293072826E-2</v>
      </c>
      <c r="Z36" s="90">
        <f>+Z14/Z$7</f>
        <v>1.5860187897767452E-2</v>
      </c>
      <c r="AA36" s="90">
        <f>+AA14/AA$7</f>
        <v>3.7411176187483975E-3</v>
      </c>
      <c r="AB36" s="90">
        <f>+AB14/AB$7</f>
        <v>3.7411176187483975E-3</v>
      </c>
      <c r="AC36" s="90">
        <f>+AC14/AC$7</f>
        <v>3.7411176187483975E-3</v>
      </c>
      <c r="AD36" s="90">
        <f>+AD14/AD$7</f>
        <v>3.7411176187483975E-3</v>
      </c>
      <c r="AE36" s="90">
        <f>+AE14/AE$7</f>
        <v>3.7411176187483975E-3</v>
      </c>
      <c r="AF36" s="90">
        <f>+AF14/AF$7</f>
        <v>3.7411176187483975E-3</v>
      </c>
      <c r="AG36" s="90">
        <f>+AG14/AG$7</f>
        <v>3.7411176187483971E-3</v>
      </c>
      <c r="AH36" s="90">
        <f>+AH14/AH$7</f>
        <v>3.7411176187483967E-3</v>
      </c>
      <c r="AI36" s="90">
        <f>+AI14/AI$7</f>
        <v>3.7411176187483967E-3</v>
      </c>
      <c r="AJ36" s="92">
        <f>+AJ14/AJ$7</f>
        <v>3.7411176187483967E-3</v>
      </c>
    </row>
    <row r="40" spans="2:40">
      <c r="B40" s="1" t="s">
        <v>38</v>
      </c>
      <c r="M40" s="1">
        <v>274743</v>
      </c>
      <c r="N40" s="1">
        <v>257230</v>
      </c>
      <c r="O40" s="1">
        <v>243756</v>
      </c>
    </row>
    <row r="41" spans="2:40">
      <c r="B41" s="1" t="s">
        <v>39</v>
      </c>
      <c r="M41" s="1">
        <v>9891</v>
      </c>
      <c r="N41" s="1">
        <v>3502</v>
      </c>
      <c r="O41" s="1">
        <v>5590</v>
      </c>
    </row>
    <row r="42" spans="2:40">
      <c r="B42" s="1" t="s">
        <v>40</v>
      </c>
      <c r="M42" s="1">
        <v>3348</v>
      </c>
      <c r="N42" s="1">
        <v>2069</v>
      </c>
      <c r="O42" s="1">
        <v>1854</v>
      </c>
    </row>
    <row r="43" spans="2:40">
      <c r="B43" s="1" t="s">
        <v>41</v>
      </c>
      <c r="M43" s="1">
        <v>5975</v>
      </c>
      <c r="N43" s="1">
        <v>5767</v>
      </c>
      <c r="O43" s="1">
        <v>6773</v>
      </c>
    </row>
    <row r="44" spans="2:40">
      <c r="B44" s="1" t="s">
        <v>42</v>
      </c>
      <c r="M44" s="1">
        <v>93</v>
      </c>
      <c r="N44" s="1">
        <v>93</v>
      </c>
      <c r="O44" s="1">
        <v>93</v>
      </c>
    </row>
    <row r="45" spans="2:40">
      <c r="B45" s="1" t="s">
        <v>43</v>
      </c>
      <c r="M45" s="1">
        <v>4612</v>
      </c>
      <c r="N45" s="1">
        <v>7450</v>
      </c>
      <c r="O45" s="1">
        <v>5622</v>
      </c>
    </row>
    <row r="46" spans="2:40">
      <c r="B46" s="1" t="s">
        <v>44</v>
      </c>
      <c r="M46" s="1">
        <v>245882</v>
      </c>
      <c r="N46" s="1">
        <v>243992</v>
      </c>
      <c r="O46" s="1">
        <v>243602</v>
      </c>
    </row>
    <row r="47" spans="2:40">
      <c r="B47" s="1" t="s">
        <v>45</v>
      </c>
      <c r="M47" s="1">
        <v>264270</v>
      </c>
      <c r="N47" s="1">
        <v>266902</v>
      </c>
      <c r="O47" s="1">
        <v>267132</v>
      </c>
    </row>
    <row r="48" spans="2:40">
      <c r="B48" s="1" t="s">
        <v>46</v>
      </c>
      <c r="M48" s="1">
        <v>35970</v>
      </c>
      <c r="N48" s="1">
        <v>35970</v>
      </c>
      <c r="O48" s="1">
        <v>35970</v>
      </c>
    </row>
    <row r="49" spans="2:15">
      <c r="B49" s="1" t="s">
        <v>47</v>
      </c>
      <c r="M49" s="1">
        <v>28549</v>
      </c>
      <c r="N49" s="1">
        <v>27407</v>
      </c>
      <c r="O49" s="1">
        <v>26356</v>
      </c>
    </row>
    <row r="50" spans="2:15">
      <c r="B50" s="1" t="s">
        <v>48</v>
      </c>
      <c r="M50" s="1">
        <v>449</v>
      </c>
      <c r="N50" s="1">
        <v>426</v>
      </c>
      <c r="O50" s="1">
        <v>403</v>
      </c>
    </row>
    <row r="51" spans="2:15">
      <c r="B51" s="1" t="s">
        <v>49</v>
      </c>
      <c r="M51" s="1">
        <v>1555</v>
      </c>
      <c r="N51" s="1">
        <v>1406</v>
      </c>
      <c r="O51" s="1">
        <v>1406</v>
      </c>
    </row>
    <row r="52" spans="2:15">
      <c r="B52" s="1" t="s">
        <v>50</v>
      </c>
      <c r="M52" s="1">
        <v>4393</v>
      </c>
      <c r="N52" s="1">
        <v>4218</v>
      </c>
      <c r="O52" s="1">
        <v>4020</v>
      </c>
    </row>
    <row r="53" spans="2:15">
      <c r="B53" s="1" t="s">
        <v>51</v>
      </c>
      <c r="M53" s="6">
        <v>125</v>
      </c>
      <c r="N53" s="1">
        <v>125</v>
      </c>
      <c r="O53" s="1">
        <v>125</v>
      </c>
    </row>
    <row r="54" spans="2:15" s="4" customFormat="1">
      <c r="B54" s="4" t="s">
        <v>52</v>
      </c>
      <c r="M54" s="4">
        <f>+SUM(M40:M53)</f>
        <v>879855</v>
      </c>
      <c r="N54" s="4">
        <f>+SUM(N40:N53)</f>
        <v>856557</v>
      </c>
      <c r="O54" s="4">
        <f>+SUM(O40:O53)</f>
        <v>842702</v>
      </c>
    </row>
    <row r="56" spans="2:15">
      <c r="B56" s="1" t="s">
        <v>54</v>
      </c>
      <c r="M56" s="1">
        <v>30613</v>
      </c>
      <c r="N56" s="1">
        <v>31426</v>
      </c>
      <c r="O56" s="1">
        <v>32348</v>
      </c>
    </row>
    <row r="57" spans="2:15">
      <c r="B57" s="1" t="s">
        <v>55</v>
      </c>
      <c r="M57" s="1">
        <v>13609</v>
      </c>
      <c r="N57" s="1">
        <v>17380</v>
      </c>
      <c r="O57" s="1">
        <v>19722</v>
      </c>
    </row>
    <row r="58" spans="2:15">
      <c r="B58" s="1" t="s">
        <v>56</v>
      </c>
      <c r="M58" s="1">
        <v>21485</v>
      </c>
      <c r="N58" s="1">
        <v>20845</v>
      </c>
      <c r="O58" s="1">
        <v>22003</v>
      </c>
    </row>
    <row r="59" spans="2:15">
      <c r="B59" s="1" t="s">
        <v>57</v>
      </c>
      <c r="M59" s="1">
        <v>13514</v>
      </c>
      <c r="N59" s="1">
        <v>13131</v>
      </c>
      <c r="O59" s="1">
        <v>10122</v>
      </c>
    </row>
    <row r="60" spans="2:15">
      <c r="B60" s="1" t="s">
        <v>58</v>
      </c>
      <c r="M60" s="1">
        <v>1832</v>
      </c>
      <c r="N60" s="1">
        <v>2797</v>
      </c>
      <c r="O60" s="1">
        <v>3137</v>
      </c>
    </row>
    <row r="61" spans="2:15">
      <c r="B61" s="1" t="s">
        <v>18</v>
      </c>
      <c r="N61" s="1">
        <v>6000</v>
      </c>
    </row>
    <row r="62" spans="2:15">
      <c r="B62" s="1" t="s">
        <v>44</v>
      </c>
      <c r="M62" s="1">
        <v>271978</v>
      </c>
      <c r="N62" s="1">
        <v>271439</v>
      </c>
      <c r="O62" s="1">
        <v>272053</v>
      </c>
    </row>
    <row r="63" spans="2:15">
      <c r="B63" s="1" t="s">
        <v>59</v>
      </c>
      <c r="M63" s="1">
        <v>22887</v>
      </c>
      <c r="N63" s="1">
        <v>8350</v>
      </c>
      <c r="O63" s="1">
        <v>10377</v>
      </c>
    </row>
    <row r="64" spans="2:15">
      <c r="B64" s="1" t="s">
        <v>60</v>
      </c>
      <c r="M64" s="1">
        <v>1234</v>
      </c>
      <c r="N64" s="1">
        <v>819</v>
      </c>
      <c r="O64" s="1">
        <v>799</v>
      </c>
    </row>
    <row r="65" spans="2:15">
      <c r="B65" s="1" t="s">
        <v>61</v>
      </c>
      <c r="M65" s="1">
        <v>2369</v>
      </c>
      <c r="N65" s="1">
        <v>1773</v>
      </c>
      <c r="O65" s="1">
        <v>1863</v>
      </c>
    </row>
    <row r="66" spans="2:15" s="6" customFormat="1">
      <c r="B66" s="6" t="s">
        <v>62</v>
      </c>
      <c r="M66" s="6">
        <v>500334</v>
      </c>
      <c r="N66" s="6">
        <v>482597</v>
      </c>
      <c r="O66" s="6">
        <v>470278</v>
      </c>
    </row>
    <row r="67" spans="2:15" s="4" customFormat="1">
      <c r="B67" s="4" t="s">
        <v>53</v>
      </c>
      <c r="M67" s="4">
        <f>+SUM(M56:M66)</f>
        <v>879855</v>
      </c>
      <c r="N67" s="4">
        <f>+SUM(N56:N66)</f>
        <v>856557</v>
      </c>
      <c r="O67" s="4">
        <f>+SUM(O56:O66)</f>
        <v>842702</v>
      </c>
    </row>
  </sheetData>
  <mergeCells count="1">
    <mergeCell ref="AA5:AJ5"/>
  </mergeCells>
  <pageMargins left="0.7" right="0.7" top="0.75" bottom="0.75" header="0.3" footer="0.3"/>
  <ignoredErrors>
    <ignoredError sqref="Y24 Y7 Y8:Y14 Y23 U16:V16 U17:V17 U14:V14 U13:V13 U12:V12 U11:V11 U10:V10 U9:V9 U8:V8 U23:W23 U7:V7 U24:X24 U15:W15 P16:T16 P15:T15 X15 O24:T24 P7:T7 W7:X7 P23:T23 X23 P8:T8 W8:X8 P9:T9 W9:X9 P10:T10 W10:X10 P11:T11 W11:X11 P12:T12 W12:X12 P13:T13 W13:X13 P14:T14 W14:X14 P18:T18 P17:T17 W17:X17 W16:X16 P20:T20 P19:T19 X19 W18:X18 P22:T22 P21:T21 X21 W20:X20 W22 Y15:Y17 N7:N14" formulaRange="1"/>
    <ignoredError sqref="Y18:Y22 U22:V22 U20:V20 U21:W21 U18:V18 U19:W19 X22 N15:N23" formula="1" formulaRange="1"/>
    <ignoredError sqref="J24:N24 J15:M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cmg baseline model</vt:lpstr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2024-02-17T05:32:52Z</dcterms:created>
  <dcterms:modified xsi:type="dcterms:W3CDTF">2024-05-29T02:51:36Z</dcterms:modified>
</cp:coreProperties>
</file>