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jameelbrannon/Library/CloudStorage/Dropbox/Models/"/>
    </mc:Choice>
  </mc:AlternateContent>
  <xr:revisionPtr revIDLastSave="0" documentId="13_ncr:1_{C30D817D-4D15-1E44-AA96-419A3841836E}" xr6:coauthVersionLast="47" xr6:coauthVersionMax="47" xr10:uidLastSave="{00000000-0000-0000-0000-000000000000}"/>
  <bookViews>
    <workbookView xWindow="18180" yWindow="1460" windowWidth="31880" windowHeight="26300" activeTab="1" xr2:uid="{CF88BFFC-1CD0-7E40-88AF-393BDC9444C2}"/>
  </bookViews>
  <sheets>
    <sheet name="Model" sheetId="1" r:id="rId1"/>
    <sheet name="Main" sheetId="2" r:id="rId2"/>
    <sheet name="Charts"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4" i="2" l="1"/>
  <c r="J18" i="2"/>
  <c r="J17" i="2"/>
  <c r="J16" i="2"/>
  <c r="J15" i="2"/>
  <c r="J14" i="2"/>
  <c r="M38" i="1"/>
  <c r="L38" i="1"/>
  <c r="K38" i="1"/>
  <c r="J38" i="1"/>
  <c r="I38" i="1"/>
  <c r="H38" i="1"/>
  <c r="G38" i="1"/>
  <c r="F38" i="1"/>
  <c r="E38" i="1"/>
  <c r="D38" i="1"/>
  <c r="C38" i="1"/>
  <c r="N38" i="1"/>
  <c r="I32" i="1"/>
  <c r="H32" i="1"/>
  <c r="G32" i="1"/>
  <c r="R32" i="1"/>
  <c r="Q32" i="1"/>
  <c r="P32" i="1"/>
  <c r="O32" i="1"/>
  <c r="N32" i="1"/>
  <c r="M32" i="1"/>
  <c r="L32" i="1"/>
  <c r="K32" i="1"/>
  <c r="J32" i="1"/>
  <c r="BA2" i="1"/>
  <c r="BB2" i="1" s="1"/>
  <c r="BC2" i="1" s="1"/>
  <c r="BD2" i="1" s="1"/>
  <c r="BE2" i="1" s="1"/>
  <c r="BF2" i="1" s="1"/>
  <c r="BG2" i="1" s="1"/>
  <c r="BH2" i="1" s="1"/>
  <c r="BI2" i="1" s="1"/>
  <c r="BJ2" i="1" s="1"/>
  <c r="BK2" i="1" s="1"/>
  <c r="BL2" i="1" s="1"/>
  <c r="BM2" i="1" s="1"/>
  <c r="BN2" i="1" s="1"/>
  <c r="BO2" i="1" s="1"/>
  <c r="BP2" i="1" s="1"/>
  <c r="BQ2" i="1" s="1"/>
  <c r="BR2" i="1" s="1"/>
  <c r="BS2" i="1" s="1"/>
  <c r="BT2" i="1" s="1"/>
  <c r="BU2" i="1" s="1"/>
  <c r="BV2" i="1" s="1"/>
  <c r="BW2" i="1" s="1"/>
  <c r="BX2" i="1" s="1"/>
  <c r="BY2" i="1" s="1"/>
  <c r="BZ2" i="1" s="1"/>
  <c r="CA2" i="1" s="1"/>
  <c r="CB2" i="1" s="1"/>
  <c r="CC2" i="1" s="1"/>
  <c r="CD2" i="1" s="1"/>
  <c r="CE2" i="1" s="1"/>
  <c r="CF2" i="1" s="1"/>
  <c r="CG2" i="1" s="1"/>
  <c r="CH2" i="1" s="1"/>
  <c r="CI2" i="1" s="1"/>
  <c r="CJ2" i="1" s="1"/>
  <c r="CK2" i="1" s="1"/>
  <c r="CL2" i="1" s="1"/>
  <c r="CM2" i="1" s="1"/>
  <c r="CN2" i="1" s="1"/>
  <c r="CO2" i="1" s="1"/>
  <c r="CP2" i="1" s="1"/>
  <c r="CQ2" i="1" s="1"/>
  <c r="CR2" i="1" s="1"/>
  <c r="CS2" i="1" s="1"/>
  <c r="CT2" i="1" s="1"/>
  <c r="CU2" i="1" s="1"/>
  <c r="CV2" i="1" s="1"/>
  <c r="CW2" i="1" s="1"/>
  <c r="CX2" i="1" s="1"/>
  <c r="CY2" i="1" s="1"/>
  <c r="CZ2" i="1" s="1"/>
  <c r="DA2" i="1" s="1"/>
  <c r="DB2" i="1" s="1"/>
  <c r="DC2" i="1" s="1"/>
  <c r="DD2" i="1" s="1"/>
  <c r="DE2" i="1" s="1"/>
  <c r="DF2" i="1" s="1"/>
  <c r="DG2" i="1" s="1"/>
  <c r="DH2" i="1" s="1"/>
  <c r="DI2" i="1" s="1"/>
  <c r="DJ2" i="1" s="1"/>
  <c r="DK2" i="1" s="1"/>
  <c r="DL2" i="1" s="1"/>
  <c r="DM2" i="1" s="1"/>
  <c r="DN2" i="1" s="1"/>
  <c r="DO2" i="1" s="1"/>
  <c r="DP2" i="1" s="1"/>
  <c r="DQ2" i="1" s="1"/>
  <c r="DR2" i="1" s="1"/>
  <c r="DS2" i="1" s="1"/>
  <c r="DT2" i="1" s="1"/>
  <c r="DU2" i="1" s="1"/>
  <c r="DV2" i="1" s="1"/>
  <c r="DW2" i="1" s="1"/>
  <c r="DX2" i="1" s="1"/>
  <c r="DY2" i="1" s="1"/>
  <c r="DZ2" i="1" s="1"/>
  <c r="EA2" i="1" s="1"/>
  <c r="EB2" i="1" s="1"/>
  <c r="EC2" i="1" s="1"/>
  <c r="ED2" i="1" s="1"/>
  <c r="EE2" i="1" s="1"/>
  <c r="EF2" i="1" s="1"/>
  <c r="EG2" i="1" s="1"/>
  <c r="EH2" i="1" s="1"/>
  <c r="EI2" i="1" s="1"/>
  <c r="EJ2" i="1" s="1"/>
  <c r="EK2" i="1" s="1"/>
  <c r="EL2" i="1" s="1"/>
  <c r="EM2" i="1" s="1"/>
  <c r="EN2" i="1" s="1"/>
  <c r="EO2" i="1" s="1"/>
  <c r="EP2" i="1" s="1"/>
  <c r="EQ2" i="1" s="1"/>
  <c r="ER2" i="1" s="1"/>
  <c r="ES2" i="1" s="1"/>
  <c r="ET2" i="1" s="1"/>
  <c r="EU2" i="1" s="1"/>
  <c r="EV2" i="1" s="1"/>
  <c r="EW2" i="1" s="1"/>
  <c r="EX2" i="1" s="1"/>
  <c r="EY2" i="1" s="1"/>
  <c r="EZ2" i="1" s="1"/>
  <c r="FA2" i="1" s="1"/>
  <c r="FB2" i="1" s="1"/>
  <c r="FC2" i="1" s="1"/>
  <c r="FD2" i="1" s="1"/>
  <c r="FE2" i="1" s="1"/>
  <c r="FF2" i="1" s="1"/>
  <c r="FG2" i="1" s="1"/>
  <c r="FH2" i="1" s="1"/>
  <c r="FI2" i="1" s="1"/>
  <c r="FJ2" i="1" s="1"/>
  <c r="FK2" i="1" s="1"/>
  <c r="FL2" i="1" s="1"/>
  <c r="FM2" i="1" s="1"/>
  <c r="FN2" i="1" s="1"/>
  <c r="FO2" i="1" s="1"/>
  <c r="FP2" i="1" s="1"/>
  <c r="FQ2" i="1" s="1"/>
  <c r="FR2" i="1" s="1"/>
  <c r="FS2" i="1" s="1"/>
  <c r="FT2" i="1" s="1"/>
  <c r="FU2" i="1" s="1"/>
  <c r="FV2" i="1" s="1"/>
  <c r="FW2" i="1" s="1"/>
  <c r="FX2" i="1" s="1"/>
  <c r="FY2" i="1" s="1"/>
  <c r="FZ2" i="1" s="1"/>
  <c r="GA2" i="1" s="1"/>
  <c r="GB2" i="1" s="1"/>
  <c r="GC2" i="1" s="1"/>
  <c r="GD2" i="1" s="1"/>
  <c r="GE2" i="1" s="1"/>
  <c r="GF2" i="1" s="1"/>
  <c r="GG2" i="1" s="1"/>
  <c r="GH2" i="1" s="1"/>
  <c r="GI2" i="1" s="1"/>
  <c r="GJ2" i="1" s="1"/>
  <c r="GK2" i="1" s="1"/>
  <c r="GL2" i="1" s="1"/>
  <c r="GM2" i="1" s="1"/>
  <c r="GN2" i="1" s="1"/>
  <c r="GO2" i="1" s="1"/>
  <c r="GP2" i="1" s="1"/>
  <c r="GQ2" i="1" s="1"/>
  <c r="GR2" i="1" s="1"/>
  <c r="GS2" i="1" s="1"/>
  <c r="GT2" i="1" s="1"/>
  <c r="GU2" i="1" s="1"/>
  <c r="GV2" i="1" s="1"/>
  <c r="GW2" i="1" s="1"/>
  <c r="GX2" i="1" s="1"/>
  <c r="GY2" i="1" s="1"/>
  <c r="GZ2" i="1" s="1"/>
  <c r="HA2" i="1" s="1"/>
  <c r="HB2" i="1" s="1"/>
  <c r="HC2" i="1" s="1"/>
  <c r="HD2" i="1" s="1"/>
  <c r="HE2" i="1" s="1"/>
  <c r="HF2" i="1" s="1"/>
  <c r="HG2" i="1" s="1"/>
  <c r="HH2" i="1" s="1"/>
  <c r="HI2" i="1" s="1"/>
  <c r="HJ2" i="1" s="1"/>
  <c r="HK2" i="1" s="1"/>
  <c r="HL2" i="1" s="1"/>
  <c r="HM2" i="1" s="1"/>
  <c r="HN2" i="1" s="1"/>
  <c r="HO2" i="1" s="1"/>
  <c r="HP2" i="1" s="1"/>
  <c r="HQ2" i="1" s="1"/>
  <c r="HR2" i="1" s="1"/>
  <c r="HS2" i="1" s="1"/>
  <c r="HT2" i="1" s="1"/>
  <c r="HU2" i="1" s="1"/>
  <c r="HV2" i="1" s="1"/>
  <c r="HW2" i="1" s="1"/>
  <c r="HX2" i="1" s="1"/>
  <c r="HY2" i="1" s="1"/>
  <c r="HZ2" i="1" s="1"/>
  <c r="IA2" i="1" s="1"/>
  <c r="IB2" i="1" s="1"/>
  <c r="IC2" i="1" s="1"/>
  <c r="ID2" i="1" s="1"/>
  <c r="IE2" i="1" s="1"/>
  <c r="IF2" i="1" s="1"/>
  <c r="IG2" i="1" s="1"/>
  <c r="AB78" i="1"/>
  <c r="AB79" i="1" s="1"/>
  <c r="AB77" i="1"/>
  <c r="AB73" i="1"/>
  <c r="AB72" i="1"/>
  <c r="AB67" i="1"/>
  <c r="AB69" i="1" s="1"/>
  <c r="AB58" i="1"/>
  <c r="AB48" i="1"/>
  <c r="AO48" i="1" s="1"/>
  <c r="S85" i="1"/>
  <c r="T84" i="1"/>
  <c r="U84" i="1" s="1"/>
  <c r="V84" i="1" s="1"/>
  <c r="T83" i="1"/>
  <c r="U83" i="1" s="1"/>
  <c r="X84" i="1"/>
  <c r="X83" i="1"/>
  <c r="Y83" i="1" s="1"/>
  <c r="Z83" i="1" s="1"/>
  <c r="W85" i="1"/>
  <c r="AA85" i="1"/>
  <c r="Z78" i="1"/>
  <c r="Z79" i="1" s="1"/>
  <c r="Y78" i="1"/>
  <c r="Y79" i="1" s="1"/>
  <c r="X78" i="1"/>
  <c r="X79" i="1" s="1"/>
  <c r="W78" i="1"/>
  <c r="W79" i="1" s="1"/>
  <c r="V78" i="1"/>
  <c r="V79" i="1" s="1"/>
  <c r="AA78" i="1"/>
  <c r="AA79" i="1" s="1"/>
  <c r="Z77" i="1"/>
  <c r="Y77" i="1"/>
  <c r="X77" i="1"/>
  <c r="W77" i="1"/>
  <c r="V77" i="1"/>
  <c r="AA77" i="1"/>
  <c r="Y84" i="1" l="1"/>
  <c r="Z84" i="1" s="1"/>
  <c r="Z85" i="1" s="1"/>
  <c r="AB74" i="1"/>
  <c r="AB75" i="1" s="1"/>
  <c r="V83" i="1"/>
  <c r="V85" i="1" s="1"/>
  <c r="T85" i="1"/>
  <c r="X85" i="1"/>
  <c r="U85" i="1"/>
  <c r="Y85" i="1" l="1"/>
  <c r="AA88" i="1" s="1"/>
  <c r="Z88" i="1"/>
  <c r="Y88" i="1"/>
  <c r="V88" i="1"/>
  <c r="W88" i="1"/>
  <c r="X88" i="1"/>
  <c r="AA73" i="1"/>
  <c r="Z73" i="1"/>
  <c r="Y73" i="1"/>
  <c r="X73" i="1"/>
  <c r="W73" i="1"/>
  <c r="V73" i="1"/>
  <c r="V74" i="1" s="1"/>
  <c r="V75" i="1" s="1"/>
  <c r="Z72" i="1"/>
  <c r="Y72" i="1"/>
  <c r="X72" i="1"/>
  <c r="W72" i="1"/>
  <c r="V72" i="1"/>
  <c r="AA72" i="1"/>
  <c r="W67" i="1"/>
  <c r="W69" i="1" s="1"/>
  <c r="W58" i="1"/>
  <c r="X67" i="1"/>
  <c r="X69" i="1" s="1"/>
  <c r="X58" i="1"/>
  <c r="V67" i="1"/>
  <c r="V69" i="1" s="1"/>
  <c r="V58" i="1"/>
  <c r="Y67" i="1"/>
  <c r="Y69" i="1" s="1"/>
  <c r="Y58" i="1"/>
  <c r="Y48" i="1"/>
  <c r="X48" i="1"/>
  <c r="W48" i="1"/>
  <c r="V48" i="1"/>
  <c r="Z67" i="1"/>
  <c r="Z69" i="1" s="1"/>
  <c r="Z58" i="1"/>
  <c r="Z48" i="1"/>
  <c r="BB31" i="1"/>
  <c r="BB29" i="1"/>
  <c r="AA48" i="1"/>
  <c r="AA67" i="1"/>
  <c r="AA69" i="1" s="1"/>
  <c r="AA58" i="1"/>
  <c r="AC9" i="1"/>
  <c r="AC8" i="1"/>
  <c r="AC28" i="1" s="1"/>
  <c r="AC10" i="1"/>
  <c r="AC30" i="1" s="1"/>
  <c r="AB30" i="1"/>
  <c r="AC11" i="1"/>
  <c r="AC31" i="1" s="1"/>
  <c r="AC7" i="1"/>
  <c r="AB29" i="1"/>
  <c r="AB31" i="1"/>
  <c r="AA5" i="1"/>
  <c r="AC19" i="1"/>
  <c r="AC23" i="1"/>
  <c r="AD23" i="1" s="1"/>
  <c r="AK36" i="1"/>
  <c r="AK35" i="1"/>
  <c r="AK34" i="1"/>
  <c r="AK33" i="1"/>
  <c r="AK31" i="1"/>
  <c r="AK30" i="1"/>
  <c r="AK29" i="1"/>
  <c r="AK28" i="1"/>
  <c r="AK27" i="1"/>
  <c r="AL36" i="1"/>
  <c r="AL35" i="1"/>
  <c r="AL34" i="1"/>
  <c r="AL33" i="1"/>
  <c r="AL31" i="1"/>
  <c r="AL30" i="1"/>
  <c r="AL29" i="1"/>
  <c r="AL28" i="1"/>
  <c r="AL27" i="1"/>
  <c r="AM31" i="1"/>
  <c r="AM30" i="1"/>
  <c r="AM29" i="1"/>
  <c r="AM28" i="1"/>
  <c r="AM27" i="1"/>
  <c r="AJ12" i="1"/>
  <c r="C18" i="2" s="1"/>
  <c r="AK12" i="1"/>
  <c r="AK15" i="1" s="1"/>
  <c r="AK18" i="1" s="1"/>
  <c r="AK20" i="1" s="1"/>
  <c r="AK22" i="1" s="1"/>
  <c r="AK24" i="1" s="1"/>
  <c r="AN31" i="1"/>
  <c r="AN30" i="1"/>
  <c r="AN29" i="1"/>
  <c r="AN28" i="1"/>
  <c r="AN27" i="1"/>
  <c r="AO31" i="1"/>
  <c r="AO30" i="1"/>
  <c r="AO29" i="1"/>
  <c r="AO28" i="1"/>
  <c r="AO27" i="1"/>
  <c r="AA29" i="1"/>
  <c r="Y29" i="1"/>
  <c r="X29" i="1"/>
  <c r="Z36" i="1"/>
  <c r="Y36" i="1"/>
  <c r="X36" i="1"/>
  <c r="W36" i="1"/>
  <c r="V36" i="1"/>
  <c r="U36" i="1"/>
  <c r="T36" i="1"/>
  <c r="S36" i="1"/>
  <c r="Z35" i="1"/>
  <c r="Y35" i="1"/>
  <c r="X35" i="1"/>
  <c r="W35" i="1"/>
  <c r="V35" i="1"/>
  <c r="U35" i="1"/>
  <c r="T35" i="1"/>
  <c r="S35" i="1"/>
  <c r="Z34" i="1"/>
  <c r="Y34" i="1"/>
  <c r="X34" i="1"/>
  <c r="W34" i="1"/>
  <c r="V34" i="1"/>
  <c r="U34" i="1"/>
  <c r="T34" i="1"/>
  <c r="S34" i="1"/>
  <c r="Z33" i="1"/>
  <c r="Y33" i="1"/>
  <c r="X33" i="1"/>
  <c r="W33" i="1"/>
  <c r="V33" i="1"/>
  <c r="U33" i="1"/>
  <c r="T33" i="1"/>
  <c r="S33" i="1"/>
  <c r="Y31" i="1"/>
  <c r="X31" i="1"/>
  <c r="W31" i="1"/>
  <c r="U31" i="1"/>
  <c r="T31" i="1"/>
  <c r="S31" i="1"/>
  <c r="Y30" i="1"/>
  <c r="X30" i="1"/>
  <c r="W30" i="1"/>
  <c r="U30" i="1"/>
  <c r="T30" i="1"/>
  <c r="S30" i="1"/>
  <c r="W29" i="1"/>
  <c r="U29" i="1"/>
  <c r="T29" i="1"/>
  <c r="S29" i="1"/>
  <c r="Y28" i="1"/>
  <c r="X28" i="1"/>
  <c r="W28" i="1"/>
  <c r="U28" i="1"/>
  <c r="T28" i="1"/>
  <c r="S28" i="1"/>
  <c r="Y27" i="1"/>
  <c r="X27" i="1"/>
  <c r="W27" i="1"/>
  <c r="U27" i="1"/>
  <c r="T27" i="1"/>
  <c r="S27" i="1"/>
  <c r="AA36" i="1"/>
  <c r="AA35" i="1"/>
  <c r="AA34" i="1"/>
  <c r="AA33" i="1"/>
  <c r="AA31" i="1"/>
  <c r="AA30" i="1"/>
  <c r="AA28" i="1"/>
  <c r="AA27" i="1"/>
  <c r="AM21" i="1"/>
  <c r="AM19" i="1"/>
  <c r="AM17" i="1"/>
  <c r="AM36" i="1" s="1"/>
  <c r="AM16" i="1"/>
  <c r="AM35" i="1" s="1"/>
  <c r="AM14" i="1"/>
  <c r="AM34" i="1" s="1"/>
  <c r="AM13" i="1"/>
  <c r="AM33" i="1" s="1"/>
  <c r="AN21" i="1"/>
  <c r="AN19" i="1"/>
  <c r="AN17" i="1"/>
  <c r="AN16" i="1"/>
  <c r="AN14" i="1"/>
  <c r="AN13" i="1"/>
  <c r="AO21" i="1"/>
  <c r="AO19" i="1"/>
  <c r="AO17" i="1"/>
  <c r="AO16" i="1"/>
  <c r="AO14" i="1"/>
  <c r="AO13" i="1"/>
  <c r="AD3" i="1"/>
  <c r="AD2" i="1" s="1"/>
  <c r="AC3" i="1"/>
  <c r="AC2" i="1" s="1"/>
  <c r="AB3" i="1"/>
  <c r="AB2" i="1" s="1"/>
  <c r="R11" i="1"/>
  <c r="R10" i="1"/>
  <c r="R9" i="1"/>
  <c r="R8" i="1"/>
  <c r="R7" i="1"/>
  <c r="AL12" i="1"/>
  <c r="AL38" i="1" s="1"/>
  <c r="V11" i="1"/>
  <c r="V10" i="1"/>
  <c r="V9" i="1"/>
  <c r="V8" i="1"/>
  <c r="V7" i="1"/>
  <c r="Z11" i="1"/>
  <c r="Z10" i="1"/>
  <c r="Z9" i="1"/>
  <c r="AD9" i="1" s="1"/>
  <c r="Z8" i="1"/>
  <c r="AD8" i="1" s="1"/>
  <c r="Z7" i="1"/>
  <c r="AD7" i="1" s="1"/>
  <c r="AM12" i="1"/>
  <c r="F15" i="2" s="1"/>
  <c r="AN12" i="1"/>
  <c r="G18" i="2" s="1"/>
  <c r="AO12" i="1"/>
  <c r="H16" i="2" s="1"/>
  <c r="Y12" i="1"/>
  <c r="X12" i="1"/>
  <c r="W12" i="1"/>
  <c r="U12" i="1"/>
  <c r="U15" i="1" s="1"/>
  <c r="U18" i="1" s="1"/>
  <c r="U20" i="1" s="1"/>
  <c r="U22" i="1" s="1"/>
  <c r="T12" i="1"/>
  <c r="T15" i="1" s="1"/>
  <c r="T18" i="1" s="1"/>
  <c r="T20" i="1" s="1"/>
  <c r="T22" i="1" s="1"/>
  <c r="S12" i="1"/>
  <c r="S38" i="1" s="1"/>
  <c r="Q12" i="1"/>
  <c r="Q15" i="1" s="1"/>
  <c r="Q18" i="1" s="1"/>
  <c r="Q20" i="1" s="1"/>
  <c r="Q22" i="1" s="1"/>
  <c r="Q24" i="1" s="1"/>
  <c r="P12" i="1"/>
  <c r="P15" i="1" s="1"/>
  <c r="P18" i="1" s="1"/>
  <c r="P20" i="1" s="1"/>
  <c r="P22" i="1" s="1"/>
  <c r="P24" i="1" s="1"/>
  <c r="O12" i="1"/>
  <c r="O15" i="1" s="1"/>
  <c r="O18" i="1" s="1"/>
  <c r="O20" i="1" s="1"/>
  <c r="O22" i="1" s="1"/>
  <c r="O24" i="1" s="1"/>
  <c r="AA12" i="1"/>
  <c r="AH4" i="1"/>
  <c r="AI4" i="1" s="1"/>
  <c r="AJ4" i="1" s="1"/>
  <c r="AK4" i="1" s="1"/>
  <c r="AL4" i="1" s="1"/>
  <c r="AM4" i="1" s="1"/>
  <c r="AN4" i="1" s="1"/>
  <c r="AO4" i="1" s="1"/>
  <c r="AP4" i="1" s="1"/>
  <c r="AQ4" i="1" s="1"/>
  <c r="AR4" i="1" s="1"/>
  <c r="AS4" i="1" s="1"/>
  <c r="AT4" i="1" s="1"/>
  <c r="AU4" i="1" s="1"/>
  <c r="AV4" i="1" s="1"/>
  <c r="AW4" i="1" s="1"/>
  <c r="AX4" i="1" s="1"/>
  <c r="AY4" i="1" s="1"/>
  <c r="AZ4" i="1" s="1"/>
  <c r="BA4" i="1" s="1"/>
  <c r="BB4" i="1" s="1"/>
  <c r="BC4" i="1" s="1"/>
  <c r="BD4" i="1" s="1"/>
  <c r="BE4" i="1" s="1"/>
  <c r="BF4" i="1" s="1"/>
  <c r="BG4" i="1" s="1"/>
  <c r="BH4" i="1" s="1"/>
  <c r="BI4" i="1" s="1"/>
  <c r="BJ4" i="1" s="1"/>
  <c r="BK4" i="1" s="1"/>
  <c r="BL4" i="1" s="1"/>
  <c r="BM4" i="1" s="1"/>
  <c r="BN4" i="1" s="1"/>
  <c r="BO4" i="1" s="1"/>
  <c r="BP4" i="1" s="1"/>
  <c r="BQ4" i="1" s="1"/>
  <c r="BR4" i="1" s="1"/>
  <c r="BS4" i="1" s="1"/>
  <c r="BT4" i="1" s="1"/>
  <c r="BU4" i="1" s="1"/>
  <c r="BV4" i="1" s="1"/>
  <c r="BW4" i="1" s="1"/>
  <c r="BX4" i="1" s="1"/>
  <c r="BY4" i="1" s="1"/>
  <c r="BZ4" i="1" s="1"/>
  <c r="CA4" i="1" s="1"/>
  <c r="CB4" i="1" s="1"/>
  <c r="CC4" i="1" s="1"/>
  <c r="CD4" i="1" s="1"/>
  <c r="CE4" i="1" s="1"/>
  <c r="CF4" i="1" s="1"/>
  <c r="CG4" i="1" s="1"/>
  <c r="CH4" i="1" s="1"/>
  <c r="CI4" i="1" s="1"/>
  <c r="CJ4" i="1" s="1"/>
  <c r="CK4" i="1" s="1"/>
  <c r="CL4" i="1" s="1"/>
  <c r="CM4" i="1" s="1"/>
  <c r="CN4" i="1" s="1"/>
  <c r="CO4" i="1" s="1"/>
  <c r="CP4" i="1" s="1"/>
  <c r="CQ4" i="1" s="1"/>
  <c r="CR4" i="1" s="1"/>
  <c r="CS4" i="1" s="1"/>
  <c r="CT4" i="1" s="1"/>
  <c r="CU4" i="1" s="1"/>
  <c r="CV4" i="1" s="1"/>
  <c r="CW4" i="1" s="1"/>
  <c r="CX4" i="1" s="1"/>
  <c r="CY4" i="1" s="1"/>
  <c r="CZ4" i="1" s="1"/>
  <c r="DA4" i="1" s="1"/>
  <c r="DB4" i="1" s="1"/>
  <c r="DC4" i="1" s="1"/>
  <c r="DD4" i="1" s="1"/>
  <c r="DE4" i="1" s="1"/>
  <c r="DF4" i="1" s="1"/>
  <c r="DG4" i="1" s="1"/>
  <c r="DH4" i="1" s="1"/>
  <c r="DI4" i="1" s="1"/>
  <c r="DJ4" i="1" s="1"/>
  <c r="DK4" i="1" s="1"/>
  <c r="DL4" i="1" s="1"/>
  <c r="DM4" i="1" s="1"/>
  <c r="DN4" i="1" s="1"/>
  <c r="DO4" i="1" s="1"/>
  <c r="DP4" i="1" s="1"/>
  <c r="DQ4" i="1" s="1"/>
  <c r="DR4" i="1" s="1"/>
  <c r="DS4" i="1" s="1"/>
  <c r="DT4" i="1" s="1"/>
  <c r="DU4" i="1" s="1"/>
  <c r="DV4" i="1" s="1"/>
  <c r="DW4" i="1" s="1"/>
  <c r="DX4" i="1" s="1"/>
  <c r="DY4" i="1" s="1"/>
  <c r="DZ4" i="1" s="1"/>
  <c r="EA4" i="1" s="1"/>
  <c r="EB4" i="1" s="1"/>
  <c r="EC4" i="1" s="1"/>
  <c r="ED4" i="1" s="1"/>
  <c r="EE4" i="1" s="1"/>
  <c r="EF4" i="1" s="1"/>
  <c r="EG4" i="1" s="1"/>
  <c r="EH4" i="1" s="1"/>
  <c r="EI4" i="1" s="1"/>
  <c r="EJ4" i="1" s="1"/>
  <c r="EK4" i="1" s="1"/>
  <c r="EL4" i="1" s="1"/>
  <c r="EM4" i="1" s="1"/>
  <c r="EN4" i="1" s="1"/>
  <c r="EO4" i="1" s="1"/>
  <c r="EP4" i="1" s="1"/>
  <c r="EQ4" i="1" s="1"/>
  <c r="ER4" i="1" s="1"/>
  <c r="ES4" i="1" s="1"/>
  <c r="ET4" i="1" s="1"/>
  <c r="EU4" i="1" s="1"/>
  <c r="EV4" i="1" s="1"/>
  <c r="EW4" i="1" s="1"/>
  <c r="EX4" i="1" s="1"/>
  <c r="EY4" i="1" s="1"/>
  <c r="EZ4" i="1" s="1"/>
  <c r="FA4" i="1" s="1"/>
  <c r="FB4" i="1" s="1"/>
  <c r="FC4" i="1" s="1"/>
  <c r="FD4" i="1" s="1"/>
  <c r="FE4" i="1" s="1"/>
  <c r="FF4" i="1" s="1"/>
  <c r="FG4" i="1" s="1"/>
  <c r="FH4" i="1" s="1"/>
  <c r="FI4" i="1" s="1"/>
  <c r="FJ4" i="1" s="1"/>
  <c r="FK4" i="1" s="1"/>
  <c r="FL4" i="1" s="1"/>
  <c r="FM4" i="1" s="1"/>
  <c r="FN4" i="1" s="1"/>
  <c r="FO4" i="1" s="1"/>
  <c r="FP4" i="1" s="1"/>
  <c r="FQ4" i="1" s="1"/>
  <c r="FR4" i="1" s="1"/>
  <c r="FS4" i="1" s="1"/>
  <c r="FT4" i="1" s="1"/>
  <c r="FU4" i="1" s="1"/>
  <c r="FV4" i="1" s="1"/>
  <c r="FW4" i="1" s="1"/>
  <c r="FX4" i="1" s="1"/>
  <c r="FY4" i="1" s="1"/>
  <c r="FZ4" i="1" s="1"/>
  <c r="GA4" i="1" s="1"/>
  <c r="GB4" i="1" s="1"/>
  <c r="GC4" i="1" s="1"/>
  <c r="GD4" i="1" s="1"/>
  <c r="GE4" i="1" s="1"/>
  <c r="GF4" i="1" s="1"/>
  <c r="GG4" i="1" s="1"/>
  <c r="GH4" i="1" s="1"/>
  <c r="GI4" i="1" s="1"/>
  <c r="GJ4" i="1" s="1"/>
  <c r="GK4" i="1" s="1"/>
  <c r="GL4" i="1" s="1"/>
  <c r="GM4" i="1" s="1"/>
  <c r="GN4" i="1" s="1"/>
  <c r="GO4" i="1" s="1"/>
  <c r="GP4" i="1" s="1"/>
  <c r="GQ4" i="1" s="1"/>
  <c r="GR4" i="1" s="1"/>
  <c r="GS4" i="1" s="1"/>
  <c r="GT4" i="1" s="1"/>
  <c r="GU4" i="1" s="1"/>
  <c r="GV4" i="1" s="1"/>
  <c r="GW4" i="1" s="1"/>
  <c r="GX4" i="1" s="1"/>
  <c r="GY4" i="1" s="1"/>
  <c r="GZ4" i="1" s="1"/>
  <c r="HA4" i="1" s="1"/>
  <c r="HB4" i="1" s="1"/>
  <c r="HC4" i="1" s="1"/>
  <c r="HD4" i="1" s="1"/>
  <c r="HE4" i="1" s="1"/>
  <c r="HF4" i="1" s="1"/>
  <c r="HG4" i="1" s="1"/>
  <c r="HH4" i="1" s="1"/>
  <c r="HI4" i="1" s="1"/>
  <c r="HJ4" i="1" s="1"/>
  <c r="HK4" i="1" s="1"/>
  <c r="HL4" i="1" s="1"/>
  <c r="HM4" i="1" s="1"/>
  <c r="HN4" i="1" s="1"/>
  <c r="HO4" i="1" s="1"/>
  <c r="HP4" i="1" s="1"/>
  <c r="HQ4" i="1" s="1"/>
  <c r="HR4" i="1" s="1"/>
  <c r="HS4" i="1" s="1"/>
  <c r="HT4" i="1" s="1"/>
  <c r="HU4" i="1" s="1"/>
  <c r="HV4" i="1" s="1"/>
  <c r="HW4" i="1" s="1"/>
  <c r="HX4" i="1" s="1"/>
  <c r="HY4" i="1" s="1"/>
  <c r="HZ4" i="1" s="1"/>
  <c r="IA4" i="1" s="1"/>
  <c r="IB4" i="1" s="1"/>
  <c r="IC4" i="1" s="1"/>
  <c r="ID4" i="1" s="1"/>
  <c r="IE4" i="1" s="1"/>
  <c r="IF4" i="1" s="1"/>
  <c r="IG4" i="1" s="1"/>
  <c r="AA2" i="1"/>
  <c r="Z2" i="1"/>
  <c r="Y2" i="1"/>
  <c r="X2" i="1"/>
  <c r="W2" i="1"/>
  <c r="V2" i="1"/>
  <c r="U2" i="1"/>
  <c r="T2" i="1"/>
  <c r="S2" i="1"/>
  <c r="R2" i="1"/>
  <c r="Q2" i="1"/>
  <c r="P2" i="1"/>
  <c r="O2" i="1"/>
  <c r="I7" i="2"/>
  <c r="I6" i="2"/>
  <c r="I5" i="2"/>
  <c r="I8" i="2" s="1"/>
  <c r="AN43" i="1" l="1"/>
  <c r="AA74" i="1"/>
  <c r="AA75" i="1" s="1"/>
  <c r="X74" i="1"/>
  <c r="X75" i="1" s="1"/>
  <c r="Y74" i="1"/>
  <c r="W74" i="1"/>
  <c r="W75" i="1" s="1"/>
  <c r="Z74" i="1"/>
  <c r="Z75" i="1" s="1"/>
  <c r="T24" i="1"/>
  <c r="T86" i="1"/>
  <c r="U24" i="1"/>
  <c r="U86" i="1"/>
  <c r="AP9" i="1"/>
  <c r="X15" i="1"/>
  <c r="X18" i="1" s="1"/>
  <c r="X20" i="1" s="1"/>
  <c r="X22" i="1" s="1"/>
  <c r="X76" i="1"/>
  <c r="Y15" i="1"/>
  <c r="Y18" i="1" s="1"/>
  <c r="Y20" i="1" s="1"/>
  <c r="Y22" i="1" s="1"/>
  <c r="Y76" i="1"/>
  <c r="Y75" i="1"/>
  <c r="W15" i="1"/>
  <c r="W18" i="1" s="1"/>
  <c r="W20" i="1" s="1"/>
  <c r="W22" i="1" s="1"/>
  <c r="W76" i="1"/>
  <c r="AC27" i="1"/>
  <c r="AP7" i="1"/>
  <c r="AQ7" i="1" s="1"/>
  <c r="AR7" i="1" s="1"/>
  <c r="AS7" i="1" s="1"/>
  <c r="AT7" i="1" s="1"/>
  <c r="AU7" i="1" s="1"/>
  <c r="AV7" i="1" s="1"/>
  <c r="AW7" i="1" s="1"/>
  <c r="AX7" i="1" s="1"/>
  <c r="AY7" i="1" s="1"/>
  <c r="AA15" i="1"/>
  <c r="AA18" i="1" s="1"/>
  <c r="AA20" i="1" s="1"/>
  <c r="AA22" i="1" s="1"/>
  <c r="AA76" i="1"/>
  <c r="AO43" i="1"/>
  <c r="AO44" i="1"/>
  <c r="AN41" i="1"/>
  <c r="AK42" i="1"/>
  <c r="AN42" i="1"/>
  <c r="AL42" i="1"/>
  <c r="AN44" i="1"/>
  <c r="AK44" i="1"/>
  <c r="AO38" i="1"/>
  <c r="AL44" i="1"/>
  <c r="AM41" i="1"/>
  <c r="AM43" i="1"/>
  <c r="AM44" i="1"/>
  <c r="AM42" i="1"/>
  <c r="AK41" i="1"/>
  <c r="AK43" i="1"/>
  <c r="AO41" i="1"/>
  <c r="AO42" i="1"/>
  <c r="AL41" i="1"/>
  <c r="AL43" i="1"/>
  <c r="AN38" i="1"/>
  <c r="AM38" i="1"/>
  <c r="AP19" i="1"/>
  <c r="AJ38" i="1"/>
  <c r="AK39" i="1"/>
  <c r="AK38" i="1"/>
  <c r="U38" i="1"/>
  <c r="AL32" i="1"/>
  <c r="I17" i="2"/>
  <c r="AP8" i="1"/>
  <c r="AQ8" i="1" s="1"/>
  <c r="AR8" i="1" s="1"/>
  <c r="AR28" i="1" s="1"/>
  <c r="G15" i="2"/>
  <c r="I15" i="2"/>
  <c r="V27" i="1"/>
  <c r="AO34" i="1"/>
  <c r="Z30" i="1"/>
  <c r="U39" i="1"/>
  <c r="AB28" i="1"/>
  <c r="V30" i="1"/>
  <c r="AD10" i="1"/>
  <c r="AP10" i="1" s="1"/>
  <c r="AQ10" i="1" s="1"/>
  <c r="AR10" i="1" s="1"/>
  <c r="AS10" i="1" s="1"/>
  <c r="AT10" i="1" s="1"/>
  <c r="AU10" i="1" s="1"/>
  <c r="AV10" i="1" s="1"/>
  <c r="AW10" i="1" s="1"/>
  <c r="AX10" i="1" s="1"/>
  <c r="AY10" i="1" s="1"/>
  <c r="Z31" i="1"/>
  <c r="V31" i="1"/>
  <c r="AD19" i="1"/>
  <c r="G14" i="2"/>
  <c r="AD27" i="1"/>
  <c r="AB27" i="1"/>
  <c r="AC12" i="1"/>
  <c r="AC16" i="1" s="1"/>
  <c r="AC35" i="1" s="1"/>
  <c r="AA38" i="1"/>
  <c r="AD11" i="1"/>
  <c r="AP11" i="1" s="1"/>
  <c r="I18" i="2"/>
  <c r="AN33" i="1"/>
  <c r="F14" i="2"/>
  <c r="T38" i="1"/>
  <c r="AD29" i="1"/>
  <c r="AC29" i="1"/>
  <c r="AD28" i="1"/>
  <c r="AN34" i="1"/>
  <c r="C14" i="2"/>
  <c r="AO36" i="1"/>
  <c r="F17" i="2"/>
  <c r="AO33" i="1"/>
  <c r="AN35" i="1"/>
  <c r="AN36" i="1"/>
  <c r="AO35" i="1"/>
  <c r="F16" i="2"/>
  <c r="G17" i="2"/>
  <c r="D18" i="2"/>
  <c r="E17" i="2"/>
  <c r="H18" i="2"/>
  <c r="AK32" i="1"/>
  <c r="AJ15" i="1"/>
  <c r="AJ18" i="1" s="1"/>
  <c r="AB12" i="1"/>
  <c r="AB76" i="1" s="1"/>
  <c r="E14" i="2"/>
  <c r="H15" i="2"/>
  <c r="O39" i="1"/>
  <c r="H17" i="2"/>
  <c r="P39" i="1"/>
  <c r="Z29" i="1"/>
  <c r="D14" i="2"/>
  <c r="C16" i="2"/>
  <c r="W32" i="1"/>
  <c r="V29" i="1"/>
  <c r="AN32" i="1"/>
  <c r="D15" i="2"/>
  <c r="I14" i="2"/>
  <c r="G16" i="2"/>
  <c r="E18" i="2"/>
  <c r="C17" i="2"/>
  <c r="AL15" i="1"/>
  <c r="AL18" i="1" s="1"/>
  <c r="O38" i="1"/>
  <c r="W38" i="1"/>
  <c r="AO32" i="1"/>
  <c r="E16" i="2"/>
  <c r="C15" i="2"/>
  <c r="V28" i="1"/>
  <c r="H14" i="2"/>
  <c r="AM32" i="1"/>
  <c r="Q39" i="1"/>
  <c r="Z27" i="1"/>
  <c r="D16" i="2"/>
  <c r="E15" i="2"/>
  <c r="F18" i="2"/>
  <c r="P38" i="1"/>
  <c r="X38" i="1"/>
  <c r="Z28" i="1"/>
  <c r="D17" i="2"/>
  <c r="I16" i="2"/>
  <c r="Q38" i="1"/>
  <c r="Y38" i="1"/>
  <c r="T39" i="1"/>
  <c r="S32" i="1"/>
  <c r="T32" i="1"/>
  <c r="U32" i="1"/>
  <c r="AA32" i="1"/>
  <c r="Y32" i="1"/>
  <c r="X32" i="1"/>
  <c r="R12" i="1"/>
  <c r="V12" i="1"/>
  <c r="Z12" i="1"/>
  <c r="Z76" i="1" s="1"/>
  <c r="S15" i="1"/>
  <c r="Y39" i="1" l="1"/>
  <c r="W39" i="1"/>
  <c r="AA39" i="1"/>
  <c r="X24" i="1"/>
  <c r="X86" i="1"/>
  <c r="X39" i="1"/>
  <c r="AA24" i="1"/>
  <c r="AA86" i="1"/>
  <c r="V38" i="1"/>
  <c r="V76" i="1"/>
  <c r="Y24" i="1"/>
  <c r="Y86" i="1"/>
  <c r="W24" i="1"/>
  <c r="W86" i="1"/>
  <c r="AQ9" i="1"/>
  <c r="AR9" i="1" s="1"/>
  <c r="AS9" i="1" s="1"/>
  <c r="AT9" i="1" s="1"/>
  <c r="AU9" i="1" s="1"/>
  <c r="AV9" i="1" s="1"/>
  <c r="AW9" i="1" s="1"/>
  <c r="AX9" i="1" s="1"/>
  <c r="AY9" i="1" s="1"/>
  <c r="AJ20" i="1"/>
  <c r="AJ22" i="1" s="1"/>
  <c r="AJ24" i="1" s="1"/>
  <c r="AJ39" i="1"/>
  <c r="AQ11" i="1"/>
  <c r="AR11" i="1" s="1"/>
  <c r="AS11" i="1" s="1"/>
  <c r="AT11" i="1" s="1"/>
  <c r="AU11" i="1" s="1"/>
  <c r="AV11" i="1" s="1"/>
  <c r="AW11" i="1" s="1"/>
  <c r="AX11" i="1" s="1"/>
  <c r="AY11" i="1" s="1"/>
  <c r="AL20" i="1"/>
  <c r="AL22" i="1" s="1"/>
  <c r="AL24" i="1" s="1"/>
  <c r="AL39" i="1"/>
  <c r="AP28" i="1"/>
  <c r="AQ28" i="1"/>
  <c r="AP27" i="1"/>
  <c r="AS8" i="1"/>
  <c r="AT8" i="1" s="1"/>
  <c r="AD12" i="1"/>
  <c r="AD17" i="1" s="1"/>
  <c r="AD36" i="1" s="1"/>
  <c r="AP30" i="1"/>
  <c r="AD31" i="1"/>
  <c r="AD30" i="1"/>
  <c r="AC17" i="1"/>
  <c r="AC36" i="1" s="1"/>
  <c r="AC32" i="1"/>
  <c r="AQ29" i="1"/>
  <c r="AP29" i="1"/>
  <c r="AP31" i="1"/>
  <c r="AQ27" i="1"/>
  <c r="R15" i="1"/>
  <c r="R18" i="1" s="1"/>
  <c r="AM18" i="1" s="1"/>
  <c r="AM39" i="1" s="1"/>
  <c r="R38" i="1"/>
  <c r="AB32" i="1"/>
  <c r="Z38" i="1"/>
  <c r="V15" i="1"/>
  <c r="V18" i="1" s="1"/>
  <c r="V32" i="1"/>
  <c r="S18" i="1"/>
  <c r="S39" i="1" s="1"/>
  <c r="Z15" i="1"/>
  <c r="Z32" i="1"/>
  <c r="AS29" i="1" l="1"/>
  <c r="AR29" i="1"/>
  <c r="AQ31" i="1"/>
  <c r="AQ12" i="1"/>
  <c r="AS30" i="1"/>
  <c r="AR31" i="1"/>
  <c r="AD16" i="1"/>
  <c r="AD35" i="1" s="1"/>
  <c r="AQ30" i="1"/>
  <c r="AR30" i="1"/>
  <c r="AS28" i="1"/>
  <c r="AS31" i="1"/>
  <c r="AD32" i="1"/>
  <c r="AP12" i="1"/>
  <c r="AR12" i="1"/>
  <c r="AT29" i="1"/>
  <c r="AU8" i="1"/>
  <c r="AT28" i="1"/>
  <c r="AT30" i="1"/>
  <c r="AT31" i="1"/>
  <c r="AB33" i="1"/>
  <c r="AB34" i="1"/>
  <c r="AC13" i="1"/>
  <c r="AM15" i="1"/>
  <c r="AR27" i="1"/>
  <c r="AB35" i="1"/>
  <c r="AB36" i="1"/>
  <c r="AP17" i="1"/>
  <c r="AC14" i="1"/>
  <c r="AB15" i="1"/>
  <c r="AB38" i="1"/>
  <c r="V20" i="1"/>
  <c r="V22" i="1" s="1"/>
  <c r="V39" i="1"/>
  <c r="AN15" i="1"/>
  <c r="R20" i="1"/>
  <c r="R39" i="1"/>
  <c r="Z18" i="1"/>
  <c r="Z39" i="1" s="1"/>
  <c r="AO15" i="1"/>
  <c r="S20" i="1"/>
  <c r="AN18" i="1"/>
  <c r="AN39" i="1" s="1"/>
  <c r="V24" i="1" l="1"/>
  <c r="V86" i="1"/>
  <c r="AR13" i="1"/>
  <c r="AR16" i="1"/>
  <c r="AQ13" i="1"/>
  <c r="AQ41" i="1" s="1"/>
  <c r="AQ16" i="1"/>
  <c r="AP44" i="1"/>
  <c r="AP16" i="1"/>
  <c r="AP43" i="1" s="1"/>
  <c r="AP32" i="1"/>
  <c r="AQ17" i="1"/>
  <c r="AQ32" i="1"/>
  <c r="AS12" i="1"/>
  <c r="AR32" i="1"/>
  <c r="AU31" i="1"/>
  <c r="AU30" i="1"/>
  <c r="AU28" i="1"/>
  <c r="AV8" i="1"/>
  <c r="AU29" i="1"/>
  <c r="AC34" i="1"/>
  <c r="AD14" i="1"/>
  <c r="AD34" i="1" s="1"/>
  <c r="AB18" i="1"/>
  <c r="AB20" i="1" s="1"/>
  <c r="AP36" i="1"/>
  <c r="AC15" i="1"/>
  <c r="AC18" i="1" s="1"/>
  <c r="AC33" i="1"/>
  <c r="AC38" i="1"/>
  <c r="AD13" i="1"/>
  <c r="AS27" i="1"/>
  <c r="R22" i="1"/>
  <c r="AM20" i="1"/>
  <c r="S22" i="1"/>
  <c r="S86" i="1" s="1"/>
  <c r="V89" i="1" s="1"/>
  <c r="V90" i="1" s="1"/>
  <c r="AN20" i="1"/>
  <c r="Z20" i="1"/>
  <c r="AO18" i="1"/>
  <c r="AO39" i="1" s="1"/>
  <c r="Y89" i="1" l="1"/>
  <c r="Y90" i="1" s="1"/>
  <c r="X89" i="1"/>
  <c r="X90" i="1" s="1"/>
  <c r="W89" i="1"/>
  <c r="W90" i="1" s="1"/>
  <c r="AQ35" i="1"/>
  <c r="AS13" i="1"/>
  <c r="AS16" i="1"/>
  <c r="AR17" i="1"/>
  <c r="AS17" i="1" s="1"/>
  <c r="AQ44" i="1"/>
  <c r="AQ43" i="1"/>
  <c r="AP35" i="1"/>
  <c r="AQ36" i="1"/>
  <c r="AB39" i="1"/>
  <c r="AP14" i="1"/>
  <c r="AP42" i="1" s="1"/>
  <c r="AS32" i="1"/>
  <c r="AT12" i="1"/>
  <c r="AV28" i="1"/>
  <c r="AW8" i="1"/>
  <c r="AV30" i="1"/>
  <c r="AV29" i="1"/>
  <c r="AV31" i="1"/>
  <c r="AT27" i="1"/>
  <c r="AD38" i="1"/>
  <c r="AD15" i="1"/>
  <c r="AD33" i="1"/>
  <c r="AC20" i="1"/>
  <c r="AC39" i="1"/>
  <c r="AP13" i="1"/>
  <c r="R24" i="1"/>
  <c r="AM24" i="1" s="1"/>
  <c r="AM22" i="1"/>
  <c r="Z22" i="1"/>
  <c r="Z86" i="1" s="1"/>
  <c r="AO20" i="1"/>
  <c r="S24" i="1"/>
  <c r="AN24" i="1" s="1"/>
  <c r="AN22" i="1"/>
  <c r="Z89" i="1" l="1"/>
  <c r="Z90" i="1" s="1"/>
  <c r="AA89" i="1"/>
  <c r="AA90" i="1" s="1"/>
  <c r="AP41" i="1"/>
  <c r="AP38" i="1"/>
  <c r="AT13" i="1"/>
  <c r="AT16" i="1"/>
  <c r="AS36" i="1"/>
  <c r="AS44" i="1"/>
  <c r="AR35" i="1"/>
  <c r="AR43" i="1"/>
  <c r="AR36" i="1"/>
  <c r="AR44" i="1"/>
  <c r="AQ14" i="1"/>
  <c r="AP34" i="1"/>
  <c r="AQ33" i="1"/>
  <c r="AU12" i="1"/>
  <c r="AT32" i="1"/>
  <c r="AT17" i="1"/>
  <c r="AW29" i="1"/>
  <c r="AW30" i="1"/>
  <c r="AW31" i="1"/>
  <c r="AX8" i="1"/>
  <c r="AW28" i="1"/>
  <c r="AD18" i="1"/>
  <c r="AP15" i="1"/>
  <c r="AU27" i="1"/>
  <c r="AB22" i="1"/>
  <c r="AC21" i="1"/>
  <c r="AC22" i="1" s="1"/>
  <c r="AC24" i="1" s="1"/>
  <c r="AP33" i="1"/>
  <c r="AM23" i="1"/>
  <c r="AN23" i="1"/>
  <c r="Z24" i="1"/>
  <c r="AO24" i="1" s="1"/>
  <c r="AO22" i="1"/>
  <c r="AO23" i="1" l="1"/>
  <c r="AU13" i="1"/>
  <c r="AU16" i="1"/>
  <c r="AQ34" i="1"/>
  <c r="AQ42" i="1"/>
  <c r="AQ15" i="1"/>
  <c r="AQ18" i="1" s="1"/>
  <c r="AQ39" i="1" s="1"/>
  <c r="AR14" i="1"/>
  <c r="AR42" i="1" s="1"/>
  <c r="AS35" i="1"/>
  <c r="AS43" i="1"/>
  <c r="AQ38" i="1"/>
  <c r="AT36" i="1"/>
  <c r="AT44" i="1"/>
  <c r="AR33" i="1"/>
  <c r="AR41" i="1"/>
  <c r="AS41" i="1"/>
  <c r="AS33" i="1"/>
  <c r="AT41" i="1"/>
  <c r="AV12" i="1"/>
  <c r="AU32" i="1"/>
  <c r="AU17" i="1"/>
  <c r="AY31" i="1"/>
  <c r="AX31" i="1"/>
  <c r="AY30" i="1"/>
  <c r="AX30" i="1"/>
  <c r="AY8" i="1"/>
  <c r="AY28" i="1" s="1"/>
  <c r="AX28" i="1"/>
  <c r="AY29" i="1"/>
  <c r="AX29" i="1"/>
  <c r="AV27" i="1"/>
  <c r="AB24" i="1"/>
  <c r="AD20" i="1"/>
  <c r="AD39" i="1"/>
  <c r="AP18" i="1"/>
  <c r="AP39" i="1" s="1"/>
  <c r="AV13" i="1" l="1"/>
  <c r="AV16" i="1"/>
  <c r="AR38" i="1"/>
  <c r="AS14" i="1"/>
  <c r="AT14" i="1" s="1"/>
  <c r="AR15" i="1"/>
  <c r="AR18" i="1" s="1"/>
  <c r="AR39" i="1" s="1"/>
  <c r="AR34" i="1"/>
  <c r="AS38" i="1"/>
  <c r="AS42" i="1"/>
  <c r="AT35" i="1"/>
  <c r="AT43" i="1"/>
  <c r="AU36" i="1"/>
  <c r="AU44" i="1"/>
  <c r="AS15" i="1"/>
  <c r="AS18" i="1" s="1"/>
  <c r="AS39" i="1" s="1"/>
  <c r="AT33" i="1"/>
  <c r="AU41" i="1"/>
  <c r="AS34" i="1"/>
  <c r="AV32" i="1"/>
  <c r="AV17" i="1"/>
  <c r="AW12" i="1"/>
  <c r="AD21" i="1"/>
  <c r="AP20" i="1"/>
  <c r="AW27" i="1"/>
  <c r="AW13" i="1" l="1"/>
  <c r="AW16" i="1"/>
  <c r="AU35" i="1"/>
  <c r="AU43" i="1"/>
  <c r="AV36" i="1"/>
  <c r="AV44" i="1"/>
  <c r="AV35" i="1"/>
  <c r="AV43" i="1"/>
  <c r="AT15" i="1"/>
  <c r="AT18" i="1" s="1"/>
  <c r="AT39" i="1" s="1"/>
  <c r="AT42" i="1"/>
  <c r="AT38" i="1"/>
  <c r="AU33" i="1"/>
  <c r="AV41" i="1"/>
  <c r="AW32" i="1"/>
  <c r="AW17" i="1"/>
  <c r="AT34" i="1"/>
  <c r="AU14" i="1"/>
  <c r="AY12" i="1"/>
  <c r="AX12" i="1"/>
  <c r="AX27" i="1"/>
  <c r="AD22" i="1"/>
  <c r="AP21" i="1"/>
  <c r="AX13" i="1" l="1"/>
  <c r="AX16" i="1"/>
  <c r="AY13" i="1"/>
  <c r="AY16" i="1"/>
  <c r="AW35" i="1"/>
  <c r="AW43" i="1"/>
  <c r="AW36" i="1"/>
  <c r="AW44" i="1"/>
  <c r="AU38" i="1"/>
  <c r="AU42" i="1"/>
  <c r="AW33" i="1"/>
  <c r="AW41" i="1"/>
  <c r="AV33" i="1"/>
  <c r="AU15" i="1"/>
  <c r="AU18" i="1" s="1"/>
  <c r="AU39" i="1" s="1"/>
  <c r="AY27" i="1"/>
  <c r="AU34" i="1"/>
  <c r="AV14" i="1"/>
  <c r="AX32" i="1"/>
  <c r="AX17" i="1"/>
  <c r="AY32" i="1"/>
  <c r="AD24" i="1"/>
  <c r="AP24" i="1" s="1"/>
  <c r="AP22" i="1"/>
  <c r="BB34" i="1" s="1"/>
  <c r="AX35" i="1" l="1"/>
  <c r="AX43" i="1"/>
  <c r="AX36" i="1"/>
  <c r="AX44" i="1"/>
  <c r="AV15" i="1"/>
  <c r="AV18" i="1" s="1"/>
  <c r="AV39" i="1" s="1"/>
  <c r="AV42" i="1"/>
  <c r="AX33" i="1"/>
  <c r="AX41" i="1"/>
  <c r="AY17" i="1"/>
  <c r="AP23" i="1"/>
  <c r="AQ23" i="1" s="1"/>
  <c r="AR23" i="1" s="1"/>
  <c r="AS23" i="1" s="1"/>
  <c r="AT23" i="1" s="1"/>
  <c r="AU23" i="1" s="1"/>
  <c r="AV23" i="1" s="1"/>
  <c r="AW23" i="1" s="1"/>
  <c r="AX23" i="1" s="1"/>
  <c r="AY23" i="1" s="1"/>
  <c r="AP48" i="1"/>
  <c r="AQ19" i="1" s="1"/>
  <c r="AQ20" i="1" s="1"/>
  <c r="AV38" i="1"/>
  <c r="AV34" i="1"/>
  <c r="AW14" i="1"/>
  <c r="AW42" i="1" s="1"/>
  <c r="AY41" i="1"/>
  <c r="AY35" i="1" l="1"/>
  <c r="AY43" i="1"/>
  <c r="AY36" i="1"/>
  <c r="AY44" i="1"/>
  <c r="AQ21" i="1"/>
  <c r="AQ22" i="1" s="1"/>
  <c r="AY33" i="1"/>
  <c r="AW38" i="1"/>
  <c r="AW15" i="1"/>
  <c r="AW18" i="1" s="1"/>
  <c r="AW39" i="1" s="1"/>
  <c r="AW34" i="1"/>
  <c r="AX14" i="1"/>
  <c r="AX42" i="1" s="1"/>
  <c r="AQ24" i="1" l="1"/>
  <c r="AQ48" i="1"/>
  <c r="AX38" i="1"/>
  <c r="AX15" i="1"/>
  <c r="AX18" i="1" s="1"/>
  <c r="AX39" i="1" s="1"/>
  <c r="AX34" i="1"/>
  <c r="AY14" i="1"/>
  <c r="AY42" i="1" s="1"/>
  <c r="AR19" i="1" l="1"/>
  <c r="AR20" i="1" s="1"/>
  <c r="AY15" i="1"/>
  <c r="AY18" i="1" s="1"/>
  <c r="AY39" i="1" s="1"/>
  <c r="AY38" i="1"/>
  <c r="AY34" i="1"/>
  <c r="AR21" i="1" l="1"/>
  <c r="AR22" i="1"/>
  <c r="AR24" i="1" s="1"/>
  <c r="AR48" i="1" l="1"/>
  <c r="AS19" i="1" s="1"/>
  <c r="AS20" i="1" s="1"/>
  <c r="AS21" i="1" s="1"/>
  <c r="AS22" i="1" s="1"/>
  <c r="AS24" i="1" s="1"/>
  <c r="AS48" i="1" l="1"/>
  <c r="AT19" i="1" s="1"/>
  <c r="AT20" i="1" s="1"/>
  <c r="AT21" i="1" s="1"/>
  <c r="AT22" i="1" s="1"/>
  <c r="AT24" i="1" l="1"/>
  <c r="AT48" i="1"/>
  <c r="AU19" i="1" s="1"/>
  <c r="AU20" i="1" l="1"/>
  <c r="AU21" i="1" l="1"/>
  <c r="AU22" i="1" s="1"/>
  <c r="AU24" i="1" l="1"/>
  <c r="AU48" i="1"/>
  <c r="AV19" i="1" s="1"/>
  <c r="AV20" i="1" l="1"/>
  <c r="AV21" i="1" l="1"/>
  <c r="AV22" i="1" s="1"/>
  <c r="AV24" i="1" l="1"/>
  <c r="AV48" i="1"/>
  <c r="AW19" i="1" s="1"/>
  <c r="AW20" i="1" l="1"/>
  <c r="AW21" i="1" l="1"/>
  <c r="AW22" i="1" s="1"/>
  <c r="AW24" i="1" l="1"/>
  <c r="AW48" i="1"/>
  <c r="AX19" i="1" s="1"/>
  <c r="AX20" i="1" l="1"/>
  <c r="AX21" i="1" l="1"/>
  <c r="AX22" i="1" s="1"/>
  <c r="AX24" i="1" l="1"/>
  <c r="AX48" i="1"/>
  <c r="AY19" i="1" s="1"/>
  <c r="AY20" i="1" l="1"/>
  <c r="AY21" i="1" s="1"/>
  <c r="AY22" i="1" s="1"/>
  <c r="AY24" i="1" l="1"/>
  <c r="AZ22" i="1"/>
  <c r="BA22" i="1" s="1"/>
  <c r="BB22" i="1" s="1"/>
  <c r="BC22" i="1" s="1"/>
  <c r="BD22" i="1" s="1"/>
  <c r="BE22" i="1" s="1"/>
  <c r="BF22" i="1" s="1"/>
  <c r="BG22" i="1" s="1"/>
  <c r="BH22" i="1" s="1"/>
  <c r="BI22" i="1" s="1"/>
  <c r="BJ22" i="1" s="1"/>
  <c r="BK22" i="1" s="1"/>
  <c r="BL22" i="1" s="1"/>
  <c r="BM22" i="1" s="1"/>
  <c r="BN22" i="1" s="1"/>
  <c r="BO22" i="1" s="1"/>
  <c r="BP22" i="1" s="1"/>
  <c r="BQ22" i="1" s="1"/>
  <c r="BR22" i="1" s="1"/>
  <c r="BS22" i="1" s="1"/>
  <c r="BT22" i="1" s="1"/>
  <c r="BU22" i="1" s="1"/>
  <c r="BV22" i="1" s="1"/>
  <c r="BW22" i="1" s="1"/>
  <c r="BX22" i="1" s="1"/>
  <c r="BY22" i="1" s="1"/>
  <c r="BZ22" i="1" s="1"/>
  <c r="CA22" i="1" s="1"/>
  <c r="CB22" i="1" s="1"/>
  <c r="CC22" i="1" s="1"/>
  <c r="CD22" i="1" s="1"/>
  <c r="CE22" i="1" s="1"/>
  <c r="CF22" i="1" s="1"/>
  <c r="CG22" i="1" s="1"/>
  <c r="CH22" i="1" s="1"/>
  <c r="CI22" i="1" s="1"/>
  <c r="CJ22" i="1" s="1"/>
  <c r="CK22" i="1" s="1"/>
  <c r="CL22" i="1" s="1"/>
  <c r="CM22" i="1" s="1"/>
  <c r="CN22" i="1" s="1"/>
  <c r="CO22" i="1" s="1"/>
  <c r="CP22" i="1" s="1"/>
  <c r="CQ22" i="1" s="1"/>
  <c r="CR22" i="1" s="1"/>
  <c r="CS22" i="1" s="1"/>
  <c r="CT22" i="1" s="1"/>
  <c r="CU22" i="1" s="1"/>
  <c r="CV22" i="1" s="1"/>
  <c r="CW22" i="1" s="1"/>
  <c r="CX22" i="1" s="1"/>
  <c r="CY22" i="1" s="1"/>
  <c r="CZ22" i="1" s="1"/>
  <c r="DA22" i="1" s="1"/>
  <c r="DB22" i="1" s="1"/>
  <c r="DC22" i="1" s="1"/>
  <c r="DD22" i="1" s="1"/>
  <c r="DE22" i="1" s="1"/>
  <c r="DF22" i="1" s="1"/>
  <c r="DG22" i="1" s="1"/>
  <c r="DH22" i="1" s="1"/>
  <c r="DI22" i="1" s="1"/>
  <c r="DJ22" i="1" s="1"/>
  <c r="DK22" i="1" s="1"/>
  <c r="DL22" i="1" s="1"/>
  <c r="DM22" i="1" s="1"/>
  <c r="DN22" i="1" s="1"/>
  <c r="DO22" i="1" s="1"/>
  <c r="DP22" i="1" s="1"/>
  <c r="DQ22" i="1" s="1"/>
  <c r="DR22" i="1" s="1"/>
  <c r="DS22" i="1" s="1"/>
  <c r="DT22" i="1" s="1"/>
  <c r="DU22" i="1" s="1"/>
  <c r="DV22" i="1" s="1"/>
  <c r="DW22" i="1" s="1"/>
  <c r="DX22" i="1" s="1"/>
  <c r="DY22" i="1" s="1"/>
  <c r="DZ22" i="1" s="1"/>
  <c r="EA22" i="1" s="1"/>
  <c r="EB22" i="1" s="1"/>
  <c r="EC22" i="1" s="1"/>
  <c r="ED22" i="1" s="1"/>
  <c r="EE22" i="1" s="1"/>
  <c r="EF22" i="1" s="1"/>
  <c r="EG22" i="1" s="1"/>
  <c r="EH22" i="1" s="1"/>
  <c r="EI22" i="1" s="1"/>
  <c r="EJ22" i="1" s="1"/>
  <c r="EK22" i="1" s="1"/>
  <c r="EL22" i="1" s="1"/>
  <c r="EM22" i="1" s="1"/>
  <c r="EN22" i="1" s="1"/>
  <c r="EO22" i="1" s="1"/>
  <c r="EP22" i="1" s="1"/>
  <c r="EQ22" i="1" s="1"/>
  <c r="ER22" i="1" s="1"/>
  <c r="ES22" i="1" s="1"/>
  <c r="ET22" i="1" s="1"/>
  <c r="EU22" i="1" s="1"/>
  <c r="EV22" i="1" s="1"/>
  <c r="EW22" i="1" s="1"/>
  <c r="EX22" i="1" s="1"/>
  <c r="EY22" i="1" s="1"/>
  <c r="EZ22" i="1" s="1"/>
  <c r="FA22" i="1" s="1"/>
  <c r="FB22" i="1" s="1"/>
  <c r="FC22" i="1" s="1"/>
  <c r="FD22" i="1" s="1"/>
  <c r="FE22" i="1" s="1"/>
  <c r="FF22" i="1" s="1"/>
  <c r="FG22" i="1" s="1"/>
  <c r="FH22" i="1" s="1"/>
  <c r="FI22" i="1" s="1"/>
  <c r="FJ22" i="1" s="1"/>
  <c r="FK22" i="1" s="1"/>
  <c r="FL22" i="1" s="1"/>
  <c r="FM22" i="1" s="1"/>
  <c r="FN22" i="1" s="1"/>
  <c r="FO22" i="1" s="1"/>
  <c r="FP22" i="1" s="1"/>
  <c r="FQ22" i="1" s="1"/>
  <c r="FR22" i="1" s="1"/>
  <c r="AY48" i="1"/>
  <c r="FS22" i="1" l="1"/>
  <c r="FT22" i="1" s="1"/>
  <c r="FU22" i="1" s="1"/>
  <c r="FV22" i="1" s="1"/>
  <c r="FW22" i="1" s="1"/>
  <c r="FX22" i="1" s="1"/>
  <c r="FY22" i="1" s="1"/>
  <c r="FZ22" i="1" s="1"/>
  <c r="GA22" i="1" s="1"/>
  <c r="GB22" i="1" s="1"/>
  <c r="GC22" i="1" s="1"/>
  <c r="GD22" i="1" s="1"/>
  <c r="GE22" i="1" s="1"/>
  <c r="GF22" i="1" s="1"/>
  <c r="GG22" i="1" s="1"/>
  <c r="GH22" i="1" s="1"/>
  <c r="GI22" i="1" s="1"/>
  <c r="GJ22" i="1" s="1"/>
  <c r="GK22" i="1" s="1"/>
  <c r="GL22" i="1" s="1"/>
  <c r="GM22" i="1" s="1"/>
  <c r="GN22" i="1" s="1"/>
  <c r="GO22" i="1" s="1"/>
  <c r="GP22" i="1" s="1"/>
  <c r="GQ22" i="1" s="1"/>
  <c r="GR22" i="1" s="1"/>
  <c r="GS22" i="1" s="1"/>
  <c r="GT22" i="1" s="1"/>
  <c r="GU22" i="1" s="1"/>
  <c r="GV22" i="1" s="1"/>
  <c r="GW22" i="1" s="1"/>
  <c r="GX22" i="1" s="1"/>
  <c r="GY22" i="1" s="1"/>
  <c r="GZ22" i="1" s="1"/>
  <c r="HA22" i="1" s="1"/>
  <c r="HB22" i="1" s="1"/>
  <c r="HC22" i="1" s="1"/>
  <c r="HD22" i="1" s="1"/>
  <c r="HE22" i="1" s="1"/>
  <c r="HF22" i="1" s="1"/>
  <c r="HG22" i="1" s="1"/>
  <c r="HH22" i="1" s="1"/>
  <c r="HI22" i="1" s="1"/>
  <c r="HJ22" i="1" s="1"/>
  <c r="HK22" i="1" s="1"/>
  <c r="HL22" i="1" s="1"/>
  <c r="HM22" i="1" s="1"/>
  <c r="HN22" i="1" s="1"/>
  <c r="HO22" i="1" s="1"/>
  <c r="HP22" i="1" s="1"/>
  <c r="HQ22" i="1" s="1"/>
  <c r="HR22" i="1" s="1"/>
  <c r="HS22" i="1" s="1"/>
  <c r="HT22" i="1" s="1"/>
  <c r="HU22" i="1" s="1"/>
  <c r="HV22" i="1" s="1"/>
  <c r="HW22" i="1" s="1"/>
  <c r="HX22" i="1" s="1"/>
  <c r="HY22" i="1" s="1"/>
  <c r="HZ22" i="1" s="1"/>
  <c r="IA22" i="1" s="1"/>
  <c r="IB22" i="1" s="1"/>
  <c r="IC22" i="1" s="1"/>
  <c r="ID22" i="1" s="1"/>
  <c r="IE22" i="1" s="1"/>
  <c r="IF22" i="1" s="1"/>
  <c r="IG22" i="1" s="1"/>
  <c r="BB28" i="1" s="1"/>
  <c r="BB30" i="1" s="1"/>
  <c r="BB3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tc={085F0C90-D928-D04A-980F-C4D5863A7567}</author>
    <author>jameel</author>
  </authors>
  <commentList>
    <comment ref="AB7" authorId="0" shapeId="0" xr:uid="{085F0C90-D928-D04A-980F-C4D5863A7567}">
      <text>
        <r>
          <rPr>
            <sz val="10"/>
            <color theme="1"/>
            <rFont val="ArialMT"/>
            <family val="2"/>
          </rPr>
          <t>[Threaded comment]
Your version of Excel allows you to read this threaded comment; however, any edits to it will get removed if the file is opened in a newer version of Excel. Learn more: https://go.microsoft.com/fwlink/?linkid=870924
Comment:
    guidance</t>
        </r>
      </text>
    </comment>
    <comment ref="B76" authorId="1" shapeId="0" xr:uid="{1F999596-3B6B-5B49-9FE4-2BE3A5855EDC}">
      <text>
        <r>
          <rPr>
            <b/>
            <sz val="10"/>
            <color rgb="FF000000"/>
            <rFont val="Tahoma"/>
            <family val="2"/>
          </rPr>
          <t>jameel:</t>
        </r>
        <r>
          <rPr>
            <sz val="10"/>
            <color rgb="FF000000"/>
            <rFont val="Tahoma"/>
            <family val="2"/>
          </rPr>
          <t xml:space="preserve">
</t>
        </r>
        <r>
          <rPr>
            <sz val="10"/>
            <color rgb="FF000000"/>
            <rFont val="Tahoma"/>
            <family val="2"/>
          </rPr>
          <t>how long it takes company to collect payment after sale</t>
        </r>
      </text>
    </comment>
    <comment ref="B78" authorId="1" shapeId="0" xr:uid="{3711B1B1-9FD3-B24E-9071-7C134291A8FA}">
      <text>
        <r>
          <rPr>
            <b/>
            <sz val="10"/>
            <color rgb="FF000000"/>
            <rFont val="Tahoma"/>
            <family val="2"/>
          </rPr>
          <t>jameel:</t>
        </r>
        <r>
          <rPr>
            <sz val="10"/>
            <color rgb="FF000000"/>
            <rFont val="Tahoma"/>
            <family val="2"/>
          </rPr>
          <t xml:space="preserve">
</t>
        </r>
        <r>
          <rPr>
            <sz val="10"/>
            <color rgb="FF000000"/>
            <rFont val="Tahoma"/>
            <family val="2"/>
          </rPr>
          <t>how many times AAPL turned(sold) all of its inventory</t>
        </r>
      </text>
    </comment>
    <comment ref="B79" authorId="1" shapeId="0" xr:uid="{B88B9247-6BBE-EE4B-A6A6-38B1FEBC0456}">
      <text>
        <r>
          <rPr>
            <b/>
            <sz val="10"/>
            <color rgb="FF000000"/>
            <rFont val="Tahoma"/>
            <family val="2"/>
          </rPr>
          <t>jameel:</t>
        </r>
        <r>
          <rPr>
            <sz val="10"/>
            <color rgb="FF000000"/>
            <rFont val="Tahoma"/>
            <family val="2"/>
          </rPr>
          <t xml:space="preserve">
</t>
        </r>
        <r>
          <rPr>
            <sz val="10"/>
            <color rgb="FF000000"/>
            <rFont val="Tahoma"/>
            <family val="2"/>
          </rPr>
          <t>Numer of days it takes to sell through inventory on average</t>
        </r>
      </text>
    </comment>
  </commentList>
</comments>
</file>

<file path=xl/sharedStrings.xml><?xml version="1.0" encoding="utf-8"?>
<sst xmlns="http://schemas.openxmlformats.org/spreadsheetml/2006/main" count="134" uniqueCount="103">
  <si>
    <t>Q120</t>
  </si>
  <si>
    <t>Q220</t>
  </si>
  <si>
    <t>Q320</t>
  </si>
  <si>
    <t>Q420</t>
  </si>
  <si>
    <t>Q121</t>
  </si>
  <si>
    <t>Q221</t>
  </si>
  <si>
    <t>Q321</t>
  </si>
  <si>
    <t>Q421</t>
  </si>
  <si>
    <t>Q122</t>
  </si>
  <si>
    <t>Q222</t>
  </si>
  <si>
    <t>Q322</t>
  </si>
  <si>
    <t>Q422</t>
  </si>
  <si>
    <t>Q123</t>
  </si>
  <si>
    <t>Q223</t>
  </si>
  <si>
    <t>Q323</t>
  </si>
  <si>
    <t>Q423</t>
  </si>
  <si>
    <t>Price</t>
  </si>
  <si>
    <t>Shares</t>
  </si>
  <si>
    <t>MC</t>
  </si>
  <si>
    <t>Cash</t>
  </si>
  <si>
    <t>Debt</t>
  </si>
  <si>
    <t>EV</t>
  </si>
  <si>
    <t>Q124</t>
  </si>
  <si>
    <t>Founded</t>
  </si>
  <si>
    <t>Founders</t>
  </si>
  <si>
    <t>Years alive</t>
  </si>
  <si>
    <t>Steve Jobs</t>
  </si>
  <si>
    <t>Steve Wozniak</t>
  </si>
  <si>
    <t>Ronald Wayne</t>
  </si>
  <si>
    <t>Products</t>
  </si>
  <si>
    <t>Services</t>
  </si>
  <si>
    <t>Net Sales</t>
  </si>
  <si>
    <t xml:space="preserve">Gross Profit </t>
  </si>
  <si>
    <t>R&amp;D</t>
  </si>
  <si>
    <t>SG&amp;A</t>
  </si>
  <si>
    <t>EBT</t>
  </si>
  <si>
    <t>EBIT</t>
  </si>
  <si>
    <t>Other income</t>
  </si>
  <si>
    <t>Taxes</t>
  </si>
  <si>
    <t>Net Income</t>
  </si>
  <si>
    <t>Growth Y/Y</t>
  </si>
  <si>
    <t>Eps</t>
  </si>
  <si>
    <t>iPhone</t>
  </si>
  <si>
    <t>Mac</t>
  </si>
  <si>
    <t>iPad</t>
  </si>
  <si>
    <t>Wearables/Home</t>
  </si>
  <si>
    <t>Q224</t>
  </si>
  <si>
    <t>Q324</t>
  </si>
  <si>
    <t>Q424</t>
  </si>
  <si>
    <t>iMac</t>
  </si>
  <si>
    <t>$M</t>
  </si>
  <si>
    <t>Margins</t>
  </si>
  <si>
    <t>GM</t>
  </si>
  <si>
    <t>OM</t>
  </si>
  <si>
    <t>Active devices</t>
  </si>
  <si>
    <t xml:space="preserve">Cash </t>
  </si>
  <si>
    <t>Securities</t>
  </si>
  <si>
    <t>A/R</t>
  </si>
  <si>
    <t>Vendor recievables</t>
  </si>
  <si>
    <t>Inventories</t>
  </si>
  <si>
    <t>OCA</t>
  </si>
  <si>
    <t>PPE</t>
  </si>
  <si>
    <t xml:space="preserve">Total Assets </t>
  </si>
  <si>
    <t>Total Liabilities</t>
  </si>
  <si>
    <t>A/P</t>
  </si>
  <si>
    <t>OCL</t>
  </si>
  <si>
    <t>Deferred revenue</t>
  </si>
  <si>
    <t>Commercial paper</t>
  </si>
  <si>
    <t>Term Debt (short)</t>
  </si>
  <si>
    <t>Term Debt (long)</t>
  </si>
  <si>
    <t>ONCL</t>
  </si>
  <si>
    <t>Equity</t>
  </si>
  <si>
    <t>Total Liabilities + Equity</t>
  </si>
  <si>
    <t xml:space="preserve">Net Cash </t>
  </si>
  <si>
    <t>ROIC</t>
  </si>
  <si>
    <t xml:space="preserve">Terminal </t>
  </si>
  <si>
    <t>Discount</t>
  </si>
  <si>
    <t>NPV</t>
  </si>
  <si>
    <t>Estimate</t>
  </si>
  <si>
    <t>Current</t>
  </si>
  <si>
    <t>Upside</t>
  </si>
  <si>
    <t>Total Debt</t>
  </si>
  <si>
    <t xml:space="preserve">Net cash </t>
  </si>
  <si>
    <t>Net cash Per Share</t>
  </si>
  <si>
    <t>Inventory Turnover</t>
  </si>
  <si>
    <t>DSO</t>
  </si>
  <si>
    <t>DPO</t>
  </si>
  <si>
    <t>Days Inventory</t>
  </si>
  <si>
    <t>CFFO</t>
  </si>
  <si>
    <t>Capex</t>
  </si>
  <si>
    <t xml:space="preserve">Free Cash Flow </t>
  </si>
  <si>
    <t>4Q FCF</t>
  </si>
  <si>
    <t>4Q NI</t>
  </si>
  <si>
    <t>EV/24E</t>
  </si>
  <si>
    <t xml:space="preserve">  </t>
  </si>
  <si>
    <t>Q419</t>
  </si>
  <si>
    <t>Q318</t>
  </si>
  <si>
    <t>Q218</t>
  </si>
  <si>
    <t>Q319</t>
  </si>
  <si>
    <t>Q219</t>
  </si>
  <si>
    <t>Q119</t>
  </si>
  <si>
    <t>Q418</t>
  </si>
  <si>
    <t>Q118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</si>
</sst>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m/d;@"/>
    <numFmt numFmtId="165" formatCode="0.0%"/>
    <numFmt numFmtId="166" formatCode="#,##0.0"/>
    <numFmt numFmtId="167" formatCode="0.0"/>
    <numFmt numFmtId="168" formatCode="0\x"/>
  </numFmts>
  <fonts count="9">
    <font>
      <sz val="10"/>
      <color theme="1"/>
      <name val="ArialMT"/>
      <family val="2"/>
    </font>
    <font>
      <b/>
      <sz val="10"/>
      <color theme="1"/>
      <name val="ArialMT"/>
    </font>
    <font>
      <b/>
      <u/>
      <sz val="10"/>
      <color theme="1"/>
      <name val="ArialMT"/>
    </font>
    <font>
      <u/>
      <sz val="10"/>
      <color theme="10"/>
      <name val="ArialMT"/>
      <family val="2"/>
    </font>
    <font>
      <sz val="10"/>
      <color theme="1"/>
      <name val="ArialMT"/>
    </font>
    <font>
      <u/>
      <sz val="10"/>
      <color theme="1"/>
      <name val="ArialMT"/>
      <family val="2"/>
    </font>
    <font>
      <sz val="10"/>
      <color rgb="FF000000"/>
      <name val="Tahoma"/>
      <family val="2"/>
    </font>
    <font>
      <b/>
      <sz val="10"/>
      <color rgb="FF000000"/>
      <name val="Tahoma"/>
      <family val="2"/>
    </font>
    <font>
      <b/>
      <sz val="10"/>
      <color rgb="FF7030A0"/>
      <name val="ArialMT"/>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5">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3" fontId="0" fillId="0" borderId="0" xfId="0" applyNumberFormat="1"/>
    <xf numFmtId="1" fontId="0" fillId="0" borderId="0" xfId="0" applyNumberFormat="1"/>
    <xf numFmtId="14" fontId="0" fillId="0" borderId="0" xfId="0" applyNumberFormat="1"/>
    <xf numFmtId="9" fontId="0" fillId="0" borderId="0" xfId="0" applyNumberFormat="1"/>
    <xf numFmtId="3" fontId="1" fillId="0" borderId="0" xfId="0" applyNumberFormat="1" applyFont="1"/>
    <xf numFmtId="3" fontId="2" fillId="0" borderId="0" xfId="0" applyNumberFormat="1" applyFont="1"/>
    <xf numFmtId="164" fontId="0" fillId="0" borderId="0" xfId="0" applyNumberFormat="1" applyAlignment="1">
      <alignment horizontal="center"/>
    </xf>
    <xf numFmtId="1" fontId="4" fillId="0" borderId="0" xfId="1" applyNumberFormat="1" applyFont="1"/>
    <xf numFmtId="1" fontId="0" fillId="0" borderId="0" xfId="0" applyNumberFormat="1" applyAlignment="1">
      <alignment horizontal="center"/>
    </xf>
    <xf numFmtId="0" fontId="0" fillId="2" borderId="0" xfId="0" applyFill="1"/>
    <xf numFmtId="2" fontId="0" fillId="0" borderId="0" xfId="0" applyNumberFormat="1"/>
    <xf numFmtId="3" fontId="0" fillId="0" borderId="1" xfId="0" applyNumberFormat="1" applyBorder="1"/>
    <xf numFmtId="3" fontId="0" fillId="0" borderId="3" xfId="0" applyNumberFormat="1" applyBorder="1"/>
    <xf numFmtId="3" fontId="0" fillId="0" borderId="6" xfId="0" applyNumberFormat="1" applyBorder="1"/>
    <xf numFmtId="1" fontId="0" fillId="0" borderId="7" xfId="0" applyNumberFormat="1" applyBorder="1"/>
    <xf numFmtId="1" fontId="0" fillId="0" borderId="7" xfId="0" applyNumberFormat="1" applyBorder="1" applyAlignment="1">
      <alignment horizontal="center"/>
    </xf>
    <xf numFmtId="3" fontId="0" fillId="0" borderId="8" xfId="0" applyNumberFormat="1" applyBorder="1" applyAlignment="1">
      <alignment horizontal="center"/>
    </xf>
    <xf numFmtId="9" fontId="0" fillId="0" borderId="2" xfId="0" applyNumberFormat="1" applyBorder="1"/>
    <xf numFmtId="9" fontId="0" fillId="0" borderId="4" xfId="0" applyNumberFormat="1" applyBorder="1"/>
    <xf numFmtId="9" fontId="0" fillId="0" borderId="5" xfId="0" applyNumberFormat="1" applyBorder="1"/>
    <xf numFmtId="3" fontId="5" fillId="0" borderId="0" xfId="0" applyNumberFormat="1" applyFont="1"/>
    <xf numFmtId="165" fontId="0" fillId="0" borderId="0" xfId="0" applyNumberFormat="1"/>
    <xf numFmtId="166" fontId="0" fillId="0" borderId="0" xfId="0" applyNumberFormat="1"/>
    <xf numFmtId="167" fontId="0" fillId="0" borderId="0" xfId="0" applyNumberFormat="1"/>
    <xf numFmtId="3" fontId="0" fillId="0" borderId="0" xfId="0" applyNumberFormat="1" applyAlignment="1">
      <alignment horizontal="left"/>
    </xf>
    <xf numFmtId="3" fontId="0" fillId="0" borderId="0" xfId="0" applyNumberFormat="1" applyAlignment="1">
      <alignment horizontal="center"/>
    </xf>
    <xf numFmtId="3" fontId="8" fillId="0" borderId="0" xfId="0" applyNumberFormat="1" applyFont="1"/>
    <xf numFmtId="3" fontId="0" fillId="0" borderId="9" xfId="0" applyNumberFormat="1" applyBorder="1"/>
    <xf numFmtId="9" fontId="0" fillId="0" borderId="10" xfId="0" applyNumberFormat="1" applyBorder="1"/>
    <xf numFmtId="9" fontId="0" fillId="0" borderId="11" xfId="0" applyNumberFormat="1" applyBorder="1"/>
    <xf numFmtId="3" fontId="0" fillId="0" borderId="12" xfId="0" applyNumberFormat="1" applyBorder="1"/>
    <xf numFmtId="9" fontId="0" fillId="0" borderId="13" xfId="0" applyNumberFormat="1" applyBorder="1"/>
    <xf numFmtId="9" fontId="0" fillId="0" borderId="1" xfId="0" applyNumberFormat="1" applyBorder="1"/>
    <xf numFmtId="8" fontId="0" fillId="0" borderId="2" xfId="0" applyNumberFormat="1" applyBorder="1"/>
    <xf numFmtId="3" fontId="0" fillId="0" borderId="2" xfId="0" applyNumberFormat="1" applyBorder="1"/>
    <xf numFmtId="9" fontId="1" fillId="0" borderId="2" xfId="0" applyNumberFormat="1" applyFont="1" applyBorder="1"/>
    <xf numFmtId="168" fontId="0" fillId="0" borderId="5" xfId="0" applyNumberFormat="1" applyBorder="1"/>
    <xf numFmtId="3" fontId="0" fillId="0" borderId="14" xfId="0" applyNumberFormat="1" applyBorder="1"/>
    <xf numFmtId="3" fontId="0" fillId="0" borderId="13" xfId="0" applyNumberFormat="1" applyBorder="1"/>
    <xf numFmtId="3" fontId="0" fillId="0" borderId="0" xfId="0" applyNumberFormat="1" applyBorder="1"/>
    <xf numFmtId="3" fontId="0" fillId="0" borderId="4" xfId="0" applyNumberFormat="1" applyBorder="1"/>
    <xf numFmtId="3" fontId="0" fillId="0" borderId="5" xfId="0" applyNumberFormat="1" applyBorder="1"/>
    <xf numFmtId="9" fontId="0" fillId="3" borderId="0" xfId="0" applyNumberFormat="1" applyFill="1"/>
    <xf numFmtId="3" fontId="1" fillId="3" borderId="0" xfId="0" applyNumberFormat="1" applyFont="1" applyFill="1"/>
    <xf numFmtId="0" fontId="1" fillId="3" borderId="0" xfId="1" applyFont="1" applyFill="1"/>
  </cellXfs>
  <cellStyles count="2">
    <cellStyle name="Hyperlink" xfId="1" builtinId="8"/>
    <cellStyle name="Normal" xfId="0" builtinId="0"/>
  </cellStyles>
  <dxfs count="0"/>
  <tableStyles count="0" defaultTableStyle="TableStyleMedium2" defaultPivotStyle="PivotStyleLight16"/>
  <colors>
    <mruColors>
      <color rgb="FFEB3C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Model!$B$7</c:f>
              <c:strCache>
                <c:ptCount val="1"/>
                <c:pt idx="0">
                  <c:v>iPhone</c:v>
                </c:pt>
              </c:strCache>
            </c:strRef>
          </c:tx>
          <c:spPr>
            <a:ln w="28575" cap="rnd">
              <a:solidFill>
                <a:schemeClr val="accent1"/>
              </a:solidFill>
              <a:round/>
            </a:ln>
            <a:effectLst/>
          </c:spPr>
          <c:marker>
            <c:symbol val="none"/>
          </c:marker>
          <c:cat>
            <c:strRef>
              <c:f>Model!$K$4:$AB$4</c:f>
              <c:strCache>
                <c:ptCount val="18"/>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pt idx="17">
                  <c:v>Q224</c:v>
                </c:pt>
              </c:strCache>
            </c:strRef>
          </c:cat>
          <c:val>
            <c:numRef>
              <c:f>Model!$K$7:$AB$7</c:f>
              <c:numCache>
                <c:formatCode>#,##0</c:formatCode>
                <c:ptCount val="18"/>
                <c:pt idx="4">
                  <c:v>65957</c:v>
                </c:pt>
                <c:pt idx="5">
                  <c:v>47938</c:v>
                </c:pt>
                <c:pt idx="6">
                  <c:v>39570</c:v>
                </c:pt>
                <c:pt idx="7">
                  <c:v>38508</c:v>
                </c:pt>
                <c:pt idx="8">
                  <c:v>71628</c:v>
                </c:pt>
                <c:pt idx="9">
                  <c:v>50570</c:v>
                </c:pt>
                <c:pt idx="10">
                  <c:v>40665</c:v>
                </c:pt>
                <c:pt idx="11">
                  <c:v>42626</c:v>
                </c:pt>
                <c:pt idx="12">
                  <c:v>65775</c:v>
                </c:pt>
                <c:pt idx="13">
                  <c:v>51334</c:v>
                </c:pt>
                <c:pt idx="14">
                  <c:v>39669</c:v>
                </c:pt>
                <c:pt idx="15">
                  <c:v>43805</c:v>
                </c:pt>
                <c:pt idx="16">
                  <c:v>69702</c:v>
                </c:pt>
                <c:pt idx="17">
                  <c:v>45963</c:v>
                </c:pt>
              </c:numCache>
            </c:numRef>
          </c:val>
          <c:smooth val="0"/>
          <c:extLst>
            <c:ext xmlns:c16="http://schemas.microsoft.com/office/drawing/2014/chart" uri="{C3380CC4-5D6E-409C-BE32-E72D297353CC}">
              <c16:uniqueId val="{00000000-7AE2-5F4A-9CE4-EA71BD1C395B}"/>
            </c:ext>
          </c:extLst>
        </c:ser>
        <c:dLbls>
          <c:showLegendKey val="0"/>
          <c:showVal val="0"/>
          <c:showCatName val="0"/>
          <c:showSerName val="0"/>
          <c:showPercent val="0"/>
          <c:showBubbleSize val="0"/>
        </c:dLbls>
        <c:smooth val="0"/>
        <c:axId val="2092704991"/>
        <c:axId val="2092770767"/>
      </c:lineChart>
      <c:catAx>
        <c:axId val="209270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2770767"/>
        <c:crosses val="autoZero"/>
        <c:auto val="1"/>
        <c:lblAlgn val="ctr"/>
        <c:lblOffset val="100"/>
        <c:noMultiLvlLbl val="0"/>
      </c:catAx>
      <c:valAx>
        <c:axId val="20927707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270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Model!$B$8</c:f>
              <c:strCache>
                <c:ptCount val="1"/>
                <c:pt idx="0">
                  <c:v>Mac</c:v>
                </c:pt>
              </c:strCache>
            </c:strRef>
          </c:tx>
          <c:spPr>
            <a:ln w="28575" cap="rnd">
              <a:solidFill>
                <a:schemeClr val="accent1"/>
              </a:solidFill>
              <a:round/>
            </a:ln>
            <a:effectLst/>
          </c:spPr>
          <c:marker>
            <c:symbol val="none"/>
          </c:marker>
          <c:cat>
            <c:strRef>
              <c:f>Model!$K$4:$AB$4</c:f>
              <c:strCache>
                <c:ptCount val="18"/>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pt idx="17">
                  <c:v>Q224</c:v>
                </c:pt>
              </c:strCache>
            </c:strRef>
          </c:cat>
          <c:val>
            <c:numRef>
              <c:f>Model!$K$8:$AB$8</c:f>
              <c:numCache>
                <c:formatCode>#,##0</c:formatCode>
                <c:ptCount val="18"/>
                <c:pt idx="4">
                  <c:v>8675</c:v>
                </c:pt>
                <c:pt idx="5">
                  <c:v>9102</c:v>
                </c:pt>
                <c:pt idx="6">
                  <c:v>8235</c:v>
                </c:pt>
                <c:pt idx="7">
                  <c:v>9178</c:v>
                </c:pt>
                <c:pt idx="8">
                  <c:v>10852</c:v>
                </c:pt>
                <c:pt idx="9">
                  <c:v>10435</c:v>
                </c:pt>
                <c:pt idx="10">
                  <c:v>7382</c:v>
                </c:pt>
                <c:pt idx="11">
                  <c:v>11508</c:v>
                </c:pt>
                <c:pt idx="12">
                  <c:v>7735</c:v>
                </c:pt>
                <c:pt idx="13">
                  <c:v>7168</c:v>
                </c:pt>
                <c:pt idx="14">
                  <c:v>6840</c:v>
                </c:pt>
                <c:pt idx="15">
                  <c:v>7614</c:v>
                </c:pt>
                <c:pt idx="16">
                  <c:v>7780</c:v>
                </c:pt>
                <c:pt idx="17">
                  <c:v>7451</c:v>
                </c:pt>
              </c:numCache>
            </c:numRef>
          </c:val>
          <c:smooth val="0"/>
          <c:extLst>
            <c:ext xmlns:c16="http://schemas.microsoft.com/office/drawing/2014/chart" uri="{C3380CC4-5D6E-409C-BE32-E72D297353CC}">
              <c16:uniqueId val="{00000000-EE03-A447-B012-3439C8E0CB3E}"/>
            </c:ext>
          </c:extLst>
        </c:ser>
        <c:dLbls>
          <c:showLegendKey val="0"/>
          <c:showVal val="0"/>
          <c:showCatName val="0"/>
          <c:showSerName val="0"/>
          <c:showPercent val="0"/>
          <c:showBubbleSize val="0"/>
        </c:dLbls>
        <c:smooth val="0"/>
        <c:axId val="2092704991"/>
        <c:axId val="2092770767"/>
      </c:lineChart>
      <c:catAx>
        <c:axId val="209270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2770767"/>
        <c:crosses val="autoZero"/>
        <c:auto val="1"/>
        <c:lblAlgn val="ctr"/>
        <c:lblOffset val="100"/>
        <c:noMultiLvlLbl val="0"/>
      </c:catAx>
      <c:valAx>
        <c:axId val="20927707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270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Model!$B$9</c:f>
              <c:strCache>
                <c:ptCount val="1"/>
                <c:pt idx="0">
                  <c:v>iPad</c:v>
                </c:pt>
              </c:strCache>
            </c:strRef>
          </c:tx>
          <c:spPr>
            <a:ln w="28575" cap="rnd">
              <a:solidFill>
                <a:schemeClr val="accent1"/>
              </a:solidFill>
              <a:round/>
            </a:ln>
            <a:effectLst/>
          </c:spPr>
          <c:marker>
            <c:symbol val="none"/>
          </c:marker>
          <c:cat>
            <c:strRef>
              <c:f>Model!$K$4:$AB$4</c:f>
              <c:strCache>
                <c:ptCount val="18"/>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pt idx="17">
                  <c:v>Q224</c:v>
                </c:pt>
              </c:strCache>
            </c:strRef>
          </c:cat>
          <c:val>
            <c:numRef>
              <c:f>Model!$K$9:$AB$9</c:f>
              <c:numCache>
                <c:formatCode>#,##0</c:formatCode>
                <c:ptCount val="18"/>
                <c:pt idx="4">
                  <c:v>8435</c:v>
                </c:pt>
                <c:pt idx="5">
                  <c:v>7807</c:v>
                </c:pt>
                <c:pt idx="6">
                  <c:v>7368</c:v>
                </c:pt>
                <c:pt idx="7">
                  <c:v>8252</c:v>
                </c:pt>
                <c:pt idx="8">
                  <c:v>7248</c:v>
                </c:pt>
                <c:pt idx="9">
                  <c:v>7646</c:v>
                </c:pt>
                <c:pt idx="10">
                  <c:v>7224</c:v>
                </c:pt>
                <c:pt idx="11">
                  <c:v>7174</c:v>
                </c:pt>
                <c:pt idx="12">
                  <c:v>9396</c:v>
                </c:pt>
                <c:pt idx="13">
                  <c:v>6670</c:v>
                </c:pt>
                <c:pt idx="14">
                  <c:v>5791</c:v>
                </c:pt>
                <c:pt idx="15">
                  <c:v>6443</c:v>
                </c:pt>
                <c:pt idx="16">
                  <c:v>7023</c:v>
                </c:pt>
                <c:pt idx="17">
                  <c:v>5559</c:v>
                </c:pt>
              </c:numCache>
            </c:numRef>
          </c:val>
          <c:smooth val="0"/>
          <c:extLst>
            <c:ext xmlns:c16="http://schemas.microsoft.com/office/drawing/2014/chart" uri="{C3380CC4-5D6E-409C-BE32-E72D297353CC}">
              <c16:uniqueId val="{00000000-24A3-C743-A871-462C4F20C853}"/>
            </c:ext>
          </c:extLst>
        </c:ser>
        <c:dLbls>
          <c:showLegendKey val="0"/>
          <c:showVal val="0"/>
          <c:showCatName val="0"/>
          <c:showSerName val="0"/>
          <c:showPercent val="0"/>
          <c:showBubbleSize val="0"/>
        </c:dLbls>
        <c:smooth val="0"/>
        <c:axId val="2092704991"/>
        <c:axId val="2092770767"/>
      </c:lineChart>
      <c:catAx>
        <c:axId val="209270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2770767"/>
        <c:crosses val="autoZero"/>
        <c:auto val="1"/>
        <c:lblAlgn val="ctr"/>
        <c:lblOffset val="100"/>
        <c:noMultiLvlLbl val="0"/>
      </c:catAx>
      <c:valAx>
        <c:axId val="20927707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270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Model!$B$10</c:f>
              <c:strCache>
                <c:ptCount val="1"/>
                <c:pt idx="0">
                  <c:v>Wearables/Home</c:v>
                </c:pt>
              </c:strCache>
            </c:strRef>
          </c:tx>
          <c:spPr>
            <a:ln w="28575" cap="rnd">
              <a:solidFill>
                <a:schemeClr val="accent1"/>
              </a:solidFill>
              <a:round/>
            </a:ln>
            <a:effectLst/>
          </c:spPr>
          <c:marker>
            <c:symbol val="none"/>
          </c:marker>
          <c:cat>
            <c:strRef>
              <c:f>Model!$K$4:$AB$4</c:f>
              <c:strCache>
                <c:ptCount val="18"/>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pt idx="17">
                  <c:v>Q224</c:v>
                </c:pt>
              </c:strCache>
            </c:strRef>
          </c:cat>
          <c:val>
            <c:numRef>
              <c:f>Model!$K$10:$AB$10</c:f>
              <c:numCache>
                <c:formatCode>#,##0</c:formatCode>
                <c:ptCount val="18"/>
                <c:pt idx="4">
                  <c:v>12971</c:v>
                </c:pt>
                <c:pt idx="5">
                  <c:v>7836</c:v>
                </c:pt>
                <c:pt idx="6">
                  <c:v>8775</c:v>
                </c:pt>
                <c:pt idx="7">
                  <c:v>8785</c:v>
                </c:pt>
                <c:pt idx="8">
                  <c:v>14701</c:v>
                </c:pt>
                <c:pt idx="9">
                  <c:v>8806</c:v>
                </c:pt>
                <c:pt idx="10">
                  <c:v>8084</c:v>
                </c:pt>
                <c:pt idx="11">
                  <c:v>9650</c:v>
                </c:pt>
                <c:pt idx="12">
                  <c:v>13482</c:v>
                </c:pt>
                <c:pt idx="13">
                  <c:v>8757</c:v>
                </c:pt>
                <c:pt idx="14">
                  <c:v>8284</c:v>
                </c:pt>
                <c:pt idx="15">
                  <c:v>9322</c:v>
                </c:pt>
                <c:pt idx="16">
                  <c:v>11953</c:v>
                </c:pt>
                <c:pt idx="17">
                  <c:v>7913</c:v>
                </c:pt>
              </c:numCache>
            </c:numRef>
          </c:val>
          <c:smooth val="0"/>
          <c:extLst>
            <c:ext xmlns:c16="http://schemas.microsoft.com/office/drawing/2014/chart" uri="{C3380CC4-5D6E-409C-BE32-E72D297353CC}">
              <c16:uniqueId val="{00000000-90AB-2143-9F03-BCD3BA333372}"/>
            </c:ext>
          </c:extLst>
        </c:ser>
        <c:dLbls>
          <c:showLegendKey val="0"/>
          <c:showVal val="0"/>
          <c:showCatName val="0"/>
          <c:showSerName val="0"/>
          <c:showPercent val="0"/>
          <c:showBubbleSize val="0"/>
        </c:dLbls>
        <c:smooth val="0"/>
        <c:axId val="2092704991"/>
        <c:axId val="2092770767"/>
      </c:lineChart>
      <c:catAx>
        <c:axId val="209270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2770767"/>
        <c:crosses val="autoZero"/>
        <c:auto val="1"/>
        <c:lblAlgn val="ctr"/>
        <c:lblOffset val="100"/>
        <c:noMultiLvlLbl val="0"/>
      </c:catAx>
      <c:valAx>
        <c:axId val="20927707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270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27</xdr:col>
      <xdr:colOff>548989</xdr:colOff>
      <xdr:row>0</xdr:row>
      <xdr:rowOff>0</xdr:rowOff>
    </xdr:from>
    <xdr:to>
      <xdr:col>28</xdr:col>
      <xdr:colOff>78672</xdr:colOff>
      <xdr:row>126</xdr:row>
      <xdr:rowOff>71201</xdr:rowOff>
    </xdr:to>
    <xdr:cxnSp macro="">
      <xdr:nvCxnSpPr>
        <xdr:cNvPr id="5" name="Straight Connector 4">
          <a:extLst>
            <a:ext uri="{FF2B5EF4-FFF2-40B4-BE49-F238E27FC236}">
              <a16:creationId xmlns:a16="http://schemas.microsoft.com/office/drawing/2014/main" id="{D64830DA-4EAF-8ABF-02B6-07676FCBE2C8}"/>
            </a:ext>
          </a:extLst>
        </xdr:cNvPr>
        <xdr:cNvCxnSpPr/>
      </xdr:nvCxnSpPr>
      <xdr:spPr>
        <a:xfrm>
          <a:off x="11304653" y="0"/>
          <a:ext cx="80391" cy="21312794"/>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0</xdr:row>
      <xdr:rowOff>0</xdr:rowOff>
    </xdr:from>
    <xdr:to>
      <xdr:col>41</xdr:col>
      <xdr:colOff>5752</xdr:colOff>
      <xdr:row>90</xdr:row>
      <xdr:rowOff>78673</xdr:rowOff>
    </xdr:to>
    <xdr:cxnSp macro="">
      <xdr:nvCxnSpPr>
        <xdr:cNvPr id="6" name="Straight Connector 5">
          <a:extLst>
            <a:ext uri="{FF2B5EF4-FFF2-40B4-BE49-F238E27FC236}">
              <a16:creationId xmlns:a16="http://schemas.microsoft.com/office/drawing/2014/main" id="{7462CBED-59AB-FA45-8369-06F762464618}"/>
            </a:ext>
          </a:extLst>
        </xdr:cNvPr>
        <xdr:cNvCxnSpPr/>
      </xdr:nvCxnSpPr>
      <xdr:spPr>
        <a:xfrm flipH="1">
          <a:off x="18038496" y="0"/>
          <a:ext cx="5752" cy="15082655"/>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7471</xdr:colOff>
      <xdr:row>0</xdr:row>
      <xdr:rowOff>156882</xdr:rowOff>
    </xdr:from>
    <xdr:to>
      <xdr:col>17</xdr:col>
      <xdr:colOff>14941</xdr:colOff>
      <xdr:row>34</xdr:row>
      <xdr:rowOff>74706</xdr:rowOff>
    </xdr:to>
    <xdr:sp macro="" textlink="">
      <xdr:nvSpPr>
        <xdr:cNvPr id="2" name="TextBox 1">
          <a:extLst>
            <a:ext uri="{FF2B5EF4-FFF2-40B4-BE49-F238E27FC236}">
              <a16:creationId xmlns:a16="http://schemas.microsoft.com/office/drawing/2014/main" id="{8262FB6C-59ED-5157-AC69-0636DBFB5924}"/>
            </a:ext>
          </a:extLst>
        </xdr:cNvPr>
        <xdr:cNvSpPr txBox="1"/>
      </xdr:nvSpPr>
      <xdr:spPr>
        <a:xfrm>
          <a:off x="5827059" y="156882"/>
          <a:ext cx="4982882" cy="5505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need to update ( 5/17/24)</a:t>
          </a:r>
        </a:p>
        <a:p>
          <a:endParaRPr lang="en-US" sz="1100" b="1"/>
        </a:p>
        <a:p>
          <a:endParaRPr lang="en-US" sz="1100" b="1"/>
        </a:p>
        <a:p>
          <a:r>
            <a:rPr lang="en-US" sz="1100" b="1"/>
            <a:t>Date:</a:t>
          </a:r>
          <a:r>
            <a:rPr lang="en-US" sz="1100"/>
            <a:t> 2.7.24</a:t>
          </a:r>
        </a:p>
        <a:p>
          <a:endParaRPr lang="en-US" sz="1100"/>
        </a:p>
        <a:p>
          <a:pPr algn="l"/>
          <a:r>
            <a:rPr lang="en-US" sz="1100"/>
            <a:t>AAPL is one of the largest companies in the</a:t>
          </a:r>
          <a:r>
            <a:rPr lang="en-US" sz="1100" baseline="0"/>
            <a:t> world to date.  The company got its start by selling hardware paired with software (iphones, ipods, imacs,etc) and to this day, the flagship product (iPhone) is earning the company $200B/annum with ana dditional $182B company from other "innovations".  I am noticing a drastic slowdown in sales and a steady reliance on margin improvements to increase bottom line.  How efficient can the company get? TSMC is manufacturing its chips, and many other companies help out to manufacture parts of the iphone (glass/speaker/etc).  As the company stands today, it would take ~27 years (EV/24E)  to make your money back.  The company seems overpriced and I can't think of any catalyst that isn't yet baked into the current trading price of $189.  The newest idea is the VR headset and I just can't imagine mainstream adoption with a pricetag that high, similar to the iMac that not many people have. Additionally, the services category is now the 2nd highest category as % of net sales -- this is mostly the app store.  The most likely way to increase services is to raise prices as I can't imagine with 2.2b activer iphones that they'll keep selling many more, majority of new iphone sales (i'm speculating) will come from refreshes --- this is a similar problem INTC faced as while ago --- PC refresh Vs PC Upsells.   For AAPL, refreshes will be the focus as iPhone innovation seems to have reached it's peak. </a:t>
          </a:r>
        </a:p>
        <a:p>
          <a:pPr algn="l"/>
          <a:endParaRPr lang="en-US" sz="1100" baseline="0"/>
        </a:p>
        <a:p>
          <a:pPr algn="l"/>
          <a:endParaRPr lang="en-US" sz="1100" baseline="0"/>
        </a:p>
        <a:p>
          <a:pPr algn="l"/>
          <a:r>
            <a:rPr lang="en-US" sz="1100" baseline="0"/>
            <a:t>Recommendation: Fairly valued -- i'm not buying today, but ndefinitely not a discounted price. No apparent catalyst (is iPhone going to buy some company? cut R&amp;D spend and discontinue iPads and watches?).  Unkowns are the unknowns for now. </a:t>
          </a:r>
          <a:endParaRPr lang="en-US" sz="1100"/>
        </a:p>
        <a:p>
          <a:endParaRPr lang="en-US" sz="1100"/>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814974</xdr:colOff>
      <xdr:row>0</xdr:row>
      <xdr:rowOff>142621</xdr:rowOff>
    </xdr:from>
    <xdr:to>
      <xdr:col>8</xdr:col>
      <xdr:colOff>518697</xdr:colOff>
      <xdr:row>17</xdr:row>
      <xdr:rowOff>54332</xdr:rowOff>
    </xdr:to>
    <xdr:graphicFrame macro="">
      <xdr:nvGraphicFramePr>
        <xdr:cNvPr id="3" name="Chart 2">
          <a:extLst>
            <a:ext uri="{FF2B5EF4-FFF2-40B4-BE49-F238E27FC236}">
              <a16:creationId xmlns:a16="http://schemas.microsoft.com/office/drawing/2014/main" id="{EF6F30BC-B02B-F74B-9B41-659AF33F4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47540</xdr:rowOff>
    </xdr:from>
    <xdr:to>
      <xdr:col>8</xdr:col>
      <xdr:colOff>532279</xdr:colOff>
      <xdr:row>34</xdr:row>
      <xdr:rowOff>122246</xdr:rowOff>
    </xdr:to>
    <xdr:graphicFrame macro="">
      <xdr:nvGraphicFramePr>
        <xdr:cNvPr id="5" name="Chart 4">
          <a:extLst>
            <a:ext uri="{FF2B5EF4-FFF2-40B4-BE49-F238E27FC236}">
              <a16:creationId xmlns:a16="http://schemas.microsoft.com/office/drawing/2014/main" id="{56E934B4-A814-F44E-83F9-822E7359F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36</xdr:row>
      <xdr:rowOff>163285</xdr:rowOff>
    </xdr:from>
    <xdr:to>
      <xdr:col>8</xdr:col>
      <xdr:colOff>532279</xdr:colOff>
      <xdr:row>53</xdr:row>
      <xdr:rowOff>74705</xdr:rowOff>
    </xdr:to>
    <xdr:graphicFrame macro="">
      <xdr:nvGraphicFramePr>
        <xdr:cNvPr id="6" name="Chart 5">
          <a:extLst>
            <a:ext uri="{FF2B5EF4-FFF2-40B4-BE49-F238E27FC236}">
              <a16:creationId xmlns:a16="http://schemas.microsoft.com/office/drawing/2014/main" id="{2D0202FB-A125-404C-9D1A-96858F01E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xdr:row>
      <xdr:rowOff>0</xdr:rowOff>
    </xdr:from>
    <xdr:to>
      <xdr:col>16</xdr:col>
      <xdr:colOff>532279</xdr:colOff>
      <xdr:row>17</xdr:row>
      <xdr:rowOff>74706</xdr:rowOff>
    </xdr:to>
    <xdr:graphicFrame macro="">
      <xdr:nvGraphicFramePr>
        <xdr:cNvPr id="7" name="Chart 6">
          <a:extLst>
            <a:ext uri="{FF2B5EF4-FFF2-40B4-BE49-F238E27FC236}">
              <a16:creationId xmlns:a16="http://schemas.microsoft.com/office/drawing/2014/main" id="{D3BF8991-417F-044F-99D1-988E5FB52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meel" id="{37483420-6CC7-1640-8A79-D61A0C875018}" userId="jameel"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7" dT="2024-02-07T03:42:46.46" personId="{37483420-6CC7-1640-8A79-D61A0C875018}" id="{085F0C90-D928-D04A-980F-C4D5863A7567}">
    <text>guidance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7EBEC-8120-D240-A80B-6561CC74A937}">
  <dimension ref="A1:IG92"/>
  <sheetViews>
    <sheetView zoomScaleNormal="100" workbookViewId="0">
      <pane xSplit="2" ySplit="4" topLeftCell="C5" activePane="bottomRight" state="frozen"/>
      <selection pane="topRight" activeCell="B1" sqref="B1"/>
      <selection pane="bottomLeft" activeCell="A2" sqref="A2"/>
      <selection pane="bottomRight" activeCell="J79" sqref="J79"/>
    </sheetView>
  </sheetViews>
  <sheetFormatPr baseColWidth="10" defaultRowHeight="13"/>
  <cols>
    <col min="1" max="1" width="3.5" style="1" bestFit="1" customWidth="1"/>
    <col min="2" max="2" width="21" style="1" bestFit="1" customWidth="1"/>
    <col min="3" max="14" width="6.6640625" style="1" bestFit="1" customWidth="1"/>
    <col min="15" max="15" width="7.6640625" style="1" bestFit="1" customWidth="1"/>
    <col min="16" max="18" width="6.6640625" style="1" bestFit="1" customWidth="1"/>
    <col min="19" max="19" width="7.6640625" style="1" bestFit="1" customWidth="1"/>
    <col min="20" max="21" width="6.6640625" style="1" bestFit="1" customWidth="1"/>
    <col min="22" max="27" width="7.6640625" style="1" bestFit="1" customWidth="1"/>
    <col min="28" max="28" width="7.6640625" bestFit="1" customWidth="1"/>
    <col min="29" max="30" width="6.6640625" style="1" bestFit="1" customWidth="1"/>
    <col min="31" max="31" width="7.83203125" style="1" customWidth="1"/>
    <col min="32" max="32" width="10.83203125" style="1"/>
    <col min="33" max="35" width="5.1640625" style="1" bestFit="1" customWidth="1"/>
    <col min="36" max="48" width="7.6640625" style="1" bestFit="1" customWidth="1"/>
    <col min="49" max="51" width="9.1640625" style="1" bestFit="1" customWidth="1"/>
    <col min="52" max="52" width="7.6640625" style="1" bestFit="1" customWidth="1"/>
    <col min="53" max="53" width="8.1640625" style="1" bestFit="1" customWidth="1"/>
    <col min="54" max="54" width="13.1640625" style="1" bestFit="1" customWidth="1"/>
    <col min="55" max="240" width="7.6640625" style="1" bestFit="1" customWidth="1"/>
    <col min="241" max="241" width="9.1640625" style="1" bestFit="1" customWidth="1"/>
    <col min="242" max="16384" width="10.83203125" style="1"/>
  </cols>
  <sheetData>
    <row r="1" spans="1:241" customFormat="1">
      <c r="A1" s="45" t="s">
        <v>50</v>
      </c>
    </row>
    <row r="2" spans="1:241" s="2" customFormat="1">
      <c r="A2" s="8"/>
      <c r="O2" s="9">
        <f>YEAR(O3)</f>
        <v>2020</v>
      </c>
      <c r="P2" s="9">
        <f t="shared" ref="P2:AD2" si="0">YEAR(P3)</f>
        <v>2021</v>
      </c>
      <c r="Q2" s="9">
        <f t="shared" si="0"/>
        <v>2021</v>
      </c>
      <c r="R2" s="9">
        <f t="shared" si="0"/>
        <v>2021</v>
      </c>
      <c r="S2" s="9">
        <f t="shared" si="0"/>
        <v>2021</v>
      </c>
      <c r="T2" s="9">
        <f t="shared" si="0"/>
        <v>2022</v>
      </c>
      <c r="U2" s="9">
        <f t="shared" si="0"/>
        <v>2022</v>
      </c>
      <c r="V2" s="9">
        <f t="shared" si="0"/>
        <v>2022</v>
      </c>
      <c r="W2" s="9">
        <f t="shared" si="0"/>
        <v>2022</v>
      </c>
      <c r="X2" s="9">
        <f t="shared" si="0"/>
        <v>2023</v>
      </c>
      <c r="Y2" s="9">
        <f t="shared" si="0"/>
        <v>2023</v>
      </c>
      <c r="Z2" s="9">
        <f t="shared" si="0"/>
        <v>2023</v>
      </c>
      <c r="AA2" s="9">
        <f t="shared" si="0"/>
        <v>2023</v>
      </c>
      <c r="AB2" s="9">
        <f t="shared" si="0"/>
        <v>2024</v>
      </c>
      <c r="AC2" s="9">
        <f t="shared" si="0"/>
        <v>2024</v>
      </c>
      <c r="AD2" s="9">
        <f t="shared" si="0"/>
        <v>2024</v>
      </c>
      <c r="AE2" s="9"/>
      <c r="AZ2" s="2">
        <v>11</v>
      </c>
      <c r="BA2" s="2">
        <f>+AZ2+1</f>
        <v>12</v>
      </c>
      <c r="BB2" s="2">
        <f t="shared" ref="BB2:DM2" si="1">+BA2+1</f>
        <v>13</v>
      </c>
      <c r="BC2" s="2">
        <f t="shared" si="1"/>
        <v>14</v>
      </c>
      <c r="BD2" s="2">
        <f t="shared" si="1"/>
        <v>15</v>
      </c>
      <c r="BE2" s="2">
        <f t="shared" si="1"/>
        <v>16</v>
      </c>
      <c r="BF2" s="2">
        <f t="shared" si="1"/>
        <v>17</v>
      </c>
      <c r="BG2" s="2">
        <f t="shared" si="1"/>
        <v>18</v>
      </c>
      <c r="BH2" s="2">
        <f t="shared" si="1"/>
        <v>19</v>
      </c>
      <c r="BI2" s="2">
        <f t="shared" si="1"/>
        <v>20</v>
      </c>
      <c r="BJ2" s="2">
        <f t="shared" si="1"/>
        <v>21</v>
      </c>
      <c r="BK2" s="2">
        <f t="shared" si="1"/>
        <v>22</v>
      </c>
      <c r="BL2" s="2">
        <f t="shared" si="1"/>
        <v>23</v>
      </c>
      <c r="BM2" s="2">
        <f t="shared" si="1"/>
        <v>24</v>
      </c>
      <c r="BN2" s="2">
        <f t="shared" si="1"/>
        <v>25</v>
      </c>
      <c r="BO2" s="2">
        <f t="shared" si="1"/>
        <v>26</v>
      </c>
      <c r="BP2" s="2">
        <f t="shared" si="1"/>
        <v>27</v>
      </c>
      <c r="BQ2" s="2">
        <f t="shared" si="1"/>
        <v>28</v>
      </c>
      <c r="BR2" s="2">
        <f t="shared" si="1"/>
        <v>29</v>
      </c>
      <c r="BS2" s="2">
        <f t="shared" si="1"/>
        <v>30</v>
      </c>
      <c r="BT2" s="2">
        <f t="shared" si="1"/>
        <v>31</v>
      </c>
      <c r="BU2" s="2">
        <f t="shared" si="1"/>
        <v>32</v>
      </c>
      <c r="BV2" s="2">
        <f t="shared" si="1"/>
        <v>33</v>
      </c>
      <c r="BW2" s="2">
        <f t="shared" si="1"/>
        <v>34</v>
      </c>
      <c r="BX2" s="2">
        <f t="shared" si="1"/>
        <v>35</v>
      </c>
      <c r="BY2" s="2">
        <f t="shared" si="1"/>
        <v>36</v>
      </c>
      <c r="BZ2" s="2">
        <f t="shared" si="1"/>
        <v>37</v>
      </c>
      <c r="CA2" s="2">
        <f t="shared" si="1"/>
        <v>38</v>
      </c>
      <c r="CB2" s="2">
        <f t="shared" si="1"/>
        <v>39</v>
      </c>
      <c r="CC2" s="2">
        <f t="shared" si="1"/>
        <v>40</v>
      </c>
      <c r="CD2" s="2">
        <f t="shared" si="1"/>
        <v>41</v>
      </c>
      <c r="CE2" s="2">
        <f t="shared" si="1"/>
        <v>42</v>
      </c>
      <c r="CF2" s="2">
        <f t="shared" si="1"/>
        <v>43</v>
      </c>
      <c r="CG2" s="2">
        <f t="shared" si="1"/>
        <v>44</v>
      </c>
      <c r="CH2" s="2">
        <f t="shared" si="1"/>
        <v>45</v>
      </c>
      <c r="CI2" s="2">
        <f t="shared" si="1"/>
        <v>46</v>
      </c>
      <c r="CJ2" s="2">
        <f t="shared" si="1"/>
        <v>47</v>
      </c>
      <c r="CK2" s="2">
        <f t="shared" si="1"/>
        <v>48</v>
      </c>
      <c r="CL2" s="2">
        <f t="shared" si="1"/>
        <v>49</v>
      </c>
      <c r="CM2" s="2">
        <f t="shared" si="1"/>
        <v>50</v>
      </c>
      <c r="CN2" s="2">
        <f t="shared" si="1"/>
        <v>51</v>
      </c>
      <c r="CO2" s="2">
        <f t="shared" si="1"/>
        <v>52</v>
      </c>
      <c r="CP2" s="2">
        <f t="shared" si="1"/>
        <v>53</v>
      </c>
      <c r="CQ2" s="2">
        <f t="shared" si="1"/>
        <v>54</v>
      </c>
      <c r="CR2" s="2">
        <f t="shared" si="1"/>
        <v>55</v>
      </c>
      <c r="CS2" s="2">
        <f t="shared" si="1"/>
        <v>56</v>
      </c>
      <c r="CT2" s="2">
        <f t="shared" si="1"/>
        <v>57</v>
      </c>
      <c r="CU2" s="2">
        <f t="shared" si="1"/>
        <v>58</v>
      </c>
      <c r="CV2" s="2">
        <f t="shared" si="1"/>
        <v>59</v>
      </c>
      <c r="CW2" s="2">
        <f t="shared" si="1"/>
        <v>60</v>
      </c>
      <c r="CX2" s="2">
        <f t="shared" si="1"/>
        <v>61</v>
      </c>
      <c r="CY2" s="2">
        <f t="shared" si="1"/>
        <v>62</v>
      </c>
      <c r="CZ2" s="2">
        <f t="shared" si="1"/>
        <v>63</v>
      </c>
      <c r="DA2" s="2">
        <f t="shared" si="1"/>
        <v>64</v>
      </c>
      <c r="DB2" s="2">
        <f t="shared" si="1"/>
        <v>65</v>
      </c>
      <c r="DC2" s="2">
        <f t="shared" si="1"/>
        <v>66</v>
      </c>
      <c r="DD2" s="2">
        <f t="shared" si="1"/>
        <v>67</v>
      </c>
      <c r="DE2" s="2">
        <f t="shared" si="1"/>
        <v>68</v>
      </c>
      <c r="DF2" s="2">
        <f t="shared" si="1"/>
        <v>69</v>
      </c>
      <c r="DG2" s="2">
        <f t="shared" si="1"/>
        <v>70</v>
      </c>
      <c r="DH2" s="2">
        <f t="shared" si="1"/>
        <v>71</v>
      </c>
      <c r="DI2" s="2">
        <f t="shared" si="1"/>
        <v>72</v>
      </c>
      <c r="DJ2" s="2">
        <f t="shared" si="1"/>
        <v>73</v>
      </c>
      <c r="DK2" s="2">
        <f t="shared" si="1"/>
        <v>74</v>
      </c>
      <c r="DL2" s="2">
        <f t="shared" si="1"/>
        <v>75</v>
      </c>
      <c r="DM2" s="2">
        <f t="shared" si="1"/>
        <v>76</v>
      </c>
      <c r="DN2" s="2">
        <f t="shared" ref="DN2:FR2" si="2">+DM2+1</f>
        <v>77</v>
      </c>
      <c r="DO2" s="2">
        <f t="shared" si="2"/>
        <v>78</v>
      </c>
      <c r="DP2" s="2">
        <f t="shared" si="2"/>
        <v>79</v>
      </c>
      <c r="DQ2" s="2">
        <f t="shared" si="2"/>
        <v>80</v>
      </c>
      <c r="DR2" s="2">
        <f t="shared" si="2"/>
        <v>81</v>
      </c>
      <c r="DS2" s="2">
        <f t="shared" si="2"/>
        <v>82</v>
      </c>
      <c r="DT2" s="2">
        <f t="shared" si="2"/>
        <v>83</v>
      </c>
      <c r="DU2" s="2">
        <f t="shared" si="2"/>
        <v>84</v>
      </c>
      <c r="DV2" s="2">
        <f t="shared" si="2"/>
        <v>85</v>
      </c>
      <c r="DW2" s="2">
        <f t="shared" si="2"/>
        <v>86</v>
      </c>
      <c r="DX2" s="2">
        <f t="shared" si="2"/>
        <v>87</v>
      </c>
      <c r="DY2" s="2">
        <f t="shared" si="2"/>
        <v>88</v>
      </c>
      <c r="DZ2" s="2">
        <f t="shared" si="2"/>
        <v>89</v>
      </c>
      <c r="EA2" s="2">
        <f t="shared" si="2"/>
        <v>90</v>
      </c>
      <c r="EB2" s="2">
        <f t="shared" si="2"/>
        <v>91</v>
      </c>
      <c r="EC2" s="2">
        <f t="shared" si="2"/>
        <v>92</v>
      </c>
      <c r="ED2" s="2">
        <f t="shared" si="2"/>
        <v>93</v>
      </c>
      <c r="EE2" s="2">
        <f t="shared" si="2"/>
        <v>94</v>
      </c>
      <c r="EF2" s="2">
        <f t="shared" si="2"/>
        <v>95</v>
      </c>
      <c r="EG2" s="2">
        <f t="shared" si="2"/>
        <v>96</v>
      </c>
      <c r="EH2" s="2">
        <f t="shared" si="2"/>
        <v>97</v>
      </c>
      <c r="EI2" s="2">
        <f t="shared" si="2"/>
        <v>98</v>
      </c>
      <c r="EJ2" s="2">
        <f t="shared" si="2"/>
        <v>99</v>
      </c>
      <c r="EK2" s="2">
        <f t="shared" si="2"/>
        <v>100</v>
      </c>
      <c r="EL2" s="2">
        <f t="shared" si="2"/>
        <v>101</v>
      </c>
      <c r="EM2" s="2">
        <f t="shared" si="2"/>
        <v>102</v>
      </c>
      <c r="EN2" s="2">
        <f t="shared" si="2"/>
        <v>103</v>
      </c>
      <c r="EO2" s="2">
        <f t="shared" si="2"/>
        <v>104</v>
      </c>
      <c r="EP2" s="2">
        <f t="shared" si="2"/>
        <v>105</v>
      </c>
      <c r="EQ2" s="2">
        <f t="shared" si="2"/>
        <v>106</v>
      </c>
      <c r="ER2" s="2">
        <f t="shared" si="2"/>
        <v>107</v>
      </c>
      <c r="ES2" s="2">
        <f t="shared" si="2"/>
        <v>108</v>
      </c>
      <c r="ET2" s="2">
        <f t="shared" si="2"/>
        <v>109</v>
      </c>
      <c r="EU2" s="2">
        <f t="shared" si="2"/>
        <v>110</v>
      </c>
      <c r="EV2" s="2">
        <f t="shared" si="2"/>
        <v>111</v>
      </c>
      <c r="EW2" s="2">
        <f t="shared" si="2"/>
        <v>112</v>
      </c>
      <c r="EX2" s="2">
        <f t="shared" si="2"/>
        <v>113</v>
      </c>
      <c r="EY2" s="2">
        <f t="shared" si="2"/>
        <v>114</v>
      </c>
      <c r="EZ2" s="2">
        <f t="shared" si="2"/>
        <v>115</v>
      </c>
      <c r="FA2" s="2">
        <f t="shared" si="2"/>
        <v>116</v>
      </c>
      <c r="FB2" s="2">
        <f t="shared" si="2"/>
        <v>117</v>
      </c>
      <c r="FC2" s="2">
        <f t="shared" si="2"/>
        <v>118</v>
      </c>
      <c r="FD2" s="2">
        <f t="shared" si="2"/>
        <v>119</v>
      </c>
      <c r="FE2" s="2">
        <f t="shared" si="2"/>
        <v>120</v>
      </c>
      <c r="FF2" s="2">
        <f t="shared" si="2"/>
        <v>121</v>
      </c>
      <c r="FG2" s="2">
        <f t="shared" si="2"/>
        <v>122</v>
      </c>
      <c r="FH2" s="2">
        <f t="shared" si="2"/>
        <v>123</v>
      </c>
      <c r="FI2" s="2">
        <f t="shared" si="2"/>
        <v>124</v>
      </c>
      <c r="FJ2" s="2">
        <f t="shared" si="2"/>
        <v>125</v>
      </c>
      <c r="FK2" s="2">
        <f t="shared" si="2"/>
        <v>126</v>
      </c>
      <c r="FL2" s="2">
        <f t="shared" si="2"/>
        <v>127</v>
      </c>
      <c r="FM2" s="2">
        <f t="shared" si="2"/>
        <v>128</v>
      </c>
      <c r="FN2" s="2">
        <f t="shared" si="2"/>
        <v>129</v>
      </c>
      <c r="FO2" s="2">
        <f t="shared" si="2"/>
        <v>130</v>
      </c>
      <c r="FP2" s="2">
        <f t="shared" si="2"/>
        <v>131</v>
      </c>
      <c r="FQ2" s="2">
        <f t="shared" si="2"/>
        <v>132</v>
      </c>
      <c r="FR2" s="2">
        <f t="shared" si="2"/>
        <v>133</v>
      </c>
      <c r="FS2" s="2">
        <f t="shared" ref="FS2:GN2" si="3">+FR2+1</f>
        <v>134</v>
      </c>
      <c r="FT2" s="2">
        <f t="shared" si="3"/>
        <v>135</v>
      </c>
      <c r="FU2" s="2">
        <f t="shared" si="3"/>
        <v>136</v>
      </c>
      <c r="FV2" s="2">
        <f t="shared" si="3"/>
        <v>137</v>
      </c>
      <c r="FW2" s="2">
        <f t="shared" si="3"/>
        <v>138</v>
      </c>
      <c r="FX2" s="2">
        <f t="shared" si="3"/>
        <v>139</v>
      </c>
      <c r="FY2" s="2">
        <f t="shared" si="3"/>
        <v>140</v>
      </c>
      <c r="FZ2" s="2">
        <f t="shared" si="3"/>
        <v>141</v>
      </c>
      <c r="GA2" s="2">
        <f t="shared" si="3"/>
        <v>142</v>
      </c>
      <c r="GB2" s="2">
        <f t="shared" si="3"/>
        <v>143</v>
      </c>
      <c r="GC2" s="2">
        <f t="shared" si="3"/>
        <v>144</v>
      </c>
      <c r="GD2" s="2">
        <f t="shared" si="3"/>
        <v>145</v>
      </c>
      <c r="GE2" s="2">
        <f t="shared" si="3"/>
        <v>146</v>
      </c>
      <c r="GF2" s="2">
        <f t="shared" si="3"/>
        <v>147</v>
      </c>
      <c r="GG2" s="2">
        <f t="shared" si="3"/>
        <v>148</v>
      </c>
      <c r="GH2" s="2">
        <f t="shared" si="3"/>
        <v>149</v>
      </c>
      <c r="GI2" s="2">
        <f t="shared" si="3"/>
        <v>150</v>
      </c>
      <c r="GJ2" s="2">
        <f t="shared" si="3"/>
        <v>151</v>
      </c>
      <c r="GK2" s="2">
        <f t="shared" si="3"/>
        <v>152</v>
      </c>
      <c r="GL2" s="2">
        <f t="shared" si="3"/>
        <v>153</v>
      </c>
      <c r="GM2" s="2">
        <f t="shared" si="3"/>
        <v>154</v>
      </c>
      <c r="GN2" s="2">
        <f t="shared" si="3"/>
        <v>155</v>
      </c>
      <c r="GO2" s="2">
        <f t="shared" ref="GO2:IC2" si="4">+GN2+1</f>
        <v>156</v>
      </c>
      <c r="GP2" s="2">
        <f t="shared" si="4"/>
        <v>157</v>
      </c>
      <c r="GQ2" s="2">
        <f t="shared" si="4"/>
        <v>158</v>
      </c>
      <c r="GR2" s="2">
        <f t="shared" si="4"/>
        <v>159</v>
      </c>
      <c r="GS2" s="2">
        <f t="shared" si="4"/>
        <v>160</v>
      </c>
      <c r="GT2" s="2">
        <f t="shared" si="4"/>
        <v>161</v>
      </c>
      <c r="GU2" s="2">
        <f t="shared" si="4"/>
        <v>162</v>
      </c>
      <c r="GV2" s="2">
        <f t="shared" si="4"/>
        <v>163</v>
      </c>
      <c r="GW2" s="2">
        <f t="shared" si="4"/>
        <v>164</v>
      </c>
      <c r="GX2" s="2">
        <f t="shared" si="4"/>
        <v>165</v>
      </c>
      <c r="GY2" s="2">
        <f t="shared" si="4"/>
        <v>166</v>
      </c>
      <c r="GZ2" s="2">
        <f t="shared" si="4"/>
        <v>167</v>
      </c>
      <c r="HA2" s="2">
        <f t="shared" si="4"/>
        <v>168</v>
      </c>
      <c r="HB2" s="2">
        <f t="shared" si="4"/>
        <v>169</v>
      </c>
      <c r="HC2" s="2">
        <f t="shared" si="4"/>
        <v>170</v>
      </c>
      <c r="HD2" s="2">
        <f t="shared" si="4"/>
        <v>171</v>
      </c>
      <c r="HE2" s="2">
        <f t="shared" si="4"/>
        <v>172</v>
      </c>
      <c r="HF2" s="2">
        <f t="shared" si="4"/>
        <v>173</v>
      </c>
      <c r="HG2" s="2">
        <f t="shared" si="4"/>
        <v>174</v>
      </c>
      <c r="HH2" s="2">
        <f t="shared" si="4"/>
        <v>175</v>
      </c>
      <c r="HI2" s="2">
        <f t="shared" si="4"/>
        <v>176</v>
      </c>
      <c r="HJ2" s="2">
        <f t="shared" si="4"/>
        <v>177</v>
      </c>
      <c r="HK2" s="2">
        <f t="shared" si="4"/>
        <v>178</v>
      </c>
      <c r="HL2" s="2">
        <f t="shared" si="4"/>
        <v>179</v>
      </c>
      <c r="HM2" s="2">
        <f t="shared" si="4"/>
        <v>180</v>
      </c>
      <c r="HN2" s="2">
        <f t="shared" si="4"/>
        <v>181</v>
      </c>
      <c r="HO2" s="2">
        <f t="shared" si="4"/>
        <v>182</v>
      </c>
      <c r="HP2" s="2">
        <f t="shared" si="4"/>
        <v>183</v>
      </c>
      <c r="HQ2" s="2">
        <f t="shared" si="4"/>
        <v>184</v>
      </c>
      <c r="HR2" s="2">
        <f t="shared" si="4"/>
        <v>185</v>
      </c>
      <c r="HS2" s="2">
        <f t="shared" si="4"/>
        <v>186</v>
      </c>
      <c r="HT2" s="2">
        <f t="shared" si="4"/>
        <v>187</v>
      </c>
      <c r="HU2" s="2">
        <f t="shared" si="4"/>
        <v>188</v>
      </c>
      <c r="HV2" s="2">
        <f t="shared" si="4"/>
        <v>189</v>
      </c>
      <c r="HW2" s="2">
        <f t="shared" si="4"/>
        <v>190</v>
      </c>
      <c r="HX2" s="2">
        <f t="shared" si="4"/>
        <v>191</v>
      </c>
      <c r="HY2" s="2">
        <f t="shared" si="4"/>
        <v>192</v>
      </c>
      <c r="HZ2" s="2">
        <f t="shared" si="4"/>
        <v>193</v>
      </c>
      <c r="IA2" s="2">
        <f t="shared" si="4"/>
        <v>194</v>
      </c>
      <c r="IB2" s="2">
        <f t="shared" si="4"/>
        <v>195</v>
      </c>
      <c r="IC2" s="2">
        <f t="shared" si="4"/>
        <v>196</v>
      </c>
      <c r="ID2" s="2">
        <f t="shared" ref="ID2:IG2" si="5">+IC2+1</f>
        <v>197</v>
      </c>
      <c r="IE2" s="2">
        <f t="shared" si="5"/>
        <v>198</v>
      </c>
      <c r="IF2" s="2">
        <f t="shared" si="5"/>
        <v>199</v>
      </c>
      <c r="IG2" s="2">
        <f t="shared" si="5"/>
        <v>200</v>
      </c>
    </row>
    <row r="3" spans="1:241" s="7" customFormat="1">
      <c r="O3" s="7">
        <v>44191</v>
      </c>
      <c r="P3" s="7">
        <v>44282</v>
      </c>
      <c r="Q3" s="7">
        <v>44373</v>
      </c>
      <c r="R3" s="7">
        <v>44464</v>
      </c>
      <c r="S3" s="7">
        <v>44555</v>
      </c>
      <c r="T3" s="7">
        <v>44646</v>
      </c>
      <c r="U3" s="7">
        <v>44737</v>
      </c>
      <c r="V3" s="7">
        <v>44828</v>
      </c>
      <c r="W3" s="7">
        <v>44926</v>
      </c>
      <c r="X3" s="7">
        <v>45017</v>
      </c>
      <c r="Y3" s="7">
        <v>45108</v>
      </c>
      <c r="Z3" s="7">
        <v>45199</v>
      </c>
      <c r="AA3" s="7">
        <v>45290</v>
      </c>
      <c r="AB3" s="7">
        <f>+X3+365</f>
        <v>45382</v>
      </c>
      <c r="AC3" s="7">
        <f>+Y3+365</f>
        <v>45473</v>
      </c>
      <c r="AD3" s="7">
        <f>+Z3+365</f>
        <v>45564</v>
      </c>
    </row>
    <row r="4" spans="1:241" s="26" customFormat="1">
      <c r="C4" s="26" t="s">
        <v>102</v>
      </c>
      <c r="D4" s="26" t="s">
        <v>97</v>
      </c>
      <c r="E4" s="26" t="s">
        <v>96</v>
      </c>
      <c r="F4" s="26" t="s">
        <v>101</v>
      </c>
      <c r="G4" s="26" t="s">
        <v>100</v>
      </c>
      <c r="H4" s="26" t="s">
        <v>99</v>
      </c>
      <c r="I4" s="26" t="s">
        <v>98</v>
      </c>
      <c r="J4" s="26" t="s">
        <v>95</v>
      </c>
      <c r="K4" s="26" t="s">
        <v>0</v>
      </c>
      <c r="L4" s="26" t="s">
        <v>1</v>
      </c>
      <c r="M4" s="26" t="s">
        <v>2</v>
      </c>
      <c r="N4" s="26" t="s">
        <v>3</v>
      </c>
      <c r="O4" s="26" t="s">
        <v>4</v>
      </c>
      <c r="P4" s="26" t="s">
        <v>5</v>
      </c>
      <c r="Q4" s="26" t="s">
        <v>6</v>
      </c>
      <c r="R4" s="26" t="s">
        <v>7</v>
      </c>
      <c r="S4" s="26" t="s">
        <v>8</v>
      </c>
      <c r="T4" s="26" t="s">
        <v>9</v>
      </c>
      <c r="U4" s="26" t="s">
        <v>10</v>
      </c>
      <c r="V4" s="26" t="s">
        <v>11</v>
      </c>
      <c r="W4" s="26" t="s">
        <v>12</v>
      </c>
      <c r="X4" s="26" t="s">
        <v>13</v>
      </c>
      <c r="Y4" s="26" t="s">
        <v>14</v>
      </c>
      <c r="Z4" s="26" t="s">
        <v>15</v>
      </c>
      <c r="AA4" s="26" t="s">
        <v>22</v>
      </c>
      <c r="AB4" s="26" t="s">
        <v>46</v>
      </c>
      <c r="AC4" s="26" t="s">
        <v>47</v>
      </c>
      <c r="AD4" s="26" t="s">
        <v>48</v>
      </c>
      <c r="AG4" s="9">
        <v>2015</v>
      </c>
      <c r="AH4" s="9">
        <f>+AG4+1</f>
        <v>2016</v>
      </c>
      <c r="AI4" s="9">
        <f t="shared" ref="AI4:AY4" si="6">+AH4+1</f>
        <v>2017</v>
      </c>
      <c r="AJ4" s="9">
        <f t="shared" si="6"/>
        <v>2018</v>
      </c>
      <c r="AK4" s="9">
        <f t="shared" si="6"/>
        <v>2019</v>
      </c>
      <c r="AL4" s="9">
        <f t="shared" si="6"/>
        <v>2020</v>
      </c>
      <c r="AM4" s="9">
        <f t="shared" si="6"/>
        <v>2021</v>
      </c>
      <c r="AN4" s="9">
        <f t="shared" si="6"/>
        <v>2022</v>
      </c>
      <c r="AO4" s="9">
        <f t="shared" si="6"/>
        <v>2023</v>
      </c>
      <c r="AP4" s="9">
        <f t="shared" si="6"/>
        <v>2024</v>
      </c>
      <c r="AQ4" s="9">
        <f t="shared" si="6"/>
        <v>2025</v>
      </c>
      <c r="AR4" s="9">
        <f t="shared" si="6"/>
        <v>2026</v>
      </c>
      <c r="AS4" s="9">
        <f t="shared" si="6"/>
        <v>2027</v>
      </c>
      <c r="AT4" s="9">
        <f t="shared" si="6"/>
        <v>2028</v>
      </c>
      <c r="AU4" s="9">
        <f t="shared" si="6"/>
        <v>2029</v>
      </c>
      <c r="AV4" s="9">
        <f t="shared" si="6"/>
        <v>2030</v>
      </c>
      <c r="AW4" s="9">
        <f t="shared" si="6"/>
        <v>2031</v>
      </c>
      <c r="AX4" s="9">
        <f t="shared" si="6"/>
        <v>2032</v>
      </c>
      <c r="AY4" s="9">
        <f t="shared" si="6"/>
        <v>2033</v>
      </c>
      <c r="AZ4" s="9">
        <f>+AY4+1</f>
        <v>2034</v>
      </c>
      <c r="BA4" s="9">
        <f t="shared" ref="BA4:DL4" si="7">+AZ4+1</f>
        <v>2035</v>
      </c>
      <c r="BB4" s="9">
        <f t="shared" si="7"/>
        <v>2036</v>
      </c>
      <c r="BC4" s="26">
        <f t="shared" si="7"/>
        <v>2037</v>
      </c>
      <c r="BD4" s="26">
        <f t="shared" si="7"/>
        <v>2038</v>
      </c>
      <c r="BE4" s="26">
        <f t="shared" si="7"/>
        <v>2039</v>
      </c>
      <c r="BF4" s="26">
        <f t="shared" si="7"/>
        <v>2040</v>
      </c>
      <c r="BG4" s="26">
        <f t="shared" si="7"/>
        <v>2041</v>
      </c>
      <c r="BH4" s="26">
        <f t="shared" si="7"/>
        <v>2042</v>
      </c>
      <c r="BI4" s="9">
        <f t="shared" si="7"/>
        <v>2043</v>
      </c>
      <c r="BJ4" s="9">
        <f t="shared" si="7"/>
        <v>2044</v>
      </c>
      <c r="BK4" s="9">
        <f t="shared" si="7"/>
        <v>2045</v>
      </c>
      <c r="BL4" s="9">
        <f t="shared" si="7"/>
        <v>2046</v>
      </c>
      <c r="BM4" s="9">
        <f t="shared" si="7"/>
        <v>2047</v>
      </c>
      <c r="BN4" s="9">
        <f t="shared" si="7"/>
        <v>2048</v>
      </c>
      <c r="BO4" s="9">
        <f t="shared" si="7"/>
        <v>2049</v>
      </c>
      <c r="BP4" s="9">
        <f t="shared" si="7"/>
        <v>2050</v>
      </c>
      <c r="BQ4" s="9">
        <f t="shared" si="7"/>
        <v>2051</v>
      </c>
      <c r="BR4" s="9">
        <f t="shared" si="7"/>
        <v>2052</v>
      </c>
      <c r="BS4" s="9">
        <f t="shared" si="7"/>
        <v>2053</v>
      </c>
      <c r="BT4" s="9">
        <f t="shared" si="7"/>
        <v>2054</v>
      </c>
      <c r="BU4" s="9">
        <f t="shared" si="7"/>
        <v>2055</v>
      </c>
      <c r="BV4" s="9">
        <f t="shared" si="7"/>
        <v>2056</v>
      </c>
      <c r="BW4" s="9">
        <f t="shared" si="7"/>
        <v>2057</v>
      </c>
      <c r="BX4" s="9">
        <f t="shared" si="7"/>
        <v>2058</v>
      </c>
      <c r="BY4" s="9">
        <f t="shared" si="7"/>
        <v>2059</v>
      </c>
      <c r="BZ4" s="9">
        <f t="shared" si="7"/>
        <v>2060</v>
      </c>
      <c r="CA4" s="9">
        <f t="shared" si="7"/>
        <v>2061</v>
      </c>
      <c r="CB4" s="9">
        <f t="shared" si="7"/>
        <v>2062</v>
      </c>
      <c r="CC4" s="9">
        <f t="shared" si="7"/>
        <v>2063</v>
      </c>
      <c r="CD4" s="9">
        <f t="shared" si="7"/>
        <v>2064</v>
      </c>
      <c r="CE4" s="9">
        <f t="shared" si="7"/>
        <v>2065</v>
      </c>
      <c r="CF4" s="9">
        <f t="shared" si="7"/>
        <v>2066</v>
      </c>
      <c r="CG4" s="9">
        <f t="shared" si="7"/>
        <v>2067</v>
      </c>
      <c r="CH4" s="9">
        <f t="shared" si="7"/>
        <v>2068</v>
      </c>
      <c r="CI4" s="9">
        <f t="shared" si="7"/>
        <v>2069</v>
      </c>
      <c r="CJ4" s="9">
        <f t="shared" si="7"/>
        <v>2070</v>
      </c>
      <c r="CK4" s="9">
        <f t="shared" si="7"/>
        <v>2071</v>
      </c>
      <c r="CL4" s="9">
        <f t="shared" si="7"/>
        <v>2072</v>
      </c>
      <c r="CM4" s="9">
        <f t="shared" si="7"/>
        <v>2073</v>
      </c>
      <c r="CN4" s="9">
        <f t="shared" si="7"/>
        <v>2074</v>
      </c>
      <c r="CO4" s="9">
        <f t="shared" si="7"/>
        <v>2075</v>
      </c>
      <c r="CP4" s="9">
        <f t="shared" si="7"/>
        <v>2076</v>
      </c>
      <c r="CQ4" s="9">
        <f t="shared" si="7"/>
        <v>2077</v>
      </c>
      <c r="CR4" s="9">
        <f t="shared" si="7"/>
        <v>2078</v>
      </c>
      <c r="CS4" s="9">
        <f t="shared" si="7"/>
        <v>2079</v>
      </c>
      <c r="CT4" s="9">
        <f t="shared" si="7"/>
        <v>2080</v>
      </c>
      <c r="CU4" s="9">
        <f t="shared" si="7"/>
        <v>2081</v>
      </c>
      <c r="CV4" s="9">
        <f t="shared" si="7"/>
        <v>2082</v>
      </c>
      <c r="CW4" s="9">
        <f t="shared" si="7"/>
        <v>2083</v>
      </c>
      <c r="CX4" s="9">
        <f t="shared" si="7"/>
        <v>2084</v>
      </c>
      <c r="CY4" s="9">
        <f t="shared" si="7"/>
        <v>2085</v>
      </c>
      <c r="CZ4" s="9">
        <f t="shared" si="7"/>
        <v>2086</v>
      </c>
      <c r="DA4" s="9">
        <f t="shared" si="7"/>
        <v>2087</v>
      </c>
      <c r="DB4" s="9">
        <f t="shared" si="7"/>
        <v>2088</v>
      </c>
      <c r="DC4" s="9">
        <f t="shared" si="7"/>
        <v>2089</v>
      </c>
      <c r="DD4" s="9">
        <f t="shared" si="7"/>
        <v>2090</v>
      </c>
      <c r="DE4" s="9">
        <f t="shared" si="7"/>
        <v>2091</v>
      </c>
      <c r="DF4" s="9">
        <f t="shared" si="7"/>
        <v>2092</v>
      </c>
      <c r="DG4" s="9">
        <f t="shared" si="7"/>
        <v>2093</v>
      </c>
      <c r="DH4" s="9">
        <f t="shared" si="7"/>
        <v>2094</v>
      </c>
      <c r="DI4" s="9">
        <f t="shared" si="7"/>
        <v>2095</v>
      </c>
      <c r="DJ4" s="9">
        <f t="shared" si="7"/>
        <v>2096</v>
      </c>
      <c r="DK4" s="9">
        <f t="shared" si="7"/>
        <v>2097</v>
      </c>
      <c r="DL4" s="9">
        <f t="shared" si="7"/>
        <v>2098</v>
      </c>
      <c r="DM4" s="9">
        <f t="shared" ref="DM4:FX4" si="8">+DL4+1</f>
        <v>2099</v>
      </c>
      <c r="DN4" s="9">
        <f t="shared" si="8"/>
        <v>2100</v>
      </c>
      <c r="DO4" s="9">
        <f t="shared" si="8"/>
        <v>2101</v>
      </c>
      <c r="DP4" s="9">
        <f t="shared" si="8"/>
        <v>2102</v>
      </c>
      <c r="DQ4" s="9">
        <f t="shared" si="8"/>
        <v>2103</v>
      </c>
      <c r="DR4" s="9">
        <f t="shared" si="8"/>
        <v>2104</v>
      </c>
      <c r="DS4" s="9">
        <f t="shared" si="8"/>
        <v>2105</v>
      </c>
      <c r="DT4" s="9">
        <f t="shared" si="8"/>
        <v>2106</v>
      </c>
      <c r="DU4" s="9">
        <f t="shared" si="8"/>
        <v>2107</v>
      </c>
      <c r="DV4" s="9">
        <f t="shared" si="8"/>
        <v>2108</v>
      </c>
      <c r="DW4" s="9">
        <f t="shared" si="8"/>
        <v>2109</v>
      </c>
      <c r="DX4" s="9">
        <f t="shared" si="8"/>
        <v>2110</v>
      </c>
      <c r="DY4" s="9">
        <f t="shared" si="8"/>
        <v>2111</v>
      </c>
      <c r="DZ4" s="9">
        <f t="shared" si="8"/>
        <v>2112</v>
      </c>
      <c r="EA4" s="9">
        <f t="shared" si="8"/>
        <v>2113</v>
      </c>
      <c r="EB4" s="9">
        <f t="shared" si="8"/>
        <v>2114</v>
      </c>
      <c r="EC4" s="9">
        <f t="shared" si="8"/>
        <v>2115</v>
      </c>
      <c r="ED4" s="9">
        <f t="shared" si="8"/>
        <v>2116</v>
      </c>
      <c r="EE4" s="9">
        <f t="shared" si="8"/>
        <v>2117</v>
      </c>
      <c r="EF4" s="9">
        <f t="shared" si="8"/>
        <v>2118</v>
      </c>
      <c r="EG4" s="9">
        <f t="shared" si="8"/>
        <v>2119</v>
      </c>
      <c r="EH4" s="9">
        <f t="shared" si="8"/>
        <v>2120</v>
      </c>
      <c r="EI4" s="9">
        <f t="shared" si="8"/>
        <v>2121</v>
      </c>
      <c r="EJ4" s="9">
        <f t="shared" si="8"/>
        <v>2122</v>
      </c>
      <c r="EK4" s="9">
        <f t="shared" si="8"/>
        <v>2123</v>
      </c>
      <c r="EL4" s="9">
        <f t="shared" si="8"/>
        <v>2124</v>
      </c>
      <c r="EM4" s="9">
        <f t="shared" si="8"/>
        <v>2125</v>
      </c>
      <c r="EN4" s="9">
        <f t="shared" si="8"/>
        <v>2126</v>
      </c>
      <c r="EO4" s="9">
        <f t="shared" si="8"/>
        <v>2127</v>
      </c>
      <c r="EP4" s="9">
        <f t="shared" si="8"/>
        <v>2128</v>
      </c>
      <c r="EQ4" s="9">
        <f t="shared" si="8"/>
        <v>2129</v>
      </c>
      <c r="ER4" s="9">
        <f t="shared" si="8"/>
        <v>2130</v>
      </c>
      <c r="ES4" s="9">
        <f t="shared" si="8"/>
        <v>2131</v>
      </c>
      <c r="ET4" s="9">
        <f t="shared" si="8"/>
        <v>2132</v>
      </c>
      <c r="EU4" s="9">
        <f t="shared" si="8"/>
        <v>2133</v>
      </c>
      <c r="EV4" s="9">
        <f t="shared" si="8"/>
        <v>2134</v>
      </c>
      <c r="EW4" s="9">
        <f t="shared" si="8"/>
        <v>2135</v>
      </c>
      <c r="EX4" s="9">
        <f t="shared" si="8"/>
        <v>2136</v>
      </c>
      <c r="EY4" s="9">
        <f t="shared" si="8"/>
        <v>2137</v>
      </c>
      <c r="EZ4" s="9">
        <f t="shared" si="8"/>
        <v>2138</v>
      </c>
      <c r="FA4" s="9">
        <f t="shared" si="8"/>
        <v>2139</v>
      </c>
      <c r="FB4" s="9">
        <f t="shared" si="8"/>
        <v>2140</v>
      </c>
      <c r="FC4" s="9">
        <f t="shared" si="8"/>
        <v>2141</v>
      </c>
      <c r="FD4" s="9">
        <f t="shared" si="8"/>
        <v>2142</v>
      </c>
      <c r="FE4" s="9">
        <f t="shared" si="8"/>
        <v>2143</v>
      </c>
      <c r="FF4" s="9">
        <f t="shared" si="8"/>
        <v>2144</v>
      </c>
      <c r="FG4" s="9">
        <f t="shared" si="8"/>
        <v>2145</v>
      </c>
      <c r="FH4" s="9">
        <f t="shared" si="8"/>
        <v>2146</v>
      </c>
      <c r="FI4" s="9">
        <f t="shared" si="8"/>
        <v>2147</v>
      </c>
      <c r="FJ4" s="9">
        <f t="shared" si="8"/>
        <v>2148</v>
      </c>
      <c r="FK4" s="9">
        <f t="shared" si="8"/>
        <v>2149</v>
      </c>
      <c r="FL4" s="9">
        <f t="shared" si="8"/>
        <v>2150</v>
      </c>
      <c r="FM4" s="9">
        <f t="shared" si="8"/>
        <v>2151</v>
      </c>
      <c r="FN4" s="9">
        <f t="shared" si="8"/>
        <v>2152</v>
      </c>
      <c r="FO4" s="9">
        <f t="shared" si="8"/>
        <v>2153</v>
      </c>
      <c r="FP4" s="9">
        <f t="shared" si="8"/>
        <v>2154</v>
      </c>
      <c r="FQ4" s="9">
        <f t="shared" si="8"/>
        <v>2155</v>
      </c>
      <c r="FR4" s="9">
        <f t="shared" si="8"/>
        <v>2156</v>
      </c>
      <c r="FS4" s="9">
        <f t="shared" si="8"/>
        <v>2157</v>
      </c>
      <c r="FT4" s="9">
        <f t="shared" si="8"/>
        <v>2158</v>
      </c>
      <c r="FU4" s="9">
        <f t="shared" si="8"/>
        <v>2159</v>
      </c>
      <c r="FV4" s="9">
        <f t="shared" si="8"/>
        <v>2160</v>
      </c>
      <c r="FW4" s="9">
        <f t="shared" si="8"/>
        <v>2161</v>
      </c>
      <c r="FX4" s="9">
        <f t="shared" si="8"/>
        <v>2162</v>
      </c>
      <c r="FY4" s="9">
        <f t="shared" ref="FY4:IG4" si="9">+FX4+1</f>
        <v>2163</v>
      </c>
      <c r="FZ4" s="9">
        <f t="shared" si="9"/>
        <v>2164</v>
      </c>
      <c r="GA4" s="9">
        <f t="shared" si="9"/>
        <v>2165</v>
      </c>
      <c r="GB4" s="9">
        <f t="shared" si="9"/>
        <v>2166</v>
      </c>
      <c r="GC4" s="9">
        <f t="shared" si="9"/>
        <v>2167</v>
      </c>
      <c r="GD4" s="9">
        <f t="shared" si="9"/>
        <v>2168</v>
      </c>
      <c r="GE4" s="9">
        <f t="shared" si="9"/>
        <v>2169</v>
      </c>
      <c r="GF4" s="9">
        <f t="shared" si="9"/>
        <v>2170</v>
      </c>
      <c r="GG4" s="9">
        <f t="shared" si="9"/>
        <v>2171</v>
      </c>
      <c r="GH4" s="9">
        <f t="shared" si="9"/>
        <v>2172</v>
      </c>
      <c r="GI4" s="9">
        <f t="shared" si="9"/>
        <v>2173</v>
      </c>
      <c r="GJ4" s="9">
        <f t="shared" si="9"/>
        <v>2174</v>
      </c>
      <c r="GK4" s="9">
        <f t="shared" si="9"/>
        <v>2175</v>
      </c>
      <c r="GL4" s="9">
        <f t="shared" si="9"/>
        <v>2176</v>
      </c>
      <c r="GM4" s="9">
        <f t="shared" si="9"/>
        <v>2177</v>
      </c>
      <c r="GN4" s="9">
        <f t="shared" si="9"/>
        <v>2178</v>
      </c>
      <c r="GO4" s="9">
        <f t="shared" si="9"/>
        <v>2179</v>
      </c>
      <c r="GP4" s="9">
        <f t="shared" si="9"/>
        <v>2180</v>
      </c>
      <c r="GQ4" s="9">
        <f t="shared" si="9"/>
        <v>2181</v>
      </c>
      <c r="GR4" s="9">
        <f t="shared" si="9"/>
        <v>2182</v>
      </c>
      <c r="GS4" s="9">
        <f t="shared" si="9"/>
        <v>2183</v>
      </c>
      <c r="GT4" s="9">
        <f t="shared" si="9"/>
        <v>2184</v>
      </c>
      <c r="GU4" s="9">
        <f t="shared" si="9"/>
        <v>2185</v>
      </c>
      <c r="GV4" s="9">
        <f t="shared" si="9"/>
        <v>2186</v>
      </c>
      <c r="GW4" s="9">
        <f t="shared" si="9"/>
        <v>2187</v>
      </c>
      <c r="GX4" s="9">
        <f t="shared" si="9"/>
        <v>2188</v>
      </c>
      <c r="GY4" s="9">
        <f t="shared" si="9"/>
        <v>2189</v>
      </c>
      <c r="GZ4" s="9">
        <f t="shared" si="9"/>
        <v>2190</v>
      </c>
      <c r="HA4" s="9">
        <f t="shared" si="9"/>
        <v>2191</v>
      </c>
      <c r="HB4" s="9">
        <f t="shared" si="9"/>
        <v>2192</v>
      </c>
      <c r="HC4" s="9">
        <f t="shared" si="9"/>
        <v>2193</v>
      </c>
      <c r="HD4" s="9">
        <f t="shared" si="9"/>
        <v>2194</v>
      </c>
      <c r="HE4" s="9">
        <f t="shared" si="9"/>
        <v>2195</v>
      </c>
      <c r="HF4" s="9">
        <f t="shared" si="9"/>
        <v>2196</v>
      </c>
      <c r="HG4" s="9">
        <f t="shared" si="9"/>
        <v>2197</v>
      </c>
      <c r="HH4" s="9">
        <f t="shared" si="9"/>
        <v>2198</v>
      </c>
      <c r="HI4" s="9">
        <f t="shared" si="9"/>
        <v>2199</v>
      </c>
      <c r="HJ4" s="9">
        <f t="shared" si="9"/>
        <v>2200</v>
      </c>
      <c r="HK4" s="9">
        <f t="shared" si="9"/>
        <v>2201</v>
      </c>
      <c r="HL4" s="9">
        <f t="shared" si="9"/>
        <v>2202</v>
      </c>
      <c r="HM4" s="9">
        <f t="shared" si="9"/>
        <v>2203</v>
      </c>
      <c r="HN4" s="9">
        <f t="shared" si="9"/>
        <v>2204</v>
      </c>
      <c r="HO4" s="9">
        <f t="shared" si="9"/>
        <v>2205</v>
      </c>
      <c r="HP4" s="9">
        <f t="shared" si="9"/>
        <v>2206</v>
      </c>
      <c r="HQ4" s="9">
        <f t="shared" si="9"/>
        <v>2207</v>
      </c>
      <c r="HR4" s="9">
        <f t="shared" si="9"/>
        <v>2208</v>
      </c>
      <c r="HS4" s="9">
        <f t="shared" si="9"/>
        <v>2209</v>
      </c>
      <c r="HT4" s="9">
        <f t="shared" si="9"/>
        <v>2210</v>
      </c>
      <c r="HU4" s="9">
        <f t="shared" si="9"/>
        <v>2211</v>
      </c>
      <c r="HV4" s="9">
        <f t="shared" si="9"/>
        <v>2212</v>
      </c>
      <c r="HW4" s="9">
        <f t="shared" si="9"/>
        <v>2213</v>
      </c>
      <c r="HX4" s="9">
        <f t="shared" si="9"/>
        <v>2214</v>
      </c>
      <c r="HY4" s="9">
        <f t="shared" si="9"/>
        <v>2215</v>
      </c>
      <c r="HZ4" s="9">
        <f t="shared" si="9"/>
        <v>2216</v>
      </c>
      <c r="IA4" s="9">
        <f t="shared" si="9"/>
        <v>2217</v>
      </c>
      <c r="IB4" s="9">
        <f t="shared" si="9"/>
        <v>2218</v>
      </c>
      <c r="IC4" s="9">
        <f t="shared" si="9"/>
        <v>2219</v>
      </c>
      <c r="ID4" s="9">
        <f t="shared" si="9"/>
        <v>2220</v>
      </c>
      <c r="IE4" s="9">
        <f t="shared" si="9"/>
        <v>2221</v>
      </c>
      <c r="IF4" s="9">
        <f t="shared" si="9"/>
        <v>2222</v>
      </c>
      <c r="IG4" s="9">
        <f t="shared" si="9"/>
        <v>2223</v>
      </c>
    </row>
    <row r="5" spans="1:241">
      <c r="B5" s="1" t="s">
        <v>54</v>
      </c>
      <c r="AA5" s="1">
        <f>2.2*1000</f>
        <v>2200</v>
      </c>
      <c r="AB5" s="1"/>
      <c r="AG5" s="2"/>
      <c r="AH5" s="2"/>
      <c r="AI5" s="2"/>
      <c r="AJ5" s="2"/>
      <c r="AK5" s="2"/>
      <c r="AL5" s="2"/>
      <c r="AM5" s="2"/>
      <c r="AN5" s="2"/>
      <c r="AO5" s="2"/>
      <c r="AP5" s="2"/>
      <c r="AQ5" s="2"/>
      <c r="AR5" s="2"/>
      <c r="AS5" s="2"/>
      <c r="AT5" s="2"/>
    </row>
    <row r="6" spans="1:241">
      <c r="AB6" s="1"/>
      <c r="AG6" s="2"/>
      <c r="AH6" s="2"/>
      <c r="AI6" s="2"/>
      <c r="AJ6" s="2"/>
      <c r="AK6" s="2"/>
      <c r="AL6" s="2"/>
      <c r="AM6" s="2"/>
      <c r="AN6" s="2"/>
      <c r="AO6" s="2"/>
      <c r="AP6" s="2"/>
      <c r="AQ6" s="2"/>
      <c r="AR6" s="2"/>
      <c r="AS6" s="2"/>
      <c r="AT6" s="2"/>
    </row>
    <row r="7" spans="1:241">
      <c r="B7" s="1" t="s">
        <v>42</v>
      </c>
      <c r="O7" s="1">
        <v>65957</v>
      </c>
      <c r="P7" s="1">
        <v>47938</v>
      </c>
      <c r="Q7" s="1">
        <v>39570</v>
      </c>
      <c r="R7" s="1">
        <f>+AM7-SUM(O7:Q7)</f>
        <v>38508</v>
      </c>
      <c r="S7" s="1">
        <v>71628</v>
      </c>
      <c r="T7" s="1">
        <v>50570</v>
      </c>
      <c r="U7" s="1">
        <v>40665</v>
      </c>
      <c r="V7" s="1">
        <f>+AN7-SUM(S7:U7)</f>
        <v>42626</v>
      </c>
      <c r="W7" s="1">
        <v>65775</v>
      </c>
      <c r="X7" s="1">
        <v>51334</v>
      </c>
      <c r="Y7" s="1">
        <v>39669</v>
      </c>
      <c r="Z7" s="1">
        <f>+AO7-SUM(W7:Y7)</f>
        <v>43805</v>
      </c>
      <c r="AA7" s="1">
        <v>69702</v>
      </c>
      <c r="AB7" s="1">
        <v>45963</v>
      </c>
      <c r="AC7" s="1">
        <f>+Y7*1.02</f>
        <v>40462.379999999997</v>
      </c>
      <c r="AD7" s="1">
        <f>+Z7*1.02</f>
        <v>44681.1</v>
      </c>
      <c r="AJ7" s="1">
        <v>164888</v>
      </c>
      <c r="AK7" s="1">
        <v>142381</v>
      </c>
      <c r="AL7" s="1">
        <v>137781</v>
      </c>
      <c r="AM7" s="1">
        <v>191973</v>
      </c>
      <c r="AN7" s="1">
        <v>205489</v>
      </c>
      <c r="AO7" s="1">
        <v>200583</v>
      </c>
      <c r="AP7" s="1">
        <f>SUM(AA7:AD7)</f>
        <v>200808.48</v>
      </c>
      <c r="AQ7" s="1">
        <f>+AP7*1.02</f>
        <v>204824.6496</v>
      </c>
      <c r="AR7" s="1">
        <f t="shared" ref="AR7:AY7" si="10">+AQ7*1.02</f>
        <v>208921.14259200002</v>
      </c>
      <c r="AS7" s="1">
        <f t="shared" si="10"/>
        <v>213099.56544384002</v>
      </c>
      <c r="AT7" s="1">
        <f t="shared" si="10"/>
        <v>217361.55675271683</v>
      </c>
      <c r="AU7" s="1">
        <f t="shared" si="10"/>
        <v>221708.78788777118</v>
      </c>
      <c r="AV7" s="1">
        <f t="shared" si="10"/>
        <v>226142.96364552662</v>
      </c>
      <c r="AW7" s="1">
        <f t="shared" si="10"/>
        <v>230665.82291843716</v>
      </c>
      <c r="AX7" s="1">
        <f t="shared" si="10"/>
        <v>235279.13937680592</v>
      </c>
      <c r="AY7" s="1">
        <f t="shared" si="10"/>
        <v>239984.72216434203</v>
      </c>
    </row>
    <row r="8" spans="1:241">
      <c r="B8" s="1" t="s">
        <v>43</v>
      </c>
      <c r="O8" s="1">
        <v>8675</v>
      </c>
      <c r="P8" s="1">
        <v>9102</v>
      </c>
      <c r="Q8" s="1">
        <v>8235</v>
      </c>
      <c r="R8" s="1">
        <f>+AM8-SUM(O8:Q8)</f>
        <v>9178</v>
      </c>
      <c r="S8" s="1">
        <v>10852</v>
      </c>
      <c r="T8" s="1">
        <v>10435</v>
      </c>
      <c r="U8" s="1">
        <v>7382</v>
      </c>
      <c r="V8" s="1">
        <f>+AN8-SUM(S8:U8)</f>
        <v>11508</v>
      </c>
      <c r="W8" s="1">
        <v>7735</v>
      </c>
      <c r="X8" s="1">
        <v>7168</v>
      </c>
      <c r="Y8" s="1">
        <v>6840</v>
      </c>
      <c r="Z8" s="1">
        <f>+AO8-SUM(W8:Y8)</f>
        <v>7614</v>
      </c>
      <c r="AA8" s="1">
        <v>7780</v>
      </c>
      <c r="AB8" s="1">
        <v>7451</v>
      </c>
      <c r="AC8" s="1">
        <f>+Y8*0.98</f>
        <v>6703.2</v>
      </c>
      <c r="AD8" s="1">
        <f>+Z8*0.98</f>
        <v>7461.72</v>
      </c>
      <c r="AJ8" s="1">
        <v>25198</v>
      </c>
      <c r="AK8" s="1">
        <v>25740</v>
      </c>
      <c r="AL8" s="1">
        <v>28622</v>
      </c>
      <c r="AM8" s="1">
        <v>35190</v>
      </c>
      <c r="AN8" s="1">
        <v>40177</v>
      </c>
      <c r="AO8" s="1">
        <v>29357</v>
      </c>
      <c r="AP8" s="1">
        <f t="shared" ref="AP8:AP24" si="11">SUM(AA8:AD8)</f>
        <v>29395.920000000002</v>
      </c>
      <c r="AQ8" s="1">
        <f>+AP8*1.01</f>
        <v>29689.879200000003</v>
      </c>
      <c r="AR8" s="1">
        <f t="shared" ref="AR8:AY8" si="12">+AQ8*1.01</f>
        <v>29986.777992000003</v>
      </c>
      <c r="AS8" s="1">
        <f t="shared" si="12"/>
        <v>30286.645771920004</v>
      </c>
      <c r="AT8" s="1">
        <f t="shared" si="12"/>
        <v>30589.512229639204</v>
      </c>
      <c r="AU8" s="1">
        <f t="shared" si="12"/>
        <v>30895.407351935595</v>
      </c>
      <c r="AV8" s="1">
        <f t="shared" si="12"/>
        <v>31204.36142545495</v>
      </c>
      <c r="AW8" s="1">
        <f t="shared" si="12"/>
        <v>31516.405039709502</v>
      </c>
      <c r="AX8" s="1">
        <f t="shared" si="12"/>
        <v>31831.569090106597</v>
      </c>
      <c r="AY8" s="1">
        <f t="shared" si="12"/>
        <v>32149.884781007662</v>
      </c>
    </row>
    <row r="9" spans="1:241">
      <c r="B9" s="1" t="s">
        <v>44</v>
      </c>
      <c r="O9" s="1">
        <v>8435</v>
      </c>
      <c r="P9" s="1">
        <v>7807</v>
      </c>
      <c r="Q9" s="1">
        <v>7368</v>
      </c>
      <c r="R9" s="1">
        <f>+AM9-SUM(O9:Q9)</f>
        <v>8252</v>
      </c>
      <c r="S9" s="1">
        <v>7248</v>
      </c>
      <c r="T9" s="1">
        <v>7646</v>
      </c>
      <c r="U9" s="1">
        <v>7224</v>
      </c>
      <c r="V9" s="1">
        <f>+AN9-SUM(S9:U9)</f>
        <v>7174</v>
      </c>
      <c r="W9" s="1">
        <v>9396</v>
      </c>
      <c r="X9" s="1">
        <v>6670</v>
      </c>
      <c r="Y9" s="1">
        <v>5791</v>
      </c>
      <c r="Z9" s="1">
        <f>+AO9-SUM(W9:Y9)</f>
        <v>6443</v>
      </c>
      <c r="AA9" s="1">
        <v>7023</v>
      </c>
      <c r="AB9" s="1">
        <v>5559</v>
      </c>
      <c r="AC9" s="1">
        <f>+Y9*0.95</f>
        <v>5501.45</v>
      </c>
      <c r="AD9" s="1">
        <f>+Z9*0.95</f>
        <v>6120.8499999999995</v>
      </c>
      <c r="AJ9" s="1">
        <v>18380</v>
      </c>
      <c r="AK9" s="1">
        <v>21280</v>
      </c>
      <c r="AL9" s="1">
        <v>23724</v>
      </c>
      <c r="AM9" s="1">
        <v>31862</v>
      </c>
      <c r="AN9" s="1">
        <v>29292</v>
      </c>
      <c r="AO9" s="1">
        <v>28300</v>
      </c>
      <c r="AP9" s="1">
        <f>SUM(AA9:AD9)</f>
        <v>24204.3</v>
      </c>
      <c r="AQ9" s="1">
        <f>+AP9*0.99</f>
        <v>23962.256999999998</v>
      </c>
      <c r="AR9" s="1">
        <f t="shared" ref="AR9:AY9" si="13">+AQ9*0.99</f>
        <v>23722.634429999998</v>
      </c>
      <c r="AS9" s="1">
        <f t="shared" si="13"/>
        <v>23485.408085699997</v>
      </c>
      <c r="AT9" s="1">
        <f t="shared" si="13"/>
        <v>23250.554004842998</v>
      </c>
      <c r="AU9" s="1">
        <f t="shared" si="13"/>
        <v>23018.048464794567</v>
      </c>
      <c r="AV9" s="1">
        <f t="shared" si="13"/>
        <v>22787.867980146621</v>
      </c>
      <c r="AW9" s="1">
        <f t="shared" si="13"/>
        <v>22559.989300345154</v>
      </c>
      <c r="AX9" s="1">
        <f t="shared" si="13"/>
        <v>22334.389407341703</v>
      </c>
      <c r="AY9" s="1">
        <f t="shared" si="13"/>
        <v>22111.045513268287</v>
      </c>
    </row>
    <row r="10" spans="1:241">
      <c r="B10" s="1" t="s">
        <v>45</v>
      </c>
      <c r="O10" s="1">
        <v>12971</v>
      </c>
      <c r="P10" s="1">
        <v>7836</v>
      </c>
      <c r="Q10" s="1">
        <v>8775</v>
      </c>
      <c r="R10" s="1">
        <f>+AM10-SUM(O10:Q10)</f>
        <v>8785</v>
      </c>
      <c r="S10" s="1">
        <v>14701</v>
      </c>
      <c r="T10" s="1">
        <v>8806</v>
      </c>
      <c r="U10" s="1">
        <v>8084</v>
      </c>
      <c r="V10" s="1">
        <f>+AN10-SUM(S10:U10)</f>
        <v>9650</v>
      </c>
      <c r="W10" s="1">
        <v>13482</v>
      </c>
      <c r="X10" s="1">
        <v>8757</v>
      </c>
      <c r="Y10" s="1">
        <v>8284</v>
      </c>
      <c r="Z10" s="1">
        <f>+AO10-SUM(W10:Y10)</f>
        <v>9322</v>
      </c>
      <c r="AA10" s="1">
        <v>11953</v>
      </c>
      <c r="AB10" s="1">
        <v>7913</v>
      </c>
      <c r="AC10" s="1">
        <f>+Y10*0.95</f>
        <v>7869.7999999999993</v>
      </c>
      <c r="AD10" s="1">
        <f>+Z10*0.95</f>
        <v>8855.9</v>
      </c>
      <c r="AJ10" s="1">
        <v>17381</v>
      </c>
      <c r="AK10" s="1">
        <v>24482</v>
      </c>
      <c r="AL10" s="1">
        <v>30620</v>
      </c>
      <c r="AM10" s="1">
        <v>38367</v>
      </c>
      <c r="AN10" s="1">
        <v>41241</v>
      </c>
      <c r="AO10" s="1">
        <v>39845</v>
      </c>
      <c r="AP10" s="1">
        <f t="shared" si="11"/>
        <v>36591.699999999997</v>
      </c>
      <c r="AQ10" s="1">
        <f>+AP10*1.02</f>
        <v>37323.534</v>
      </c>
      <c r="AR10" s="1">
        <f t="shared" ref="AR10:AY10" si="14">+AQ10*1.02</f>
        <v>38070.004679999998</v>
      </c>
      <c r="AS10" s="1">
        <f t="shared" si="14"/>
        <v>38831.404773599999</v>
      </c>
      <c r="AT10" s="1">
        <f t="shared" si="14"/>
        <v>39608.032869071998</v>
      </c>
      <c r="AU10" s="1">
        <f t="shared" si="14"/>
        <v>40400.19352645344</v>
      </c>
      <c r="AV10" s="1">
        <f t="shared" si="14"/>
        <v>41208.197396982512</v>
      </c>
      <c r="AW10" s="1">
        <f t="shared" si="14"/>
        <v>42032.361344922167</v>
      </c>
      <c r="AX10" s="1">
        <f t="shared" si="14"/>
        <v>42873.00857182061</v>
      </c>
      <c r="AY10" s="1">
        <f t="shared" si="14"/>
        <v>43730.468743257021</v>
      </c>
    </row>
    <row r="11" spans="1:241">
      <c r="B11" s="1" t="s">
        <v>30</v>
      </c>
      <c r="O11" s="1">
        <v>15761</v>
      </c>
      <c r="P11" s="1">
        <v>16901</v>
      </c>
      <c r="Q11" s="1">
        <v>17486</v>
      </c>
      <c r="R11" s="1">
        <f>+AM11-SUM(O11:Q11)</f>
        <v>18277</v>
      </c>
      <c r="S11" s="1">
        <v>19516</v>
      </c>
      <c r="T11" s="1">
        <v>19821</v>
      </c>
      <c r="U11" s="1">
        <v>19604</v>
      </c>
      <c r="V11" s="1">
        <f>+AN11-SUM(S11:U11)</f>
        <v>19188</v>
      </c>
      <c r="W11" s="1">
        <v>20766</v>
      </c>
      <c r="X11" s="1">
        <v>20907</v>
      </c>
      <c r="Y11" s="1">
        <v>21213</v>
      </c>
      <c r="Z11" s="1">
        <f>+AO11-SUM(W11:Y11)</f>
        <v>22314</v>
      </c>
      <c r="AA11" s="1">
        <v>23117</v>
      </c>
      <c r="AB11" s="1">
        <v>23867</v>
      </c>
      <c r="AC11" s="1">
        <f>+Y11*1.1</f>
        <v>23334.300000000003</v>
      </c>
      <c r="AD11" s="1">
        <f>+Z11*1.1</f>
        <v>24545.4</v>
      </c>
      <c r="AJ11" s="1">
        <v>39748</v>
      </c>
      <c r="AK11" s="1">
        <v>46291</v>
      </c>
      <c r="AL11" s="1">
        <v>53768</v>
      </c>
      <c r="AM11" s="1">
        <v>68425</v>
      </c>
      <c r="AN11" s="1">
        <v>78129</v>
      </c>
      <c r="AO11" s="1">
        <v>85200</v>
      </c>
      <c r="AP11" s="1">
        <f t="shared" si="11"/>
        <v>94863.700000000012</v>
      </c>
      <c r="AQ11" s="1">
        <f>+AP11*1.1</f>
        <v>104350.07000000002</v>
      </c>
      <c r="AR11" s="1">
        <f>+AQ11*1.09</f>
        <v>113741.57630000003</v>
      </c>
      <c r="AS11" s="1">
        <f>+AR11*1.08</f>
        <v>122840.90240400004</v>
      </c>
      <c r="AT11" s="1">
        <f>+AS11*1.07</f>
        <v>131439.76557228004</v>
      </c>
      <c r="AU11" s="1">
        <f t="shared" ref="AU11:AY11" si="15">+AT11*1.07</f>
        <v>140640.54916233965</v>
      </c>
      <c r="AV11" s="1">
        <f t="shared" si="15"/>
        <v>150485.38760370345</v>
      </c>
      <c r="AW11" s="1">
        <f t="shared" si="15"/>
        <v>161019.36473596271</v>
      </c>
      <c r="AX11" s="1">
        <f t="shared" si="15"/>
        <v>172290.72026748009</v>
      </c>
      <c r="AY11" s="1">
        <f t="shared" si="15"/>
        <v>184351.07068620372</v>
      </c>
    </row>
    <row r="12" spans="1:241">
      <c r="B12" s="27" t="s">
        <v>31</v>
      </c>
      <c r="C12" s="27">
        <v>88293</v>
      </c>
      <c r="D12" s="27">
        <v>61137</v>
      </c>
      <c r="E12" s="27">
        <v>53265</v>
      </c>
      <c r="F12" s="27">
        <v>62900</v>
      </c>
      <c r="G12" s="27">
        <v>84310</v>
      </c>
      <c r="H12" s="27">
        <v>58015</v>
      </c>
      <c r="I12" s="27">
        <v>53809</v>
      </c>
      <c r="J12" s="27">
        <v>64040</v>
      </c>
      <c r="K12" s="27">
        <v>91819</v>
      </c>
      <c r="L12" s="27">
        <v>58313</v>
      </c>
      <c r="M12" s="27">
        <v>59685</v>
      </c>
      <c r="N12" s="27">
        <v>64698</v>
      </c>
      <c r="O12" s="27">
        <f t="shared" ref="O12:Z12" si="16">SUM(O7:O11)</f>
        <v>111799</v>
      </c>
      <c r="P12" s="27">
        <f t="shared" si="16"/>
        <v>89584</v>
      </c>
      <c r="Q12" s="27">
        <f t="shared" si="16"/>
        <v>81434</v>
      </c>
      <c r="R12" s="27">
        <f t="shared" si="16"/>
        <v>83000</v>
      </c>
      <c r="S12" s="27">
        <f t="shared" si="16"/>
        <v>123945</v>
      </c>
      <c r="T12" s="27">
        <f t="shared" si="16"/>
        <v>97278</v>
      </c>
      <c r="U12" s="27">
        <f t="shared" si="16"/>
        <v>82959</v>
      </c>
      <c r="V12" s="27">
        <f t="shared" si="16"/>
        <v>90146</v>
      </c>
      <c r="W12" s="27">
        <f t="shared" si="16"/>
        <v>117154</v>
      </c>
      <c r="X12" s="27">
        <f t="shared" si="16"/>
        <v>94836</v>
      </c>
      <c r="Y12" s="27">
        <f t="shared" si="16"/>
        <v>81797</v>
      </c>
      <c r="Z12" s="27">
        <f t="shared" si="16"/>
        <v>89498</v>
      </c>
      <c r="AA12" s="27">
        <f>SUM(AA7:AA11)</f>
        <v>119575</v>
      </c>
      <c r="AB12" s="27">
        <f>SUM(AB7:AB11)</f>
        <v>90753</v>
      </c>
      <c r="AC12" s="27">
        <f t="shared" ref="AC12:AD12" si="17">SUM(AC7:AC11)</f>
        <v>83871.12999999999</v>
      </c>
      <c r="AD12" s="27">
        <f t="shared" si="17"/>
        <v>91664.97</v>
      </c>
      <c r="AJ12" s="1">
        <f t="shared" ref="AJ12:AO12" si="18">+SUM(AJ7:AJ11)</f>
        <v>265595</v>
      </c>
      <c r="AK12" s="1">
        <f t="shared" si="18"/>
        <v>260174</v>
      </c>
      <c r="AL12" s="1">
        <f t="shared" si="18"/>
        <v>274515</v>
      </c>
      <c r="AM12" s="1">
        <f t="shared" si="18"/>
        <v>365817</v>
      </c>
      <c r="AN12" s="1">
        <f t="shared" si="18"/>
        <v>394328</v>
      </c>
      <c r="AO12" s="1">
        <f t="shared" si="18"/>
        <v>383285</v>
      </c>
      <c r="AP12" s="1">
        <f t="shared" si="11"/>
        <v>385864.1</v>
      </c>
      <c r="AQ12" s="1">
        <f>SUM(AQ7:AQ11)</f>
        <v>400150.3898</v>
      </c>
      <c r="AR12" s="1">
        <f t="shared" ref="AR12:AY12" si="19">SUM(AR7:AR11)</f>
        <v>414442.13599400001</v>
      </c>
      <c r="AS12" s="1">
        <f t="shared" si="19"/>
        <v>428543.92647906009</v>
      </c>
      <c r="AT12" s="1">
        <f t="shared" si="19"/>
        <v>442249.42142855102</v>
      </c>
      <c r="AU12" s="1">
        <f t="shared" si="19"/>
        <v>456662.98639329447</v>
      </c>
      <c r="AV12" s="1">
        <f t="shared" si="19"/>
        <v>471828.77805181418</v>
      </c>
      <c r="AW12" s="1">
        <f t="shared" si="19"/>
        <v>487793.94333937665</v>
      </c>
      <c r="AX12" s="1">
        <f t="shared" si="19"/>
        <v>504608.82671355491</v>
      </c>
      <c r="AY12" s="1">
        <f t="shared" si="19"/>
        <v>522327.19188807876</v>
      </c>
    </row>
    <row r="13" spans="1:241">
      <c r="B13" s="1" t="s">
        <v>29</v>
      </c>
      <c r="O13" s="1">
        <v>62130</v>
      </c>
      <c r="P13" s="1">
        <v>46447</v>
      </c>
      <c r="Q13" s="1">
        <v>40899</v>
      </c>
      <c r="R13" s="1">
        <v>42790</v>
      </c>
      <c r="S13" s="1">
        <v>64309</v>
      </c>
      <c r="T13" s="1">
        <v>49290</v>
      </c>
      <c r="U13" s="1">
        <v>41485</v>
      </c>
      <c r="V13" s="1">
        <v>46387</v>
      </c>
      <c r="W13" s="1">
        <v>60765</v>
      </c>
      <c r="X13" s="1">
        <v>46795</v>
      </c>
      <c r="Y13" s="1">
        <v>39136</v>
      </c>
      <c r="Z13" s="1">
        <v>42586</v>
      </c>
      <c r="AA13" s="1">
        <v>58440</v>
      </c>
      <c r="AB13" s="1">
        <v>42424</v>
      </c>
      <c r="AC13" s="1">
        <f>+AC$12*(AB13/AB$12)</f>
        <v>39206.955352660509</v>
      </c>
      <c r="AD13" s="1">
        <f>+AD$12*(AC13/AC$12)</f>
        <v>42850.315551882573</v>
      </c>
      <c r="AJ13" s="1">
        <v>148164</v>
      </c>
      <c r="AK13" s="1">
        <v>144996</v>
      </c>
      <c r="AL13" s="1">
        <v>151286</v>
      </c>
      <c r="AM13" s="1">
        <f>SUM(O13:R13)</f>
        <v>192266</v>
      </c>
      <c r="AN13" s="1">
        <f>SUM(S13:V13)</f>
        <v>201471</v>
      </c>
      <c r="AO13" s="1">
        <f>SUM(W13:Z13)</f>
        <v>189282</v>
      </c>
      <c r="AP13" s="1">
        <f t="shared" si="11"/>
        <v>182921.27090454308</v>
      </c>
      <c r="AQ13" s="1">
        <f>+AQ12*0.488</f>
        <v>195273.39022239999</v>
      </c>
      <c r="AR13" s="1">
        <f>+AR12*0.487</f>
        <v>201833.320229078</v>
      </c>
      <c r="AS13" s="1">
        <f>+AS12*0.486</f>
        <v>208272.3482688232</v>
      </c>
      <c r="AT13" s="1">
        <f>+AT12*0.485</f>
        <v>214490.96939284724</v>
      </c>
      <c r="AU13" s="1">
        <f>+AU12*0.484</f>
        <v>221024.88541435453</v>
      </c>
      <c r="AV13" s="1">
        <f>+AV12*0.483</f>
        <v>227893.29979902625</v>
      </c>
      <c r="AW13" s="1">
        <f>+AW12*0.482</f>
        <v>235116.68068957955</v>
      </c>
      <c r="AX13" s="1">
        <f>+AX12*0.481</f>
        <v>242716.8456492199</v>
      </c>
      <c r="AY13" s="1">
        <f>+AY12*0.48</f>
        <v>250717.05210627778</v>
      </c>
    </row>
    <row r="14" spans="1:241">
      <c r="B14" s="1" t="s">
        <v>30</v>
      </c>
      <c r="O14" s="1">
        <v>4981</v>
      </c>
      <c r="P14" s="1">
        <v>5058</v>
      </c>
      <c r="Q14" s="1">
        <v>5280</v>
      </c>
      <c r="R14" s="1">
        <v>5396</v>
      </c>
      <c r="S14" s="1">
        <v>5393</v>
      </c>
      <c r="T14" s="1">
        <v>5429</v>
      </c>
      <c r="U14" s="1">
        <v>5589</v>
      </c>
      <c r="V14" s="1">
        <v>5664</v>
      </c>
      <c r="W14" s="1">
        <v>6057</v>
      </c>
      <c r="X14" s="1">
        <v>6065</v>
      </c>
      <c r="Y14" s="1">
        <v>6248</v>
      </c>
      <c r="Z14" s="1">
        <v>6485</v>
      </c>
      <c r="AA14" s="1">
        <v>6280</v>
      </c>
      <c r="AB14" s="1">
        <v>6058</v>
      </c>
      <c r="AC14" s="1">
        <f t="shared" ref="AC14" si="20">+AC$12*(AB14/AB$12)</f>
        <v>5598.617186649476</v>
      </c>
      <c r="AD14" s="1">
        <f t="shared" ref="AD14" si="21">+AD$12*(AC14/AC$12)</f>
        <v>6118.8763816072196</v>
      </c>
      <c r="AJ14" s="1">
        <v>15592</v>
      </c>
      <c r="AK14" s="1">
        <v>16786</v>
      </c>
      <c r="AL14" s="1">
        <v>18273</v>
      </c>
      <c r="AM14" s="1">
        <f t="shared" ref="AM14:AM24" si="22">SUM(O14:R14)</f>
        <v>20715</v>
      </c>
      <c r="AN14" s="1">
        <f t="shared" ref="AN14:AN24" si="23">SUM(S14:V14)</f>
        <v>22075</v>
      </c>
      <c r="AO14" s="1">
        <f t="shared" ref="AO14:AO24" si="24">SUM(W14:Z14)</f>
        <v>24855</v>
      </c>
      <c r="AP14" s="1">
        <f t="shared" si="11"/>
        <v>24055.493568256697</v>
      </c>
      <c r="AQ14" s="1">
        <f>+AQ$12*(AP14/AP$12)</f>
        <v>24946.127738157844</v>
      </c>
      <c r="AR14" s="1">
        <f t="shared" ref="AR14:AY14" si="25">+AR$12*(AQ14/AQ$12)</f>
        <v>25837.102069921086</v>
      </c>
      <c r="AS14" s="1">
        <f t="shared" si="25"/>
        <v>26716.234205598561</v>
      </c>
      <c r="AT14" s="1">
        <f t="shared" si="25"/>
        <v>27570.660532399248</v>
      </c>
      <c r="AU14" s="1">
        <f t="shared" si="25"/>
        <v>28469.2292753972</v>
      </c>
      <c r="AV14" s="1">
        <f t="shared" si="25"/>
        <v>29414.693244963277</v>
      </c>
      <c r="AW14" s="1">
        <f t="shared" si="25"/>
        <v>30409.99166969653</v>
      </c>
      <c r="AX14" s="1">
        <f t="shared" si="25"/>
        <v>31458.263117749178</v>
      </c>
      <c r="AY14" s="1">
        <f t="shared" si="25"/>
        <v>32562.859320131785</v>
      </c>
    </row>
    <row r="15" spans="1:241">
      <c r="B15" s="1" t="s">
        <v>32</v>
      </c>
      <c r="C15" s="1">
        <v>33912</v>
      </c>
      <c r="D15" s="1">
        <v>23422</v>
      </c>
      <c r="E15" s="1">
        <v>20421</v>
      </c>
      <c r="F15" s="1">
        <v>24084</v>
      </c>
      <c r="G15" s="1">
        <v>32031</v>
      </c>
      <c r="H15" s="1">
        <v>21821</v>
      </c>
      <c r="I15" s="1">
        <v>20227</v>
      </c>
      <c r="J15" s="1">
        <v>24313</v>
      </c>
      <c r="K15" s="1">
        <v>35217</v>
      </c>
      <c r="L15" s="1">
        <v>22370</v>
      </c>
      <c r="M15" s="1">
        <v>22680</v>
      </c>
      <c r="N15" s="1">
        <v>24689</v>
      </c>
      <c r="O15" s="1">
        <f t="shared" ref="O15:Z15" si="26">+O12-SUM(O13:O14)</f>
        <v>44688</v>
      </c>
      <c r="P15" s="1">
        <f t="shared" si="26"/>
        <v>38079</v>
      </c>
      <c r="Q15" s="1">
        <f t="shared" si="26"/>
        <v>35255</v>
      </c>
      <c r="R15" s="1">
        <f t="shared" si="26"/>
        <v>34814</v>
      </c>
      <c r="S15" s="1">
        <f>+S12-SUM(S13:S14)</f>
        <v>54243</v>
      </c>
      <c r="T15" s="1">
        <f t="shared" si="26"/>
        <v>42559</v>
      </c>
      <c r="U15" s="1">
        <f t="shared" si="26"/>
        <v>35885</v>
      </c>
      <c r="V15" s="1">
        <f t="shared" si="26"/>
        <v>38095</v>
      </c>
      <c r="W15" s="1">
        <f>+W12-SUM(W13:W14)</f>
        <v>50332</v>
      </c>
      <c r="X15" s="1">
        <f t="shared" si="26"/>
        <v>41976</v>
      </c>
      <c r="Y15" s="1">
        <f t="shared" si="26"/>
        <v>36413</v>
      </c>
      <c r="Z15" s="1">
        <f t="shared" si="26"/>
        <v>40427</v>
      </c>
      <c r="AA15" s="1">
        <f>+AA12-SUM(AA13:AA14)</f>
        <v>54855</v>
      </c>
      <c r="AB15" s="1">
        <f>+AB12-SUM(AB13:AB14)</f>
        <v>42271</v>
      </c>
      <c r="AC15" s="1">
        <f>+AC12-SUM(AC13:AC14)</f>
        <v>39065.557460690005</v>
      </c>
      <c r="AD15" s="1">
        <f>+AD12-SUM(AD13:AD14)</f>
        <v>42695.778066510211</v>
      </c>
      <c r="AJ15" s="1">
        <f>+AJ12-SUM(AJ13:AJ14)</f>
        <v>101839</v>
      </c>
      <c r="AK15" s="1">
        <f>+AK12-SUM(AK13:AK14)</f>
        <v>98392</v>
      </c>
      <c r="AL15" s="1">
        <f>+AL12-SUM(AL13:AL14)</f>
        <v>104956</v>
      </c>
      <c r="AM15" s="1">
        <f t="shared" si="22"/>
        <v>152836</v>
      </c>
      <c r="AN15" s="1">
        <f t="shared" si="23"/>
        <v>170782</v>
      </c>
      <c r="AO15" s="1">
        <f t="shared" si="24"/>
        <v>169148</v>
      </c>
      <c r="AP15" s="1">
        <f t="shared" si="11"/>
        <v>178887.33552720022</v>
      </c>
      <c r="AQ15" s="1">
        <f>+AQ12-SUM(AQ13:AQ14)</f>
        <v>179930.87183944217</v>
      </c>
      <c r="AR15" s="1">
        <f t="shared" ref="AR15:AY15" si="27">+AR12-SUM(AR13:AR14)</f>
        <v>186771.71369500092</v>
      </c>
      <c r="AS15" s="1">
        <f t="shared" si="27"/>
        <v>193555.34400463832</v>
      </c>
      <c r="AT15" s="1">
        <f t="shared" si="27"/>
        <v>200187.79150330453</v>
      </c>
      <c r="AU15" s="1">
        <f t="shared" si="27"/>
        <v>207168.87170354274</v>
      </c>
      <c r="AV15" s="1">
        <f t="shared" si="27"/>
        <v>214520.78500782466</v>
      </c>
      <c r="AW15" s="1">
        <f t="shared" si="27"/>
        <v>222267.27098010055</v>
      </c>
      <c r="AX15" s="1">
        <f t="shared" si="27"/>
        <v>230433.71794658585</v>
      </c>
      <c r="AY15" s="1">
        <f t="shared" si="27"/>
        <v>239047.2804616692</v>
      </c>
    </row>
    <row r="16" spans="1:241">
      <c r="B16" s="1" t="s">
        <v>33</v>
      </c>
      <c r="O16" s="1">
        <v>5163</v>
      </c>
      <c r="P16" s="1">
        <v>5262</v>
      </c>
      <c r="Q16" s="1">
        <v>5717</v>
      </c>
      <c r="R16" s="1">
        <v>5772</v>
      </c>
      <c r="S16" s="1">
        <v>6306</v>
      </c>
      <c r="T16" s="1">
        <v>6387</v>
      </c>
      <c r="U16" s="1">
        <v>6797</v>
      </c>
      <c r="V16" s="1">
        <v>6761</v>
      </c>
      <c r="W16" s="1">
        <v>7709</v>
      </c>
      <c r="X16" s="1">
        <v>7457</v>
      </c>
      <c r="Y16" s="1">
        <v>7442</v>
      </c>
      <c r="Z16" s="1">
        <v>7307</v>
      </c>
      <c r="AA16" s="1">
        <v>7696</v>
      </c>
      <c r="AB16" s="1">
        <v>7903</v>
      </c>
      <c r="AC16" s="1">
        <f t="shared" ref="AC16:AD17" si="28">+AC$12*(Y16/Y$12)</f>
        <v>7630.7071097962016</v>
      </c>
      <c r="AD16" s="1">
        <f t="shared" si="28"/>
        <v>7483.9207109656081</v>
      </c>
      <c r="AJ16" s="1">
        <v>14236</v>
      </c>
      <c r="AK16" s="1">
        <v>16217</v>
      </c>
      <c r="AL16" s="1">
        <v>18752</v>
      </c>
      <c r="AM16" s="1">
        <f t="shared" si="22"/>
        <v>21914</v>
      </c>
      <c r="AN16" s="1">
        <f t="shared" si="23"/>
        <v>26251</v>
      </c>
      <c r="AO16" s="1">
        <f t="shared" si="24"/>
        <v>29915</v>
      </c>
      <c r="AP16" s="1">
        <f t="shared" si="11"/>
        <v>30713.627820761812</v>
      </c>
      <c r="AQ16" s="1">
        <f>+AQ12*0.077</f>
        <v>30811.5800146</v>
      </c>
      <c r="AR16" s="1">
        <f>+AR12*0.076</f>
        <v>31497.602335544001</v>
      </c>
      <c r="AS16" s="1">
        <f>+AS12*0.075</f>
        <v>32140.794485929506</v>
      </c>
      <c r="AT16" s="1">
        <f>+AT12*0.074</f>
        <v>32726.457185712774</v>
      </c>
      <c r="AU16" s="1">
        <f>+AU12*0.073</f>
        <v>33336.398006710493</v>
      </c>
      <c r="AV16" s="1">
        <f>+AV12*0.072</f>
        <v>33971.67201973062</v>
      </c>
      <c r="AW16" s="1">
        <f>+AW12*0.071</f>
        <v>34633.369977095739</v>
      </c>
      <c r="AX16" s="1">
        <f>+AX12*0.07</f>
        <v>35322.617869948845</v>
      </c>
      <c r="AY16" s="1">
        <f>+AY12*0.069</f>
        <v>36040.576240277434</v>
      </c>
    </row>
    <row r="17" spans="2:241">
      <c r="B17" s="1" t="s">
        <v>34</v>
      </c>
      <c r="O17" s="1">
        <v>5631</v>
      </c>
      <c r="P17" s="1">
        <v>5314</v>
      </c>
      <c r="Q17" s="1">
        <v>5412</v>
      </c>
      <c r="R17" s="1">
        <v>5616</v>
      </c>
      <c r="S17" s="1">
        <v>6449</v>
      </c>
      <c r="T17" s="1">
        <v>6193</v>
      </c>
      <c r="U17" s="1">
        <v>6012</v>
      </c>
      <c r="V17" s="1">
        <v>6440</v>
      </c>
      <c r="W17" s="1">
        <v>6607</v>
      </c>
      <c r="X17" s="1">
        <v>6201</v>
      </c>
      <c r="Y17" s="1">
        <v>5973</v>
      </c>
      <c r="Z17" s="1">
        <v>6151</v>
      </c>
      <c r="AA17" s="1">
        <v>6786</v>
      </c>
      <c r="AB17" s="1">
        <v>6468</v>
      </c>
      <c r="AC17" s="1">
        <f t="shared" si="28"/>
        <v>6124.457614460187</v>
      </c>
      <c r="AD17" s="1">
        <f t="shared" si="28"/>
        <v>6299.9310651634678</v>
      </c>
      <c r="AJ17" s="1">
        <v>16705</v>
      </c>
      <c r="AK17" s="1">
        <v>18245</v>
      </c>
      <c r="AL17" s="1">
        <v>19916</v>
      </c>
      <c r="AM17" s="1">
        <f t="shared" si="22"/>
        <v>21973</v>
      </c>
      <c r="AN17" s="1">
        <f t="shared" si="23"/>
        <v>25094</v>
      </c>
      <c r="AO17" s="1">
        <f t="shared" si="24"/>
        <v>24932</v>
      </c>
      <c r="AP17" s="1">
        <f t="shared" si="11"/>
        <v>25678.388679623655</v>
      </c>
      <c r="AQ17" s="1">
        <f>+AQ$12*(AP17/AP$12)</f>
        <v>26629.10915938361</v>
      </c>
      <c r="AR17" s="1">
        <f t="shared" ref="AR17:AY17" si="29">+AR$12*(AQ17/AQ$12)</f>
        <v>27580.192749901787</v>
      </c>
      <c r="AS17" s="1">
        <f t="shared" si="29"/>
        <v>28518.635214888789</v>
      </c>
      <c r="AT17" s="1">
        <f t="shared" si="29"/>
        <v>29430.705102602227</v>
      </c>
      <c r="AU17" s="1">
        <f t="shared" si="29"/>
        <v>30389.8954585428</v>
      </c>
      <c r="AV17" s="1">
        <f t="shared" si="29"/>
        <v>31399.144810430324</v>
      </c>
      <c r="AW17" s="1">
        <f t="shared" si="29"/>
        <v>32461.590680850673</v>
      </c>
      <c r="AX17" s="1">
        <f t="shared" si="29"/>
        <v>33580.583380313234</v>
      </c>
      <c r="AY17" s="1">
        <f t="shared" si="29"/>
        <v>34759.700763140325</v>
      </c>
    </row>
    <row r="18" spans="2:241">
      <c r="B18" s="1" t="s">
        <v>36</v>
      </c>
      <c r="O18" s="1">
        <f t="shared" ref="O18:Z18" si="30">+O15-SUM(O16:O17)</f>
        <v>33894</v>
      </c>
      <c r="P18" s="1">
        <f t="shared" si="30"/>
        <v>27503</v>
      </c>
      <c r="Q18" s="1">
        <f t="shared" si="30"/>
        <v>24126</v>
      </c>
      <c r="R18" s="1">
        <f t="shared" si="30"/>
        <v>23426</v>
      </c>
      <c r="S18" s="1">
        <f>+S15-SUM(S16:S17)</f>
        <v>41488</v>
      </c>
      <c r="T18" s="1">
        <f t="shared" si="30"/>
        <v>29979</v>
      </c>
      <c r="U18" s="1">
        <f t="shared" si="30"/>
        <v>23076</v>
      </c>
      <c r="V18" s="1">
        <f t="shared" si="30"/>
        <v>24894</v>
      </c>
      <c r="W18" s="1">
        <f>+W15-SUM(W16:W17)</f>
        <v>36016</v>
      </c>
      <c r="X18" s="1">
        <f t="shared" si="30"/>
        <v>28318</v>
      </c>
      <c r="Y18" s="1">
        <f t="shared" si="30"/>
        <v>22998</v>
      </c>
      <c r="Z18" s="1">
        <f t="shared" si="30"/>
        <v>26969</v>
      </c>
      <c r="AA18" s="1">
        <f>+AA15-SUM(AA16:AA17)</f>
        <v>40373</v>
      </c>
      <c r="AB18" s="1">
        <f>+AB15-SUM(AB16:AB17)</f>
        <v>27900</v>
      </c>
      <c r="AC18" s="1">
        <f>+AC15-SUM(AC16:AC17)</f>
        <v>25310.392736433616</v>
      </c>
      <c r="AD18" s="1">
        <f>+AD15-SUM(AD16:AD17)</f>
        <v>28911.926290381136</v>
      </c>
      <c r="AJ18" s="1">
        <f>+AJ15-SUM(AJ16:AJ17)</f>
        <v>70898</v>
      </c>
      <c r="AK18" s="1">
        <f>+AK15-SUM(AK16:AK17)</f>
        <v>63930</v>
      </c>
      <c r="AL18" s="1">
        <f>+AL15-SUM(AL16:AL17)</f>
        <v>66288</v>
      </c>
      <c r="AM18" s="1">
        <f t="shared" si="22"/>
        <v>108949</v>
      </c>
      <c r="AN18" s="1">
        <f t="shared" si="23"/>
        <v>119437</v>
      </c>
      <c r="AO18" s="1">
        <f t="shared" si="24"/>
        <v>114301</v>
      </c>
      <c r="AP18" s="1">
        <f t="shared" si="11"/>
        <v>122495.31902681474</v>
      </c>
      <c r="AQ18" s="1">
        <f>+AQ15-SUM(AQ16:AQ17)</f>
        <v>122490.18266545856</v>
      </c>
      <c r="AR18" s="1">
        <f t="shared" ref="AR18:AY18" si="31">+AR15-SUM(AR16:AR17)</f>
        <v>127693.91860955513</v>
      </c>
      <c r="AS18" s="1">
        <f t="shared" si="31"/>
        <v>132895.91430382003</v>
      </c>
      <c r="AT18" s="1">
        <f t="shared" si="31"/>
        <v>138030.62921498955</v>
      </c>
      <c r="AU18" s="1">
        <f t="shared" si="31"/>
        <v>143442.57823828945</v>
      </c>
      <c r="AV18" s="1">
        <f t="shared" si="31"/>
        <v>149149.96817766372</v>
      </c>
      <c r="AW18" s="1">
        <f t="shared" si="31"/>
        <v>155172.31032215414</v>
      </c>
      <c r="AX18" s="1">
        <f t="shared" si="31"/>
        <v>161530.51669632376</v>
      </c>
      <c r="AY18" s="1">
        <f t="shared" si="31"/>
        <v>168247.00345825145</v>
      </c>
    </row>
    <row r="19" spans="2:241">
      <c r="B19" s="1" t="s">
        <v>37</v>
      </c>
      <c r="O19" s="1">
        <v>45</v>
      </c>
      <c r="P19" s="1">
        <v>508</v>
      </c>
      <c r="Q19" s="1">
        <v>243</v>
      </c>
      <c r="R19" s="1">
        <v>-538</v>
      </c>
      <c r="S19" s="1">
        <v>-247</v>
      </c>
      <c r="T19" s="1">
        <v>160</v>
      </c>
      <c r="U19" s="1">
        <v>-10</v>
      </c>
      <c r="V19" s="1">
        <v>-237</v>
      </c>
      <c r="W19" s="1">
        <v>-393</v>
      </c>
      <c r="X19" s="1">
        <v>64</v>
      </c>
      <c r="Y19" s="1">
        <v>265</v>
      </c>
      <c r="Z19" s="1">
        <v>29</v>
      </c>
      <c r="AA19" s="1">
        <v>-50</v>
      </c>
      <c r="AB19" s="1">
        <v>158</v>
      </c>
      <c r="AC19" s="1">
        <f>+AB19</f>
        <v>158</v>
      </c>
      <c r="AD19" s="1">
        <f>+AC19</f>
        <v>158</v>
      </c>
      <c r="AJ19" s="1">
        <v>2005</v>
      </c>
      <c r="AK19" s="1">
        <v>1807</v>
      </c>
      <c r="AL19" s="1">
        <v>803</v>
      </c>
      <c r="AM19" s="1">
        <f t="shared" si="22"/>
        <v>258</v>
      </c>
      <c r="AN19" s="1">
        <f t="shared" si="23"/>
        <v>-334</v>
      </c>
      <c r="AO19" s="1">
        <f t="shared" si="24"/>
        <v>-35</v>
      </c>
      <c r="AP19" s="1">
        <f>+AO48*$BB$25</f>
        <v>577.47</v>
      </c>
      <c r="AQ19" s="1">
        <f t="shared" ref="AQ19:AY19" si="32">+AP48*$BB$25</f>
        <v>1612.4196487696179</v>
      </c>
      <c r="AR19" s="1">
        <f t="shared" si="32"/>
        <v>2657.3322442297904</v>
      </c>
      <c r="AS19" s="1">
        <f t="shared" si="32"/>
        <v>3754.8568836103195</v>
      </c>
      <c r="AT19" s="1">
        <f t="shared" si="32"/>
        <v>4905.4218945804532</v>
      </c>
      <c r="AU19" s="1">
        <f t="shared" si="32"/>
        <v>6108.9073764687346</v>
      </c>
      <c r="AV19" s="1">
        <f t="shared" si="32"/>
        <v>7368.0931475532925</v>
      </c>
      <c r="AW19" s="1">
        <f t="shared" si="32"/>
        <v>8685.9357281756056</v>
      </c>
      <c r="AX19" s="1">
        <f t="shared" si="32"/>
        <v>10065.580811962634</v>
      </c>
      <c r="AY19" s="1">
        <f t="shared" si="32"/>
        <v>11510.376652457782</v>
      </c>
    </row>
    <row r="20" spans="2:241">
      <c r="B20" s="1" t="s">
        <v>35</v>
      </c>
      <c r="O20" s="1">
        <f t="shared" ref="O20:Z20" si="33">+SUM(O18:O19)</f>
        <v>33939</v>
      </c>
      <c r="P20" s="1">
        <f t="shared" si="33"/>
        <v>28011</v>
      </c>
      <c r="Q20" s="1">
        <f t="shared" si="33"/>
        <v>24369</v>
      </c>
      <c r="R20" s="1">
        <f t="shared" si="33"/>
        <v>22888</v>
      </c>
      <c r="S20" s="1">
        <f>+SUM(S18:S19)</f>
        <v>41241</v>
      </c>
      <c r="T20" s="1">
        <f t="shared" si="33"/>
        <v>30139</v>
      </c>
      <c r="U20" s="1">
        <f t="shared" si="33"/>
        <v>23066</v>
      </c>
      <c r="V20" s="1">
        <f t="shared" si="33"/>
        <v>24657</v>
      </c>
      <c r="W20" s="1">
        <f>+SUM(W18:W19)</f>
        <v>35623</v>
      </c>
      <c r="X20" s="1">
        <f t="shared" si="33"/>
        <v>28382</v>
      </c>
      <c r="Y20" s="1">
        <f t="shared" si="33"/>
        <v>23263</v>
      </c>
      <c r="Z20" s="1">
        <f t="shared" si="33"/>
        <v>26998</v>
      </c>
      <c r="AA20" s="1">
        <f>+SUM(AA18:AA19)</f>
        <v>40323</v>
      </c>
      <c r="AB20" s="1">
        <f>+SUM(AB18:AB19)</f>
        <v>28058</v>
      </c>
      <c r="AC20" s="1">
        <f>+SUM(AC18:AC19)</f>
        <v>25468.392736433616</v>
      </c>
      <c r="AD20" s="1">
        <f>+SUM(AD18:AD19)</f>
        <v>29069.926290381136</v>
      </c>
      <c r="AJ20" s="1">
        <f>+SUM(AJ18:AJ19)</f>
        <v>72903</v>
      </c>
      <c r="AK20" s="1">
        <f>+SUM(AK18:AK19)</f>
        <v>65737</v>
      </c>
      <c r="AL20" s="1">
        <f>+SUM(AL18:AL19)</f>
        <v>67091</v>
      </c>
      <c r="AM20" s="1">
        <f t="shared" si="22"/>
        <v>109207</v>
      </c>
      <c r="AN20" s="1">
        <f t="shared" si="23"/>
        <v>119103</v>
      </c>
      <c r="AO20" s="1">
        <f t="shared" si="24"/>
        <v>114266</v>
      </c>
      <c r="AP20" s="1">
        <f t="shared" si="11"/>
        <v>122919.31902681474</v>
      </c>
      <c r="AQ20" s="1">
        <f>+SUM(AQ18:AQ19)</f>
        <v>124102.60231422818</v>
      </c>
      <c r="AR20" s="1">
        <f t="shared" ref="AR20:AY20" si="34">+SUM(AR18:AR19)</f>
        <v>130351.25085378492</v>
      </c>
      <c r="AS20" s="1">
        <f t="shared" si="34"/>
        <v>136650.77118743033</v>
      </c>
      <c r="AT20" s="1">
        <f t="shared" si="34"/>
        <v>142936.05110956999</v>
      </c>
      <c r="AU20" s="1">
        <f t="shared" si="34"/>
        <v>149551.48561475819</v>
      </c>
      <c r="AV20" s="1">
        <f t="shared" si="34"/>
        <v>156518.06132521702</v>
      </c>
      <c r="AW20" s="1">
        <f t="shared" si="34"/>
        <v>163858.24605032973</v>
      </c>
      <c r="AX20" s="1">
        <f t="shared" si="34"/>
        <v>171596.09750828639</v>
      </c>
      <c r="AY20" s="1">
        <f t="shared" si="34"/>
        <v>179757.38011070923</v>
      </c>
    </row>
    <row r="21" spans="2:241">
      <c r="B21" s="1" t="s">
        <v>38</v>
      </c>
      <c r="O21" s="1">
        <v>4824</v>
      </c>
      <c r="P21" s="1">
        <v>4381</v>
      </c>
      <c r="Q21" s="1">
        <v>2625</v>
      </c>
      <c r="R21" s="1">
        <v>2697</v>
      </c>
      <c r="S21" s="1">
        <v>6611</v>
      </c>
      <c r="T21" s="1">
        <v>5129</v>
      </c>
      <c r="U21" s="1">
        <v>3624</v>
      </c>
      <c r="V21" s="1">
        <v>3936</v>
      </c>
      <c r="W21" s="1">
        <v>5625</v>
      </c>
      <c r="X21" s="1">
        <v>4222</v>
      </c>
      <c r="Y21" s="1">
        <v>2852</v>
      </c>
      <c r="Z21" s="1">
        <v>4042</v>
      </c>
      <c r="AA21" s="1">
        <v>6407</v>
      </c>
      <c r="AB21" s="1">
        <v>4422</v>
      </c>
      <c r="AC21" s="1">
        <f>+AC20*(AB21/AB20)</f>
        <v>4013.8724314102733</v>
      </c>
      <c r="AD21" s="1">
        <f>+AD20*(AC21/AC20)</f>
        <v>4581.4817184427038</v>
      </c>
      <c r="AJ21" s="1">
        <v>13372</v>
      </c>
      <c r="AK21" s="1">
        <v>10481</v>
      </c>
      <c r="AL21" s="1">
        <v>9680</v>
      </c>
      <c r="AM21" s="1">
        <f t="shared" si="22"/>
        <v>14527</v>
      </c>
      <c r="AN21" s="1">
        <f t="shared" si="23"/>
        <v>19300</v>
      </c>
      <c r="AO21" s="1">
        <f t="shared" si="24"/>
        <v>16741</v>
      </c>
      <c r="AP21" s="1">
        <f t="shared" si="11"/>
        <v>19424.354149852978</v>
      </c>
      <c r="AQ21" s="1">
        <f>+AQ20*(AP21/AP20)</f>
        <v>19611.3427682109</v>
      </c>
      <c r="AR21" s="1">
        <f>+AR20*(AQ21/AQ20)</f>
        <v>20598.786915732035</v>
      </c>
      <c r="AS21" s="1">
        <f t="shared" ref="AS21:AY21" si="35">+AS20*(AR21/AR20)</f>
        <v>21594.270090417009</v>
      </c>
      <c r="AT21" s="1">
        <f>+AT20*(AS21/AS20)</f>
        <v>22587.502920741816</v>
      </c>
      <c r="AU21" s="1">
        <f>+AU20*(AT21/AT20)</f>
        <v>23632.908506302378</v>
      </c>
      <c r="AV21" s="1">
        <f>+AV20*(AU21/AU20)</f>
        <v>24733.803262985788</v>
      </c>
      <c r="AW21" s="1">
        <f>+AW20*(AV21/AV20)</f>
        <v>25893.737671626852</v>
      </c>
      <c r="AX21" s="1">
        <f>+AX20*(AW21/AW20)</f>
        <v>27116.513458771573</v>
      </c>
      <c r="AY21" s="1">
        <f t="shared" si="35"/>
        <v>28406.202051594904</v>
      </c>
    </row>
    <row r="22" spans="2:241">
      <c r="B22" s="1" t="s">
        <v>39</v>
      </c>
      <c r="O22" s="1">
        <f t="shared" ref="O22:Z22" si="36">+O20-O21</f>
        <v>29115</v>
      </c>
      <c r="P22" s="1">
        <f t="shared" si="36"/>
        <v>23630</v>
      </c>
      <c r="Q22" s="1">
        <f t="shared" si="36"/>
        <v>21744</v>
      </c>
      <c r="R22" s="1">
        <f t="shared" si="36"/>
        <v>20191</v>
      </c>
      <c r="S22" s="1">
        <f>+S20-S21</f>
        <v>34630</v>
      </c>
      <c r="T22" s="1">
        <f t="shared" si="36"/>
        <v>25010</v>
      </c>
      <c r="U22" s="1">
        <f t="shared" si="36"/>
        <v>19442</v>
      </c>
      <c r="V22" s="1">
        <f t="shared" si="36"/>
        <v>20721</v>
      </c>
      <c r="W22" s="1">
        <f>+W20-W21</f>
        <v>29998</v>
      </c>
      <c r="X22" s="1">
        <f t="shared" si="36"/>
        <v>24160</v>
      </c>
      <c r="Y22" s="1">
        <f t="shared" si="36"/>
        <v>20411</v>
      </c>
      <c r="Z22" s="1">
        <f t="shared" si="36"/>
        <v>22956</v>
      </c>
      <c r="AA22" s="1">
        <f>+AA20-AA21</f>
        <v>33916</v>
      </c>
      <c r="AB22" s="1">
        <f>+AB20-AB21</f>
        <v>23636</v>
      </c>
      <c r="AC22" s="1">
        <f>+AC20-AC21</f>
        <v>21454.520305023343</v>
      </c>
      <c r="AD22" s="1">
        <f>+AD20-AD21</f>
        <v>24488.444571938431</v>
      </c>
      <c r="AJ22" s="1">
        <f>+AJ20-AJ21</f>
        <v>59531</v>
      </c>
      <c r="AK22" s="1">
        <f>+AK20-AK21</f>
        <v>55256</v>
      </c>
      <c r="AL22" s="1">
        <f>+AL20-AL21</f>
        <v>57411</v>
      </c>
      <c r="AM22" s="1">
        <f t="shared" si="22"/>
        <v>94680</v>
      </c>
      <c r="AN22" s="1">
        <f t="shared" si="23"/>
        <v>99803</v>
      </c>
      <c r="AO22" s="1">
        <f t="shared" si="24"/>
        <v>97525</v>
      </c>
      <c r="AP22" s="1">
        <f t="shared" si="11"/>
        <v>103494.96487696178</v>
      </c>
      <c r="AQ22" s="1">
        <f>+AQ20-AQ21</f>
        <v>104491.25954601727</v>
      </c>
      <c r="AR22" s="1">
        <f>+AR20-AR21</f>
        <v>109752.46393805288</v>
      </c>
      <c r="AS22" s="1">
        <f t="shared" ref="AS22:AX22" si="37">+AS20-AS21</f>
        <v>115056.50109701333</v>
      </c>
      <c r="AT22" s="1">
        <f t="shared" si="37"/>
        <v>120348.54818882818</v>
      </c>
      <c r="AU22" s="1">
        <f t="shared" si="37"/>
        <v>125918.57710845581</v>
      </c>
      <c r="AV22" s="1">
        <f t="shared" si="37"/>
        <v>131784.25806223124</v>
      </c>
      <c r="AW22" s="1">
        <f t="shared" si="37"/>
        <v>137964.50837870289</v>
      </c>
      <c r="AX22" s="1">
        <f t="shared" si="37"/>
        <v>144479.58404951481</v>
      </c>
      <c r="AY22" s="1">
        <f>+AY20-AY21</f>
        <v>151351.17805911432</v>
      </c>
      <c r="AZ22" s="1">
        <f>+AY22*(1+$BB$26)</f>
        <v>152864.68983970548</v>
      </c>
      <c r="BA22" s="1">
        <f t="shared" ref="BA22:DL22" si="38">+AZ22*(1+$BB$26)</f>
        <v>154393.33673810255</v>
      </c>
      <c r="BB22" s="1">
        <f t="shared" si="38"/>
        <v>155937.27010548356</v>
      </c>
      <c r="BC22" s="1">
        <f t="shared" si="38"/>
        <v>157496.64280653841</v>
      </c>
      <c r="BD22" s="1">
        <f t="shared" si="38"/>
        <v>159071.60923460379</v>
      </c>
      <c r="BE22" s="1">
        <f t="shared" si="38"/>
        <v>160662.32532694982</v>
      </c>
      <c r="BF22" s="1">
        <f t="shared" si="38"/>
        <v>162268.94858021932</v>
      </c>
      <c r="BG22" s="1">
        <f t="shared" si="38"/>
        <v>163891.63806602152</v>
      </c>
      <c r="BH22" s="1">
        <f t="shared" si="38"/>
        <v>165530.55444668175</v>
      </c>
      <c r="BI22" s="1">
        <f t="shared" si="38"/>
        <v>167185.85999114858</v>
      </c>
      <c r="BJ22" s="1">
        <f t="shared" si="38"/>
        <v>168857.71859106005</v>
      </c>
      <c r="BK22" s="1">
        <f t="shared" si="38"/>
        <v>170546.29577697066</v>
      </c>
      <c r="BL22" s="1">
        <f t="shared" si="38"/>
        <v>172251.75873474038</v>
      </c>
      <c r="BM22" s="1">
        <f t="shared" si="38"/>
        <v>173974.27632208777</v>
      </c>
      <c r="BN22" s="1">
        <f t="shared" si="38"/>
        <v>175714.01908530865</v>
      </c>
      <c r="BO22" s="1">
        <f t="shared" si="38"/>
        <v>177471.15927616175</v>
      </c>
      <c r="BP22" s="1">
        <f t="shared" si="38"/>
        <v>179245.87086892338</v>
      </c>
      <c r="BQ22" s="1">
        <f t="shared" si="38"/>
        <v>181038.3295776126</v>
      </c>
      <c r="BR22" s="1">
        <f t="shared" si="38"/>
        <v>182848.71287338872</v>
      </c>
      <c r="BS22" s="1">
        <f t="shared" si="38"/>
        <v>184677.20000212261</v>
      </c>
      <c r="BT22" s="1">
        <f t="shared" si="38"/>
        <v>186523.97200214383</v>
      </c>
      <c r="BU22" s="1">
        <f t="shared" si="38"/>
        <v>188389.21172216526</v>
      </c>
      <c r="BV22" s="1">
        <f t="shared" si="38"/>
        <v>190273.10383938692</v>
      </c>
      <c r="BW22" s="1">
        <f t="shared" si="38"/>
        <v>192175.83487778078</v>
      </c>
      <c r="BX22" s="1">
        <f t="shared" si="38"/>
        <v>194097.59322655859</v>
      </c>
      <c r="BY22" s="1">
        <f t="shared" si="38"/>
        <v>196038.56915882416</v>
      </c>
      <c r="BZ22" s="1">
        <f t="shared" si="38"/>
        <v>197998.95485041241</v>
      </c>
      <c r="CA22" s="1">
        <f t="shared" si="38"/>
        <v>199978.94439891653</v>
      </c>
      <c r="CB22" s="1">
        <f t="shared" si="38"/>
        <v>201978.7338429057</v>
      </c>
      <c r="CC22" s="1">
        <f t="shared" si="38"/>
        <v>203998.52118133477</v>
      </c>
      <c r="CD22" s="1">
        <f t="shared" si="38"/>
        <v>206038.50639314813</v>
      </c>
      <c r="CE22" s="1">
        <f t="shared" si="38"/>
        <v>208098.89145707962</v>
      </c>
      <c r="CF22" s="1">
        <f t="shared" si="38"/>
        <v>210179.88037165042</v>
      </c>
      <c r="CG22" s="1">
        <f t="shared" si="38"/>
        <v>212281.67917536694</v>
      </c>
      <c r="CH22" s="1">
        <f t="shared" si="38"/>
        <v>214404.4959671206</v>
      </c>
      <c r="CI22" s="1">
        <f t="shared" si="38"/>
        <v>216548.54092679181</v>
      </c>
      <c r="CJ22" s="1">
        <f t="shared" si="38"/>
        <v>218714.02633605973</v>
      </c>
      <c r="CK22" s="1">
        <f t="shared" si="38"/>
        <v>220901.16659942034</v>
      </c>
      <c r="CL22" s="1">
        <f t="shared" si="38"/>
        <v>223110.17826541455</v>
      </c>
      <c r="CM22" s="1">
        <f t="shared" si="38"/>
        <v>225341.2800480687</v>
      </c>
      <c r="CN22" s="1">
        <f t="shared" si="38"/>
        <v>227594.6928485494</v>
      </c>
      <c r="CO22" s="1">
        <f t="shared" si="38"/>
        <v>229870.6397770349</v>
      </c>
      <c r="CP22" s="1">
        <f t="shared" si="38"/>
        <v>232169.34617480525</v>
      </c>
      <c r="CQ22" s="1">
        <f t="shared" si="38"/>
        <v>234491.03963655329</v>
      </c>
      <c r="CR22" s="1">
        <f t="shared" si="38"/>
        <v>236835.95003291883</v>
      </c>
      <c r="CS22" s="1">
        <f t="shared" si="38"/>
        <v>239204.30953324802</v>
      </c>
      <c r="CT22" s="1">
        <f t="shared" si="38"/>
        <v>241596.3526285805</v>
      </c>
      <c r="CU22" s="1">
        <f t="shared" si="38"/>
        <v>244012.3161548663</v>
      </c>
      <c r="CV22" s="1">
        <f t="shared" si="38"/>
        <v>246452.43931641497</v>
      </c>
      <c r="CW22" s="1">
        <f t="shared" si="38"/>
        <v>248916.96370957911</v>
      </c>
      <c r="CX22" s="1">
        <f t="shared" si="38"/>
        <v>251406.13334667491</v>
      </c>
      <c r="CY22" s="1">
        <f t="shared" si="38"/>
        <v>253920.19468014166</v>
      </c>
      <c r="CZ22" s="1">
        <f t="shared" si="38"/>
        <v>256459.39662694308</v>
      </c>
      <c r="DA22" s="1">
        <f t="shared" si="38"/>
        <v>259023.99059321251</v>
      </c>
      <c r="DB22" s="1">
        <f t="shared" si="38"/>
        <v>261614.23049914464</v>
      </c>
      <c r="DC22" s="1">
        <f t="shared" si="38"/>
        <v>264230.37280413607</v>
      </c>
      <c r="DD22" s="1">
        <f t="shared" si="38"/>
        <v>266872.67653217743</v>
      </c>
      <c r="DE22" s="1">
        <f t="shared" si="38"/>
        <v>269541.40329749923</v>
      </c>
      <c r="DF22" s="1">
        <f t="shared" si="38"/>
        <v>272236.81733047421</v>
      </c>
      <c r="DG22" s="1">
        <f t="shared" si="38"/>
        <v>274959.18550377898</v>
      </c>
      <c r="DH22" s="1">
        <f t="shared" si="38"/>
        <v>277708.77735881676</v>
      </c>
      <c r="DI22" s="1">
        <f t="shared" si="38"/>
        <v>280485.86513240496</v>
      </c>
      <c r="DJ22" s="1">
        <f t="shared" si="38"/>
        <v>283290.72378372902</v>
      </c>
      <c r="DK22" s="1">
        <f t="shared" si="38"/>
        <v>286123.63102156628</v>
      </c>
      <c r="DL22" s="1">
        <f t="shared" si="38"/>
        <v>288984.86733178195</v>
      </c>
      <c r="DM22" s="1">
        <f t="shared" ref="DM22:FR22" si="39">+DL22*(1+$BB$26)</f>
        <v>291874.71600509976</v>
      </c>
      <c r="DN22" s="1">
        <f t="shared" si="39"/>
        <v>294793.46316515078</v>
      </c>
      <c r="DO22" s="1">
        <f t="shared" si="39"/>
        <v>297741.39779680228</v>
      </c>
      <c r="DP22" s="1">
        <f t="shared" si="39"/>
        <v>300718.81177477032</v>
      </c>
      <c r="DQ22" s="1">
        <f t="shared" si="39"/>
        <v>303725.99989251804</v>
      </c>
      <c r="DR22" s="1">
        <f t="shared" si="39"/>
        <v>306763.25989144325</v>
      </c>
      <c r="DS22" s="1">
        <f t="shared" si="39"/>
        <v>309830.89249035768</v>
      </c>
      <c r="DT22" s="1">
        <f t="shared" si="39"/>
        <v>312929.20141526125</v>
      </c>
      <c r="DU22" s="1">
        <f t="shared" si="39"/>
        <v>316058.49342941388</v>
      </c>
      <c r="DV22" s="1">
        <f t="shared" si="39"/>
        <v>319219.07836370805</v>
      </c>
      <c r="DW22" s="1">
        <f t="shared" si="39"/>
        <v>322411.26914734516</v>
      </c>
      <c r="DX22" s="1">
        <f t="shared" si="39"/>
        <v>325635.3818388186</v>
      </c>
      <c r="DY22" s="1">
        <f t="shared" si="39"/>
        <v>328891.73565720679</v>
      </c>
      <c r="DZ22" s="1">
        <f t="shared" si="39"/>
        <v>332180.65301377885</v>
      </c>
      <c r="EA22" s="1">
        <f t="shared" si="39"/>
        <v>335502.45954391663</v>
      </c>
      <c r="EB22" s="1">
        <f t="shared" si="39"/>
        <v>338857.48413935577</v>
      </c>
      <c r="EC22" s="1">
        <f t="shared" si="39"/>
        <v>342246.05898074934</v>
      </c>
      <c r="ED22" s="1">
        <f t="shared" si="39"/>
        <v>345668.51957055682</v>
      </c>
      <c r="EE22" s="1">
        <f t="shared" si="39"/>
        <v>349125.20476626238</v>
      </c>
      <c r="EF22" s="1">
        <f t="shared" si="39"/>
        <v>352616.456813925</v>
      </c>
      <c r="EG22" s="1">
        <f t="shared" si="39"/>
        <v>356142.62138206424</v>
      </c>
      <c r="EH22" s="1">
        <f t="shared" si="39"/>
        <v>359704.04759588488</v>
      </c>
      <c r="EI22" s="1">
        <f t="shared" si="39"/>
        <v>363301.08807184373</v>
      </c>
      <c r="EJ22" s="1">
        <f t="shared" si="39"/>
        <v>366934.09895256214</v>
      </c>
      <c r="EK22" s="1">
        <f t="shared" si="39"/>
        <v>370603.43994208775</v>
      </c>
      <c r="EL22" s="1">
        <f t="shared" si="39"/>
        <v>374309.47434150864</v>
      </c>
      <c r="EM22" s="1">
        <f t="shared" si="39"/>
        <v>378052.56908492371</v>
      </c>
      <c r="EN22" s="1">
        <f t="shared" si="39"/>
        <v>381833.09477577294</v>
      </c>
      <c r="EO22" s="1">
        <f t="shared" si="39"/>
        <v>385651.4257235307</v>
      </c>
      <c r="EP22" s="1">
        <f t="shared" si="39"/>
        <v>389507.93998076604</v>
      </c>
      <c r="EQ22" s="1">
        <f t="shared" si="39"/>
        <v>393403.01938057371</v>
      </c>
      <c r="ER22" s="1">
        <f t="shared" si="39"/>
        <v>397337.04957437946</v>
      </c>
      <c r="ES22" s="1">
        <f t="shared" si="39"/>
        <v>401310.42007012328</v>
      </c>
      <c r="ET22" s="1">
        <f t="shared" si="39"/>
        <v>405323.52427082451</v>
      </c>
      <c r="EU22" s="1">
        <f t="shared" si="39"/>
        <v>409376.75951353274</v>
      </c>
      <c r="EV22" s="1">
        <f t="shared" si="39"/>
        <v>413470.52710866806</v>
      </c>
      <c r="EW22" s="1">
        <f t="shared" si="39"/>
        <v>417605.23237975471</v>
      </c>
      <c r="EX22" s="1">
        <f t="shared" si="39"/>
        <v>421781.28470355226</v>
      </c>
      <c r="EY22" s="1">
        <f t="shared" si="39"/>
        <v>425999.09755058779</v>
      </c>
      <c r="EZ22" s="1">
        <f t="shared" si="39"/>
        <v>430259.08852609369</v>
      </c>
      <c r="FA22" s="1">
        <f t="shared" si="39"/>
        <v>434561.67941135465</v>
      </c>
      <c r="FB22" s="1">
        <f t="shared" si="39"/>
        <v>438907.29620546818</v>
      </c>
      <c r="FC22" s="1">
        <f t="shared" si="39"/>
        <v>443296.36916752288</v>
      </c>
      <c r="FD22" s="1">
        <f t="shared" si="39"/>
        <v>447729.3328591981</v>
      </c>
      <c r="FE22" s="1">
        <f t="shared" si="39"/>
        <v>452206.62618779007</v>
      </c>
      <c r="FF22" s="1">
        <f t="shared" si="39"/>
        <v>456728.69244966796</v>
      </c>
      <c r="FG22" s="1">
        <f t="shared" si="39"/>
        <v>461295.97937416466</v>
      </c>
      <c r="FH22" s="1">
        <f t="shared" si="39"/>
        <v>465908.9391679063</v>
      </c>
      <c r="FI22" s="1">
        <f t="shared" si="39"/>
        <v>470568.02855958539</v>
      </c>
      <c r="FJ22" s="1">
        <f t="shared" si="39"/>
        <v>475273.70884518127</v>
      </c>
      <c r="FK22" s="1">
        <f t="shared" si="39"/>
        <v>480026.44593363308</v>
      </c>
      <c r="FL22" s="1">
        <f t="shared" si="39"/>
        <v>484826.71039296943</v>
      </c>
      <c r="FM22" s="1">
        <f t="shared" si="39"/>
        <v>489674.97749689914</v>
      </c>
      <c r="FN22" s="1">
        <f t="shared" si="39"/>
        <v>494571.72727186815</v>
      </c>
      <c r="FO22" s="1">
        <f t="shared" si="39"/>
        <v>499517.44454458682</v>
      </c>
      <c r="FP22" s="1">
        <f t="shared" si="39"/>
        <v>504512.6189900327</v>
      </c>
      <c r="FQ22" s="1">
        <f t="shared" si="39"/>
        <v>509557.74517993303</v>
      </c>
      <c r="FR22" s="1">
        <f t="shared" si="39"/>
        <v>514653.32263173239</v>
      </c>
      <c r="FS22" s="1">
        <f t="shared" ref="FS22" si="40">+FR22*(1+$BB$26)</f>
        <v>519799.8558580497</v>
      </c>
      <c r="FT22" s="1">
        <f t="shared" ref="FT22" si="41">+FS22*(1+$BB$26)</f>
        <v>524997.85441663023</v>
      </c>
      <c r="FU22" s="1">
        <f t="shared" ref="FU22" si="42">+FT22*(1+$BB$26)</f>
        <v>530247.83296079654</v>
      </c>
      <c r="FV22" s="1">
        <f t="shared" ref="FV22" si="43">+FU22*(1+$BB$26)</f>
        <v>535550.31129040453</v>
      </c>
      <c r="FW22" s="1">
        <f t="shared" ref="FW22" si="44">+FV22*(1+$BB$26)</f>
        <v>540905.81440330856</v>
      </c>
      <c r="FX22" s="1">
        <f t="shared" ref="FX22" si="45">+FW22*(1+$BB$26)</f>
        <v>546314.87254734163</v>
      </c>
      <c r="FY22" s="1">
        <f t="shared" ref="FY22" si="46">+FX22*(1+$BB$26)</f>
        <v>551778.02127281507</v>
      </c>
      <c r="FZ22" s="1">
        <f t="shared" ref="FZ22" si="47">+FY22*(1+$BB$26)</f>
        <v>557295.80148554326</v>
      </c>
      <c r="GA22" s="1">
        <f t="shared" ref="GA22" si="48">+FZ22*(1+$BB$26)</f>
        <v>562868.75950039865</v>
      </c>
      <c r="GB22" s="1">
        <f t="shared" ref="GB22" si="49">+GA22*(1+$BB$26)</f>
        <v>568497.44709540263</v>
      </c>
      <c r="GC22" s="1">
        <f t="shared" ref="GC22" si="50">+GB22*(1+$BB$26)</f>
        <v>574182.42156635667</v>
      </c>
      <c r="GD22" s="1">
        <f t="shared" ref="GD22" si="51">+GC22*(1+$BB$26)</f>
        <v>579924.24578202027</v>
      </c>
      <c r="GE22" s="1">
        <f t="shared" ref="GE22" si="52">+GD22*(1+$BB$26)</f>
        <v>585723.48823984049</v>
      </c>
      <c r="GF22" s="1">
        <f t="shared" ref="GF22" si="53">+GE22*(1+$BB$26)</f>
        <v>591580.72312223888</v>
      </c>
      <c r="GG22" s="1">
        <f t="shared" ref="GG22" si="54">+GF22*(1+$BB$26)</f>
        <v>597496.53035346128</v>
      </c>
      <c r="GH22" s="1">
        <f t="shared" ref="GH22" si="55">+GG22*(1+$BB$26)</f>
        <v>603471.49565699592</v>
      </c>
      <c r="GI22" s="1">
        <f t="shared" ref="GI22" si="56">+GH22*(1+$BB$26)</f>
        <v>609506.21061356587</v>
      </c>
      <c r="GJ22" s="1">
        <f t="shared" ref="GJ22" si="57">+GI22*(1+$BB$26)</f>
        <v>615601.27271970152</v>
      </c>
      <c r="GK22" s="1">
        <f t="shared" ref="GK22" si="58">+GJ22*(1+$BB$26)</f>
        <v>621757.28544689855</v>
      </c>
      <c r="GL22" s="1">
        <f t="shared" ref="GL22" si="59">+GK22*(1+$BB$26)</f>
        <v>627974.85830136749</v>
      </c>
      <c r="GM22" s="1">
        <f t="shared" ref="GM22" si="60">+GL22*(1+$BB$26)</f>
        <v>634254.60688438115</v>
      </c>
      <c r="GN22" s="1">
        <f t="shared" ref="GN22" si="61">+GM22*(1+$BB$26)</f>
        <v>640597.15295322496</v>
      </c>
      <c r="GO22" s="1">
        <f t="shared" ref="GO22" si="62">+GN22*(1+$BB$26)</f>
        <v>647003.12448275718</v>
      </c>
      <c r="GP22" s="1">
        <f t="shared" ref="GP22" si="63">+GO22*(1+$BB$26)</f>
        <v>653473.15572758473</v>
      </c>
      <c r="GQ22" s="1">
        <f t="shared" ref="GQ22" si="64">+GP22*(1+$BB$26)</f>
        <v>660007.8872848606</v>
      </c>
      <c r="GR22" s="1">
        <f t="shared" ref="GR22" si="65">+GQ22*(1+$BB$26)</f>
        <v>666607.96615770925</v>
      </c>
      <c r="GS22" s="1">
        <f t="shared" ref="GS22" si="66">+GR22*(1+$BB$26)</f>
        <v>673274.04581928637</v>
      </c>
      <c r="GT22" s="1">
        <f t="shared" ref="GT22" si="67">+GS22*(1+$BB$26)</f>
        <v>680006.78627747926</v>
      </c>
      <c r="GU22" s="1">
        <f t="shared" ref="GU22" si="68">+GT22*(1+$BB$26)</f>
        <v>686806.85414025409</v>
      </c>
      <c r="GV22" s="1">
        <f t="shared" ref="GV22" si="69">+GU22*(1+$BB$26)</f>
        <v>693674.92268165667</v>
      </c>
      <c r="GW22" s="1">
        <f t="shared" ref="GW22" si="70">+GV22*(1+$BB$26)</f>
        <v>700611.67190847325</v>
      </c>
      <c r="GX22" s="1">
        <f t="shared" ref="GX22" si="71">+GW22*(1+$BB$26)</f>
        <v>707617.78862755804</v>
      </c>
      <c r="GY22" s="1">
        <f t="shared" ref="GY22" si="72">+GX22*(1+$BB$26)</f>
        <v>714693.96651383361</v>
      </c>
      <c r="GZ22" s="1">
        <f t="shared" ref="GZ22" si="73">+GY22*(1+$BB$26)</f>
        <v>721840.90617897199</v>
      </c>
      <c r="HA22" s="1">
        <f t="shared" ref="HA22" si="74">+GZ22*(1+$BB$26)</f>
        <v>729059.31524076173</v>
      </c>
      <c r="HB22" s="1">
        <f t="shared" ref="HB22" si="75">+HA22*(1+$BB$26)</f>
        <v>736349.9083931694</v>
      </c>
      <c r="HC22" s="1">
        <f t="shared" ref="HC22" si="76">+HB22*(1+$BB$26)</f>
        <v>743713.40747710108</v>
      </c>
      <c r="HD22" s="1">
        <f t="shared" ref="HD22" si="77">+HC22*(1+$BB$26)</f>
        <v>751150.54155187204</v>
      </c>
      <c r="HE22" s="1">
        <f t="shared" ref="HE22" si="78">+HD22*(1+$BB$26)</f>
        <v>758662.04696739081</v>
      </c>
      <c r="HF22" s="1">
        <f t="shared" ref="HF22" si="79">+HE22*(1+$BB$26)</f>
        <v>766248.66743706469</v>
      </c>
      <c r="HG22" s="1">
        <f t="shared" ref="HG22" si="80">+HF22*(1+$BB$26)</f>
        <v>773911.1541114354</v>
      </c>
      <c r="HH22" s="1">
        <f t="shared" ref="HH22" si="81">+HG22*(1+$BB$26)</f>
        <v>781650.2656525498</v>
      </c>
      <c r="HI22" s="1">
        <f t="shared" ref="HI22" si="82">+HH22*(1+$BB$26)</f>
        <v>789466.76830907527</v>
      </c>
      <c r="HJ22" s="1">
        <f t="shared" ref="HJ22" si="83">+HI22*(1+$BB$26)</f>
        <v>797361.43599216605</v>
      </c>
      <c r="HK22" s="1">
        <f t="shared" ref="HK22" si="84">+HJ22*(1+$BB$26)</f>
        <v>805335.05035208771</v>
      </c>
      <c r="HL22" s="1">
        <f t="shared" ref="HL22" si="85">+HK22*(1+$BB$26)</f>
        <v>813388.40085560863</v>
      </c>
      <c r="HM22" s="1">
        <f t="shared" ref="HM22" si="86">+HL22*(1+$BB$26)</f>
        <v>821522.28486416477</v>
      </c>
      <c r="HN22" s="1">
        <f t="shared" ref="HN22" si="87">+HM22*(1+$BB$26)</f>
        <v>829737.50771280646</v>
      </c>
      <c r="HO22" s="1">
        <f t="shared" ref="HO22" si="88">+HN22*(1+$BB$26)</f>
        <v>838034.88278993452</v>
      </c>
      <c r="HP22" s="1">
        <f t="shared" ref="HP22" si="89">+HO22*(1+$BB$26)</f>
        <v>846415.23161783384</v>
      </c>
      <c r="HQ22" s="1">
        <f t="shared" ref="HQ22" si="90">+HP22*(1+$BB$26)</f>
        <v>854879.38393401215</v>
      </c>
      <c r="HR22" s="1">
        <f t="shared" ref="HR22" si="91">+HQ22*(1+$BB$26)</f>
        <v>863428.17777335225</v>
      </c>
      <c r="HS22" s="1">
        <f t="shared" ref="HS22" si="92">+HR22*(1+$BB$26)</f>
        <v>872062.45955108583</v>
      </c>
      <c r="HT22" s="1">
        <f t="shared" ref="HT22" si="93">+HS22*(1+$BB$26)</f>
        <v>880783.08414659672</v>
      </c>
      <c r="HU22" s="1">
        <f t="shared" ref="HU22" si="94">+HT22*(1+$BB$26)</f>
        <v>889590.91498806269</v>
      </c>
      <c r="HV22" s="1">
        <f t="shared" ref="HV22" si="95">+HU22*(1+$BB$26)</f>
        <v>898486.82413794333</v>
      </c>
      <c r="HW22" s="1">
        <f t="shared" ref="HW22" si="96">+HV22*(1+$BB$26)</f>
        <v>907471.69237932272</v>
      </c>
      <c r="HX22" s="1">
        <f t="shared" ref="HX22" si="97">+HW22*(1+$BB$26)</f>
        <v>916546.40930311591</v>
      </c>
      <c r="HY22" s="1">
        <f t="shared" ref="HY22" si="98">+HX22*(1+$BB$26)</f>
        <v>925711.87339614704</v>
      </c>
      <c r="HZ22" s="1">
        <f t="shared" ref="HZ22" si="99">+HY22*(1+$BB$26)</f>
        <v>934968.99213010853</v>
      </c>
      <c r="IA22" s="1">
        <f t="shared" ref="IA22" si="100">+HZ22*(1+$BB$26)</f>
        <v>944318.68205140962</v>
      </c>
      <c r="IB22" s="1">
        <f t="shared" ref="IB22" si="101">+IA22*(1+$BB$26)</f>
        <v>953761.86887192377</v>
      </c>
      <c r="IC22" s="1">
        <f t="shared" ref="IC22:IG22" si="102">+IB22*(1+$BB$26)</f>
        <v>963299.487560643</v>
      </c>
      <c r="ID22" s="1">
        <f t="shared" si="102"/>
        <v>972932.48243624938</v>
      </c>
      <c r="IE22" s="1">
        <f t="shared" si="102"/>
        <v>982661.80726061191</v>
      </c>
      <c r="IF22" s="1">
        <f t="shared" si="102"/>
        <v>992488.42533321807</v>
      </c>
      <c r="IG22" s="1">
        <f t="shared" si="102"/>
        <v>1002413.3095865502</v>
      </c>
    </row>
    <row r="23" spans="2:241">
      <c r="B23" s="1" t="s">
        <v>17</v>
      </c>
      <c r="O23" s="1">
        <v>17113.687999999998</v>
      </c>
      <c r="P23" s="1">
        <v>16929.156999999999</v>
      </c>
      <c r="Q23" s="1">
        <v>16781.735000000001</v>
      </c>
      <c r="R23" s="1">
        <v>16635.097000000002</v>
      </c>
      <c r="S23" s="1">
        <v>16519.291000000001</v>
      </c>
      <c r="T23" s="1">
        <v>16403.315999999999</v>
      </c>
      <c r="U23" s="1">
        <v>16262.203</v>
      </c>
      <c r="V23" s="1">
        <v>16118.465</v>
      </c>
      <c r="W23" s="1">
        <v>15955.718000000001</v>
      </c>
      <c r="X23" s="1">
        <v>15847.05</v>
      </c>
      <c r="Y23" s="1">
        <v>15775.021000000001</v>
      </c>
      <c r="Z23" s="1">
        <v>15672.4</v>
      </c>
      <c r="AA23" s="1">
        <v>15576.641</v>
      </c>
      <c r="AB23" s="1">
        <v>15464.709000000001</v>
      </c>
      <c r="AC23" s="1">
        <f>+AB23</f>
        <v>15464.709000000001</v>
      </c>
      <c r="AD23" s="1">
        <f>+AC23</f>
        <v>15464.709000000001</v>
      </c>
      <c r="AJ23" s="1">
        <v>20000.435000000001</v>
      </c>
      <c r="AK23" s="1">
        <v>18595.651000000002</v>
      </c>
      <c r="AL23" s="1">
        <v>17528.214</v>
      </c>
      <c r="AM23" s="1">
        <f>+AM22/AM24</f>
        <v>16887.420947999806</v>
      </c>
      <c r="AN23" s="1">
        <f>+AN22/AN24</f>
        <v>16355.501173635725</v>
      </c>
      <c r="AO23" s="1">
        <f>+AO22/AO24</f>
        <v>15823.570670294874</v>
      </c>
      <c r="AP23" s="1">
        <f>+AP22/AP24</f>
        <v>15501.212249013859</v>
      </c>
      <c r="AQ23" s="1">
        <f>+AP23</f>
        <v>15501.212249013859</v>
      </c>
      <c r="AR23" s="1">
        <f t="shared" ref="AR23:AY23" si="103">+AQ23</f>
        <v>15501.212249013859</v>
      </c>
      <c r="AS23" s="1">
        <f t="shared" si="103"/>
        <v>15501.212249013859</v>
      </c>
      <c r="AT23" s="1">
        <f t="shared" si="103"/>
        <v>15501.212249013859</v>
      </c>
      <c r="AU23" s="1">
        <f t="shared" si="103"/>
        <v>15501.212249013859</v>
      </c>
      <c r="AV23" s="1">
        <f t="shared" si="103"/>
        <v>15501.212249013859</v>
      </c>
      <c r="AW23" s="1">
        <f t="shared" si="103"/>
        <v>15501.212249013859</v>
      </c>
      <c r="AX23" s="1">
        <f t="shared" si="103"/>
        <v>15501.212249013859</v>
      </c>
      <c r="AY23" s="1">
        <f t="shared" si="103"/>
        <v>15501.212249013859</v>
      </c>
      <c r="IE23" s="4"/>
      <c r="IF23" s="4"/>
      <c r="IG23" s="4"/>
    </row>
    <row r="24" spans="2:241" s="11" customFormat="1">
      <c r="B24" s="11" t="s">
        <v>41</v>
      </c>
      <c r="O24" s="11">
        <f t="shared" ref="O24:Z24" si="104">+IFERROR(O22/O23,0)</f>
        <v>1.7012697672179138</v>
      </c>
      <c r="P24" s="11">
        <f t="shared" si="104"/>
        <v>1.3958166966021994</v>
      </c>
      <c r="Q24" s="11">
        <f t="shared" si="104"/>
        <v>1.2956943963183782</v>
      </c>
      <c r="R24" s="11">
        <f t="shared" si="104"/>
        <v>1.2137590781706893</v>
      </c>
      <c r="S24" s="11">
        <f t="shared" si="104"/>
        <v>2.0963369432743812</v>
      </c>
      <c r="T24" s="11">
        <f t="shared" si="104"/>
        <v>1.5246917147727936</v>
      </c>
      <c r="U24" s="11">
        <f t="shared" si="104"/>
        <v>1.1955329791418789</v>
      </c>
      <c r="V24" s="11">
        <f t="shared" si="104"/>
        <v>1.2855442500262897</v>
      </c>
      <c r="W24" s="11">
        <f t="shared" si="104"/>
        <v>1.8800783518485347</v>
      </c>
      <c r="X24" s="11">
        <f t="shared" si="104"/>
        <v>1.5245739743359175</v>
      </c>
      <c r="Y24" s="11">
        <f t="shared" si="104"/>
        <v>1.2938810033913741</v>
      </c>
      <c r="Z24" s="11">
        <f t="shared" si="104"/>
        <v>1.4647405630279984</v>
      </c>
      <c r="AA24" s="11">
        <f>+IFERROR(AA22/AA23,0)</f>
        <v>2.1773628858750742</v>
      </c>
      <c r="AB24" s="11">
        <f>+IFERROR(AB22/AB23,0)</f>
        <v>1.5283831076291186</v>
      </c>
      <c r="AC24" s="11">
        <f>+IFERROR(AC22/AC23,0)</f>
        <v>1.387321307179032</v>
      </c>
      <c r="AD24" s="11">
        <f>+IFERROR(AD22/AD23,0)</f>
        <v>1.5835050353639653</v>
      </c>
      <c r="AJ24" s="11">
        <f>+IFERROR(AJ22/AJ23,0)</f>
        <v>2.9764852614455632</v>
      </c>
      <c r="AK24" s="11">
        <f>+IFERROR(AK22/AK23,0)</f>
        <v>2.9714474637107351</v>
      </c>
      <c r="AL24" s="11">
        <f>+IFERROR(AL22/AL23,0)</f>
        <v>3.2753479618630856</v>
      </c>
      <c r="AM24" s="11">
        <f t="shared" si="22"/>
        <v>5.6065399383091803</v>
      </c>
      <c r="AN24" s="11">
        <f t="shared" si="23"/>
        <v>6.1021058872153429</v>
      </c>
      <c r="AO24" s="11">
        <f t="shared" si="24"/>
        <v>6.1632738926038249</v>
      </c>
      <c r="AP24" s="11">
        <f t="shared" si="11"/>
        <v>6.6765723360471902</v>
      </c>
      <c r="AQ24" s="11">
        <f>+AQ22/AQ23</f>
        <v>6.7408443847780157</v>
      </c>
      <c r="AR24" s="11">
        <f t="shared" ref="AR24:AY24" si="105">+AR22/AR23</f>
        <v>7.0802503813877529</v>
      </c>
      <c r="AS24" s="11">
        <f t="shared" si="105"/>
        <v>7.4224195662073384</v>
      </c>
      <c r="AT24" s="11">
        <f t="shared" si="105"/>
        <v>7.7638152588023814</v>
      </c>
      <c r="AU24" s="11">
        <f t="shared" si="105"/>
        <v>8.1231438603433332</v>
      </c>
      <c r="AV24" s="11">
        <f t="shared" si="105"/>
        <v>8.5015452949891035</v>
      </c>
      <c r="AW24" s="11">
        <f t="shared" si="105"/>
        <v>8.900239940104024</v>
      </c>
      <c r="AX24" s="11">
        <f t="shared" si="105"/>
        <v>9.3205345316593657</v>
      </c>
      <c r="AY24" s="11">
        <f t="shared" si="105"/>
        <v>9.7638285075893236</v>
      </c>
    </row>
    <row r="25" spans="2:241">
      <c r="BA25" s="31" t="s">
        <v>74</v>
      </c>
      <c r="BB25" s="32">
        <v>0.01</v>
      </c>
    </row>
    <row r="26" spans="2:241">
      <c r="B26" s="6" t="s">
        <v>40</v>
      </c>
      <c r="C26" s="6"/>
      <c r="D26" s="6"/>
      <c r="E26" s="6"/>
      <c r="F26" s="6"/>
      <c r="G26" s="6"/>
      <c r="H26" s="6"/>
      <c r="I26" s="6"/>
      <c r="J26" s="6"/>
      <c r="BA26" s="12" t="s">
        <v>75</v>
      </c>
      <c r="BB26" s="18">
        <v>0.01</v>
      </c>
    </row>
    <row r="27" spans="2:241" s="4" customFormat="1">
      <c r="B27" s="1" t="s">
        <v>42</v>
      </c>
      <c r="C27" s="1"/>
      <c r="D27" s="1"/>
      <c r="E27" s="1"/>
      <c r="F27" s="1"/>
      <c r="G27" s="1"/>
      <c r="H27" s="1"/>
      <c r="I27" s="1"/>
      <c r="J27" s="1"/>
      <c r="S27" s="4">
        <f t="shared" ref="S27:Z34" si="106">+S7/O7-1</f>
        <v>8.5980259866276443E-2</v>
      </c>
      <c r="T27" s="4">
        <f t="shared" si="106"/>
        <v>5.4904251324627618E-2</v>
      </c>
      <c r="U27" s="4">
        <f t="shared" si="106"/>
        <v>2.7672479150871787E-2</v>
      </c>
      <c r="V27" s="4">
        <f t="shared" si="106"/>
        <v>0.10693881790796711</v>
      </c>
      <c r="W27" s="4">
        <f t="shared" si="106"/>
        <v>-8.1713854917071505E-2</v>
      </c>
      <c r="X27" s="4">
        <f t="shared" si="106"/>
        <v>1.510777140597197E-2</v>
      </c>
      <c r="Y27" s="4">
        <f t="shared" si="106"/>
        <v>-2.4492807082257428E-2</v>
      </c>
      <c r="Z27" s="4">
        <f t="shared" si="106"/>
        <v>2.7659175151315996E-2</v>
      </c>
      <c r="AA27" s="4">
        <f>+AA7/W7-1</f>
        <v>5.9703534777651113E-2</v>
      </c>
      <c r="AB27" s="43">
        <f>+AB7/X7-1</f>
        <v>-0.10462851131803486</v>
      </c>
      <c r="AC27" s="4">
        <f>+AC7/Y7-1</f>
        <v>2.0000000000000018E-2</v>
      </c>
      <c r="AD27" s="4">
        <f>+AD7/Z7-1</f>
        <v>2.0000000000000018E-2</v>
      </c>
      <c r="AK27" s="4">
        <f t="shared" ref="AK27:AP27" si="107">+AK7/AJ7-1</f>
        <v>-0.13649871427878313</v>
      </c>
      <c r="AL27" s="4">
        <f t="shared" si="107"/>
        <v>-3.2307681502447672E-2</v>
      </c>
      <c r="AM27" s="4">
        <f t="shared" si="107"/>
        <v>0.39331983364905176</v>
      </c>
      <c r="AN27" s="4">
        <f t="shared" si="107"/>
        <v>7.0405734139696641E-2</v>
      </c>
      <c r="AO27" s="4">
        <f t="shared" si="107"/>
        <v>-2.3874757286278081E-2</v>
      </c>
      <c r="AP27" s="4">
        <f t="shared" si="107"/>
        <v>1.1241231809275831E-3</v>
      </c>
      <c r="AQ27" s="4">
        <f t="shared" ref="AQ27:AY27" si="108">+AQ7/AP7-1</f>
        <v>2.0000000000000018E-2</v>
      </c>
      <c r="AR27" s="4">
        <f t="shared" si="108"/>
        <v>2.0000000000000018E-2</v>
      </c>
      <c r="AS27" s="4">
        <f t="shared" si="108"/>
        <v>2.0000000000000018E-2</v>
      </c>
      <c r="AT27" s="4">
        <f t="shared" si="108"/>
        <v>2.0000000000000018E-2</v>
      </c>
      <c r="AU27" s="4">
        <f t="shared" si="108"/>
        <v>2.0000000000000018E-2</v>
      </c>
      <c r="AV27" s="4">
        <f t="shared" si="108"/>
        <v>2.0000000000000018E-2</v>
      </c>
      <c r="AW27" s="4">
        <f t="shared" si="108"/>
        <v>2.0000000000000018E-2</v>
      </c>
      <c r="AX27" s="4">
        <f t="shared" si="108"/>
        <v>2.0000000000000018E-2</v>
      </c>
      <c r="AY27" s="4">
        <f t="shared" si="108"/>
        <v>2.0000000000000018E-2</v>
      </c>
      <c r="BA27" s="33" t="s">
        <v>76</v>
      </c>
      <c r="BB27" s="18">
        <v>0.06</v>
      </c>
    </row>
    <row r="28" spans="2:241" s="4" customFormat="1">
      <c r="B28" s="1" t="s">
        <v>43</v>
      </c>
      <c r="C28" s="1"/>
      <c r="D28" s="1"/>
      <c r="E28" s="1"/>
      <c r="F28" s="1"/>
      <c r="G28" s="1"/>
      <c r="H28" s="1"/>
      <c r="I28" s="1"/>
      <c r="J28" s="1"/>
      <c r="S28" s="4">
        <f t="shared" si="106"/>
        <v>0.2509510086455331</v>
      </c>
      <c r="T28" s="4">
        <f t="shared" si="106"/>
        <v>0.14645132937815863</v>
      </c>
      <c r="U28" s="4">
        <f t="shared" si="106"/>
        <v>-0.10358227079538551</v>
      </c>
      <c r="V28" s="4">
        <f t="shared" si="106"/>
        <v>0.25386794508607546</v>
      </c>
      <c r="W28" s="4">
        <f t="shared" si="106"/>
        <v>-0.28722816070770363</v>
      </c>
      <c r="X28" s="4">
        <f t="shared" si="106"/>
        <v>-0.31308097747963581</v>
      </c>
      <c r="Y28" s="4">
        <f t="shared" si="106"/>
        <v>-7.3421836900568915E-2</v>
      </c>
      <c r="Z28" s="4">
        <f t="shared" si="106"/>
        <v>-0.33837330552659017</v>
      </c>
      <c r="AA28" s="4">
        <f t="shared" ref="AA28:AD34" si="109">+AA8/W8-1</f>
        <v>5.8177117000646206E-3</v>
      </c>
      <c r="AB28" s="4">
        <f t="shared" si="109"/>
        <v>3.9481026785714191E-2</v>
      </c>
      <c r="AC28" s="4">
        <f t="shared" si="109"/>
        <v>-2.0000000000000018E-2</v>
      </c>
      <c r="AD28" s="4">
        <f t="shared" si="109"/>
        <v>-2.0000000000000018E-2</v>
      </c>
      <c r="AK28" s="4">
        <f t="shared" ref="AK28" si="110">+AK8/AJ8-1</f>
        <v>2.1509643622509733E-2</v>
      </c>
      <c r="AL28" s="4">
        <f t="shared" ref="AL28" si="111">+AL8/AK8-1</f>
        <v>0.11196581196581201</v>
      </c>
      <c r="AM28" s="4">
        <f t="shared" ref="AM28" si="112">+AM8/AL8-1</f>
        <v>0.22947383131856625</v>
      </c>
      <c r="AN28" s="4">
        <f t="shared" ref="AN28:AO34" si="113">+AN8/AM8-1</f>
        <v>0.14171639670360903</v>
      </c>
      <c r="AO28" s="4">
        <f t="shared" si="113"/>
        <v>-0.26930831072504169</v>
      </c>
      <c r="AP28" s="4">
        <f t="shared" ref="AP28:AY28" si="114">+AP8/AO8-1</f>
        <v>1.3257485437885297E-3</v>
      </c>
      <c r="AQ28" s="4">
        <f t="shared" si="114"/>
        <v>1.0000000000000009E-2</v>
      </c>
      <c r="AR28" s="4">
        <f t="shared" si="114"/>
        <v>1.0000000000000009E-2</v>
      </c>
      <c r="AS28" s="4">
        <f t="shared" si="114"/>
        <v>1.0000000000000009E-2</v>
      </c>
      <c r="AT28" s="4">
        <f t="shared" si="114"/>
        <v>1.0000000000000009E-2</v>
      </c>
      <c r="AU28" s="4">
        <f t="shared" si="114"/>
        <v>1.0000000000000009E-2</v>
      </c>
      <c r="AV28" s="4">
        <f t="shared" si="114"/>
        <v>1.0000000000000009E-2</v>
      </c>
      <c r="AW28" s="4">
        <f t="shared" si="114"/>
        <v>1.0000000000000009E-2</v>
      </c>
      <c r="AX28" s="4">
        <f t="shared" si="114"/>
        <v>1.0000000000000009E-2</v>
      </c>
      <c r="AY28" s="4">
        <f t="shared" si="114"/>
        <v>1.0000000000000009E-2</v>
      </c>
      <c r="BA28" s="33" t="s">
        <v>77</v>
      </c>
      <c r="BB28" s="34">
        <f>NPV(BB27,AP22:IG22)+AA48</f>
        <v>2668390.1361159831</v>
      </c>
    </row>
    <row r="29" spans="2:241" s="4" customFormat="1">
      <c r="B29" s="1" t="s">
        <v>44</v>
      </c>
      <c r="C29" s="1"/>
      <c r="D29" s="1"/>
      <c r="E29" s="1"/>
      <c r="F29" s="1"/>
      <c r="G29" s="1"/>
      <c r="H29" s="1"/>
      <c r="I29" s="1"/>
      <c r="J29" s="1"/>
      <c r="S29" s="4">
        <f t="shared" si="106"/>
        <v>-0.14072317723770011</v>
      </c>
      <c r="T29" s="4">
        <f t="shared" si="106"/>
        <v>-2.0622518252849997E-2</v>
      </c>
      <c r="U29" s="4">
        <f t="shared" si="106"/>
        <v>-1.9543973941368087E-2</v>
      </c>
      <c r="V29" s="4">
        <f t="shared" si="106"/>
        <v>-0.13063499757634511</v>
      </c>
      <c r="W29" s="4">
        <f t="shared" si="106"/>
        <v>0.29635761589403975</v>
      </c>
      <c r="X29" s="43">
        <f t="shared" ref="X29:AD29" si="115">+X9/T9-1</f>
        <v>-0.12764844363065653</v>
      </c>
      <c r="Y29" s="43">
        <f t="shared" si="115"/>
        <v>-0.19836655592469543</v>
      </c>
      <c r="Z29" s="43">
        <f t="shared" si="115"/>
        <v>-0.1018957345971564</v>
      </c>
      <c r="AA29" s="43">
        <f t="shared" si="115"/>
        <v>-0.25255427841634737</v>
      </c>
      <c r="AB29" s="43">
        <f t="shared" si="115"/>
        <v>-0.16656671664167921</v>
      </c>
      <c r="AC29" s="4">
        <f t="shared" si="115"/>
        <v>-5.0000000000000044E-2</v>
      </c>
      <c r="AD29" s="4">
        <f t="shared" si="115"/>
        <v>-5.0000000000000044E-2</v>
      </c>
      <c r="AK29" s="4">
        <f t="shared" ref="AK29" si="116">+AK9/AJ9-1</f>
        <v>0.15778019586507064</v>
      </c>
      <c r="AL29" s="4">
        <f t="shared" ref="AL29" si="117">+AL9/AK9-1</f>
        <v>0.11484962406015042</v>
      </c>
      <c r="AM29" s="4">
        <f t="shared" ref="AM29" si="118">+AM9/AL9-1</f>
        <v>0.34302815714044854</v>
      </c>
      <c r="AN29" s="4">
        <f t="shared" si="113"/>
        <v>-8.0660347749670458E-2</v>
      </c>
      <c r="AO29" s="4">
        <f t="shared" si="113"/>
        <v>-3.3865901952751631E-2</v>
      </c>
      <c r="AP29" s="4">
        <f t="shared" ref="AP29:AY29" si="119">+AP9/AO9-1</f>
        <v>-0.14472438162544177</v>
      </c>
      <c r="AQ29" s="4">
        <f t="shared" si="119"/>
        <v>-1.0000000000000009E-2</v>
      </c>
      <c r="AR29" s="4">
        <f t="shared" si="119"/>
        <v>-1.0000000000000009E-2</v>
      </c>
      <c r="AS29" s="4">
        <f t="shared" si="119"/>
        <v>-1.0000000000000009E-2</v>
      </c>
      <c r="AT29" s="4">
        <f t="shared" si="119"/>
        <v>-1.0000000000000009E-2</v>
      </c>
      <c r="AU29" s="4">
        <f t="shared" si="119"/>
        <v>-1.0000000000000009E-2</v>
      </c>
      <c r="AV29" s="4">
        <f t="shared" si="119"/>
        <v>-1.0000000000000009E-2</v>
      </c>
      <c r="AW29" s="4">
        <f t="shared" si="119"/>
        <v>-1.0000000000000009E-2</v>
      </c>
      <c r="AX29" s="4">
        <f t="shared" si="119"/>
        <v>-1.0000000000000009E-2</v>
      </c>
      <c r="AY29" s="4">
        <f t="shared" si="119"/>
        <v>-9.9999999999998979E-3</v>
      </c>
      <c r="BA29" s="33" t="s">
        <v>17</v>
      </c>
      <c r="BB29" s="35">
        <f>+Main!I4</f>
        <v>15441.880999999999</v>
      </c>
    </row>
    <row r="30" spans="2:241" s="4" customFormat="1">
      <c r="B30" s="1" t="s">
        <v>45</v>
      </c>
      <c r="C30" s="1"/>
      <c r="D30" s="1"/>
      <c r="E30" s="1"/>
      <c r="F30" s="1"/>
      <c r="G30" s="1"/>
      <c r="H30" s="1"/>
      <c r="I30" s="1"/>
      <c r="J30" s="1"/>
      <c r="S30" s="4">
        <f t="shared" si="106"/>
        <v>0.13337445069771037</v>
      </c>
      <c r="T30" s="4">
        <f t="shared" si="106"/>
        <v>0.12378764675855036</v>
      </c>
      <c r="U30" s="4">
        <f t="shared" si="106"/>
        <v>-7.8746438746438718E-2</v>
      </c>
      <c r="V30" s="4">
        <f t="shared" si="106"/>
        <v>9.8463289698349499E-2</v>
      </c>
      <c r="W30" s="4">
        <f t="shared" si="106"/>
        <v>-8.2919529283722149E-2</v>
      </c>
      <c r="X30" s="4">
        <f t="shared" si="106"/>
        <v>-5.56438791732905E-3</v>
      </c>
      <c r="Y30" s="4">
        <f t="shared" si="106"/>
        <v>2.474022761009409E-2</v>
      </c>
      <c r="Z30" s="43">
        <f t="shared" si="106"/>
        <v>-3.3989637305699483E-2</v>
      </c>
      <c r="AA30" s="43">
        <f t="shared" si="109"/>
        <v>-0.11341047322355735</v>
      </c>
      <c r="AB30" s="43">
        <f t="shared" si="109"/>
        <v>-9.6380038826082037E-2</v>
      </c>
      <c r="AC30" s="4">
        <f t="shared" si="109"/>
        <v>-5.0000000000000044E-2</v>
      </c>
      <c r="AD30" s="4">
        <f t="shared" si="109"/>
        <v>-5.0000000000000044E-2</v>
      </c>
      <c r="AK30" s="4">
        <f t="shared" ref="AK30" si="120">+AK10/AJ10-1</f>
        <v>0.40854956561762834</v>
      </c>
      <c r="AL30" s="4">
        <f t="shared" ref="AL30" si="121">+AL10/AK10-1</f>
        <v>0.25071481088146386</v>
      </c>
      <c r="AM30" s="4">
        <f t="shared" ref="AM30" si="122">+AM10/AL10-1</f>
        <v>0.2530045721750489</v>
      </c>
      <c r="AN30" s="4">
        <f t="shared" si="113"/>
        <v>7.4908124169208001E-2</v>
      </c>
      <c r="AO30" s="4">
        <f t="shared" si="113"/>
        <v>-3.3849809655439933E-2</v>
      </c>
      <c r="AP30" s="4">
        <f t="shared" ref="AP30:AY30" si="123">+AP10/AO10-1</f>
        <v>-8.1648889446605644E-2</v>
      </c>
      <c r="AQ30" s="4">
        <f t="shared" si="123"/>
        <v>2.0000000000000018E-2</v>
      </c>
      <c r="AR30" s="4">
        <f t="shared" si="123"/>
        <v>2.0000000000000018E-2</v>
      </c>
      <c r="AS30" s="4">
        <f t="shared" si="123"/>
        <v>2.0000000000000018E-2</v>
      </c>
      <c r="AT30" s="4">
        <f t="shared" si="123"/>
        <v>2.0000000000000018E-2</v>
      </c>
      <c r="AU30" s="4">
        <f t="shared" si="123"/>
        <v>2.0000000000000018E-2</v>
      </c>
      <c r="AV30" s="4">
        <f t="shared" si="123"/>
        <v>2.0000000000000018E-2</v>
      </c>
      <c r="AW30" s="4">
        <f t="shared" si="123"/>
        <v>2.0000000000000018E-2</v>
      </c>
      <c r="AX30" s="4">
        <f t="shared" si="123"/>
        <v>2.0000000000000018E-2</v>
      </c>
      <c r="AY30" s="4">
        <f t="shared" si="123"/>
        <v>2.0000000000000018E-2</v>
      </c>
      <c r="BA30" s="33" t="s">
        <v>78</v>
      </c>
      <c r="BB30" s="35">
        <f>+BB28/BB29</f>
        <v>172.80214347694968</v>
      </c>
    </row>
    <row r="31" spans="2:241">
      <c r="B31" s="1" t="s">
        <v>30</v>
      </c>
      <c r="S31" s="4">
        <f t="shared" si="106"/>
        <v>0.23824630416851722</v>
      </c>
      <c r="T31" s="4">
        <f t="shared" si="106"/>
        <v>0.17277084196201398</v>
      </c>
      <c r="U31" s="4">
        <f t="shared" si="106"/>
        <v>0.12112547180601618</v>
      </c>
      <c r="V31" s="4">
        <f t="shared" si="106"/>
        <v>4.984406631285232E-2</v>
      </c>
      <c r="W31" s="4">
        <f t="shared" si="106"/>
        <v>6.4050010248001721E-2</v>
      </c>
      <c r="X31" s="4">
        <f t="shared" si="106"/>
        <v>5.4790373845921003E-2</v>
      </c>
      <c r="Y31" s="4">
        <f t="shared" si="106"/>
        <v>8.2075086716996593E-2</v>
      </c>
      <c r="Z31" s="4">
        <f t="shared" si="106"/>
        <v>0.16291432145090678</v>
      </c>
      <c r="AA31" s="4">
        <f t="shared" si="109"/>
        <v>0.11321390734855052</v>
      </c>
      <c r="AB31" s="4">
        <f t="shared" si="109"/>
        <v>0.14157937532883724</v>
      </c>
      <c r="AC31" s="4">
        <f t="shared" si="109"/>
        <v>0.10000000000000009</v>
      </c>
      <c r="AD31" s="4">
        <f t="shared" si="109"/>
        <v>0.10000000000000009</v>
      </c>
      <c r="AE31" s="4"/>
      <c r="AK31" s="4">
        <f t="shared" ref="AK31" si="124">+AK11/AJ11-1</f>
        <v>0.16461205595250084</v>
      </c>
      <c r="AL31" s="4">
        <f t="shared" ref="AL31" si="125">+AL11/AK11-1</f>
        <v>0.16152167807997242</v>
      </c>
      <c r="AM31" s="4">
        <f t="shared" ref="AM31" si="126">+AM11/AL11-1</f>
        <v>0.27259708376729663</v>
      </c>
      <c r="AN31" s="4">
        <f t="shared" si="113"/>
        <v>0.14181951041286078</v>
      </c>
      <c r="AO31" s="4">
        <f t="shared" si="113"/>
        <v>9.0504166186691215E-2</v>
      </c>
      <c r="AP31" s="4">
        <f t="shared" ref="AP31:AY31" si="127">+AP11/AO11-1</f>
        <v>0.11342370892018794</v>
      </c>
      <c r="AQ31" s="4">
        <f t="shared" si="127"/>
        <v>0.10000000000000009</v>
      </c>
      <c r="AR31" s="4">
        <f t="shared" si="127"/>
        <v>9.000000000000008E-2</v>
      </c>
      <c r="AS31" s="4">
        <f t="shared" si="127"/>
        <v>8.0000000000000071E-2</v>
      </c>
      <c r="AT31" s="4">
        <f t="shared" si="127"/>
        <v>7.0000000000000062E-2</v>
      </c>
      <c r="AU31" s="4">
        <f t="shared" si="127"/>
        <v>7.0000000000000062E-2</v>
      </c>
      <c r="AV31" s="4">
        <f t="shared" si="127"/>
        <v>7.0000000000000062E-2</v>
      </c>
      <c r="AW31" s="4">
        <f t="shared" si="127"/>
        <v>7.0000000000000062E-2</v>
      </c>
      <c r="AX31" s="4">
        <f t="shared" si="127"/>
        <v>7.0000000000000062E-2</v>
      </c>
      <c r="AY31" s="4">
        <f t="shared" si="127"/>
        <v>7.0000000000000062E-2</v>
      </c>
      <c r="BA31" s="12" t="s">
        <v>79</v>
      </c>
      <c r="BB31" s="35">
        <f>+Main!I3</f>
        <v>172.28</v>
      </c>
    </row>
    <row r="32" spans="2:241">
      <c r="B32" s="1" t="s">
        <v>31</v>
      </c>
      <c r="G32" s="4">
        <f>+G12/C12-1</f>
        <v>-4.5111163965433243E-2</v>
      </c>
      <c r="H32" s="4">
        <f>+H12/D12-1</f>
        <v>-5.1065639465462831E-2</v>
      </c>
      <c r="I32" s="4">
        <f>+I12/E12-1</f>
        <v>1.0213085515817122E-2</v>
      </c>
      <c r="J32" s="4">
        <f t="shared" ref="J32" si="128">+J12/F12-1</f>
        <v>1.8124006359300449E-2</v>
      </c>
      <c r="K32" s="4">
        <f t="shared" ref="K32" si="129">+K12/G12-1</f>
        <v>8.9064167951607098E-2</v>
      </c>
      <c r="L32" s="4">
        <f t="shared" ref="L32" si="130">+L12/H12-1</f>
        <v>5.1366026027750422E-3</v>
      </c>
      <c r="M32" s="4">
        <f t="shared" ref="M32" si="131">+M12/I12-1</f>
        <v>0.10920106301919752</v>
      </c>
      <c r="N32" s="4">
        <f t="shared" ref="N32" si="132">+N12/J12-1</f>
        <v>1.0274828232354816E-2</v>
      </c>
      <c r="O32" s="4">
        <f t="shared" ref="O32" si="133">+O12/K12-1</f>
        <v>0.21760202136812645</v>
      </c>
      <c r="P32" s="4">
        <f t="shared" ref="P32" si="134">+P12/L12-1</f>
        <v>0.53626121105070901</v>
      </c>
      <c r="Q32" s="4">
        <f t="shared" ref="Q32" si="135">+Q12/M12-1</f>
        <v>0.36439641450950822</v>
      </c>
      <c r="R32" s="4">
        <f t="shared" ref="R32" si="136">+R12/N12-1</f>
        <v>0.28288355126897269</v>
      </c>
      <c r="S32" s="4">
        <f t="shared" si="106"/>
        <v>0.10864140108587739</v>
      </c>
      <c r="T32" s="4">
        <f t="shared" si="106"/>
        <v>8.5885872477228009E-2</v>
      </c>
      <c r="U32" s="4">
        <f t="shared" si="106"/>
        <v>1.8726821720657316E-2</v>
      </c>
      <c r="V32" s="4">
        <f t="shared" si="106"/>
        <v>8.6096385542168585E-2</v>
      </c>
      <c r="W32" s="43">
        <f t="shared" si="106"/>
        <v>-5.4790431239662762E-2</v>
      </c>
      <c r="X32" s="43">
        <f t="shared" si="106"/>
        <v>-2.5103312156911084E-2</v>
      </c>
      <c r="Y32" s="43">
        <f t="shared" si="106"/>
        <v>-1.4006919080509661E-2</v>
      </c>
      <c r="Z32" s="43">
        <f t="shared" si="106"/>
        <v>-7.1883389168682088E-3</v>
      </c>
      <c r="AA32" s="4">
        <f t="shared" si="109"/>
        <v>2.0665107465387411E-2</v>
      </c>
      <c r="AB32" s="43">
        <f t="shared" si="109"/>
        <v>-4.3053270909781061E-2</v>
      </c>
      <c r="AC32" s="4">
        <f t="shared" si="109"/>
        <v>2.5357042434319021E-2</v>
      </c>
      <c r="AD32" s="4">
        <f t="shared" si="109"/>
        <v>2.4212496368633873E-2</v>
      </c>
      <c r="AK32" s="4">
        <f t="shared" ref="AK32" si="137">+AK12/AJ12-1</f>
        <v>-2.04107758052674E-2</v>
      </c>
      <c r="AL32" s="4">
        <f t="shared" ref="AL32" si="138">+AL12/AK12-1</f>
        <v>5.5120803769784787E-2</v>
      </c>
      <c r="AM32" s="4">
        <f t="shared" ref="AM32" si="139">+AM12/AL12-1</f>
        <v>0.33259384733074704</v>
      </c>
      <c r="AN32" s="4">
        <f t="shared" si="113"/>
        <v>7.7937876041846099E-2</v>
      </c>
      <c r="AO32" s="4">
        <f t="shared" si="113"/>
        <v>-2.800460530319937E-2</v>
      </c>
      <c r="AP32" s="4">
        <f t="shared" ref="AP32:AY32" si="140">+AP12/AO12-1</f>
        <v>6.7289353875052971E-3</v>
      </c>
      <c r="AQ32" s="4">
        <f t="shared" si="140"/>
        <v>3.7024148657519573E-2</v>
      </c>
      <c r="AR32" s="4">
        <f t="shared" si="140"/>
        <v>3.5715937203367965E-2</v>
      </c>
      <c r="AS32" s="4">
        <f t="shared" si="140"/>
        <v>3.4025957450581679E-2</v>
      </c>
      <c r="AT32" s="4">
        <f t="shared" si="140"/>
        <v>3.1981540520468865E-2</v>
      </c>
      <c r="AU32" s="4">
        <f t="shared" si="140"/>
        <v>3.2591484050300989E-2</v>
      </c>
      <c r="AV32" s="4">
        <f t="shared" si="140"/>
        <v>3.3210030395278034E-2</v>
      </c>
      <c r="AW32" s="4">
        <f t="shared" si="140"/>
        <v>3.383677730189083E-2</v>
      </c>
      <c r="AX32" s="4">
        <f t="shared" si="140"/>
        <v>3.4471283630677529E-2</v>
      </c>
      <c r="AY32" s="4">
        <f t="shared" si="140"/>
        <v>3.5113070236842736E-2</v>
      </c>
      <c r="BA32" s="12" t="s">
        <v>80</v>
      </c>
      <c r="BB32" s="36">
        <f>+BB30/BB31-1</f>
        <v>3.0307840547345588E-3</v>
      </c>
    </row>
    <row r="33" spans="2:54">
      <c r="B33" s="1" t="s">
        <v>29</v>
      </c>
      <c r="S33" s="4">
        <f t="shared" si="106"/>
        <v>3.5071624014163749E-2</v>
      </c>
      <c r="T33" s="4">
        <f t="shared" si="106"/>
        <v>6.120955067065692E-2</v>
      </c>
      <c r="U33" s="4">
        <f t="shared" si="106"/>
        <v>1.4327978679185227E-2</v>
      </c>
      <c r="V33" s="4">
        <f t="shared" si="106"/>
        <v>8.4061696658097596E-2</v>
      </c>
      <c r="W33" s="4">
        <f t="shared" si="106"/>
        <v>-5.5108927210810288E-2</v>
      </c>
      <c r="X33" s="4">
        <f t="shared" si="106"/>
        <v>-5.0618786772164692E-2</v>
      </c>
      <c r="Y33" s="4">
        <f t="shared" si="106"/>
        <v>-5.662287573821867E-2</v>
      </c>
      <c r="Z33" s="4">
        <f t="shared" si="106"/>
        <v>-8.1941061073145471E-2</v>
      </c>
      <c r="AA33" s="4">
        <f t="shared" si="109"/>
        <v>-3.8262157491977256E-2</v>
      </c>
      <c r="AB33" s="4">
        <f t="shared" si="109"/>
        <v>-9.34074153221498E-2</v>
      </c>
      <c r="AC33" s="4">
        <f t="shared" si="109"/>
        <v>1.8130456015053031E-3</v>
      </c>
      <c r="AD33" s="4">
        <f t="shared" si="109"/>
        <v>6.2066301573890925E-3</v>
      </c>
      <c r="AK33" s="4">
        <f t="shared" ref="AK33" si="141">+AK13/AJ13-1</f>
        <v>-2.1381712156799182E-2</v>
      </c>
      <c r="AL33" s="4">
        <f t="shared" ref="AL33" si="142">+AL13/AK13-1</f>
        <v>4.3380507048470296E-2</v>
      </c>
      <c r="AM33" s="4">
        <f t="shared" ref="AM33" si="143">+AM13/AL13-1</f>
        <v>0.27087767539626939</v>
      </c>
      <c r="AN33" s="4">
        <f t="shared" si="113"/>
        <v>4.7876379599097074E-2</v>
      </c>
      <c r="AO33" s="4">
        <f t="shared" si="113"/>
        <v>-6.0500022335720827E-2</v>
      </c>
      <c r="AP33" s="4">
        <f t="shared" ref="AP33:AY33" si="144">+AP13/AO13-1</f>
        <v>-3.3604511234332501E-2</v>
      </c>
      <c r="AQ33" s="4">
        <f t="shared" si="144"/>
        <v>6.7526970793368335E-2</v>
      </c>
      <c r="AR33" s="4">
        <f t="shared" si="144"/>
        <v>3.3593568479590497E-2</v>
      </c>
      <c r="AS33" s="4">
        <f t="shared" si="144"/>
        <v>3.1902700864441025E-2</v>
      </c>
      <c r="AT33" s="4">
        <f t="shared" si="144"/>
        <v>2.9858121712813546E-2</v>
      </c>
      <c r="AU33" s="4">
        <f t="shared" si="144"/>
        <v>3.0462429444011674E-2</v>
      </c>
      <c r="AV33" s="4">
        <f t="shared" si="144"/>
        <v>3.1075298927519146E-2</v>
      </c>
      <c r="AW33" s="4">
        <f t="shared" si="144"/>
        <v>3.1696328487601066E-2</v>
      </c>
      <c r="AX33" s="4">
        <f t="shared" si="144"/>
        <v>3.2325077648041267E-2</v>
      </c>
      <c r="AY33" s="4">
        <f t="shared" si="144"/>
        <v>3.2961068011817973E-2</v>
      </c>
      <c r="BA33" s="12"/>
      <c r="BB33" s="35"/>
    </row>
    <row r="34" spans="2:54">
      <c r="B34" s="1" t="s">
        <v>30</v>
      </c>
      <c r="S34" s="4">
        <f t="shared" si="106"/>
        <v>8.2714314394699784E-2</v>
      </c>
      <c r="T34" s="4">
        <f t="shared" si="106"/>
        <v>7.3349149861605456E-2</v>
      </c>
      <c r="U34" s="4">
        <f t="shared" si="106"/>
        <v>5.8522727272727337E-2</v>
      </c>
      <c r="V34" s="4">
        <f t="shared" si="106"/>
        <v>4.9666419570051801E-2</v>
      </c>
      <c r="W34" s="4">
        <f t="shared" si="106"/>
        <v>0.12312256628963469</v>
      </c>
      <c r="X34" s="4">
        <f t="shared" si="106"/>
        <v>0.1171486461595137</v>
      </c>
      <c r="Y34" s="4">
        <f t="shared" si="106"/>
        <v>0.11791018071211301</v>
      </c>
      <c r="Z34" s="4">
        <f t="shared" si="106"/>
        <v>0.14495056497175152</v>
      </c>
      <c r="AA34" s="4">
        <f t="shared" si="109"/>
        <v>3.6816906059105259E-2</v>
      </c>
      <c r="AB34" s="4">
        <f t="shared" si="109"/>
        <v>-1.1541632316570682E-3</v>
      </c>
      <c r="AC34" s="4">
        <f t="shared" si="109"/>
        <v>-0.10393450917902114</v>
      </c>
      <c r="AD34" s="4">
        <f t="shared" si="109"/>
        <v>-5.6456995897113393E-2</v>
      </c>
      <c r="AK34" s="4">
        <f t="shared" ref="AK34" si="145">+AK14/AJ14-1</f>
        <v>7.6577732170343804E-2</v>
      </c>
      <c r="AL34" s="4">
        <f t="shared" ref="AL34" si="146">+AL14/AK14-1</f>
        <v>8.8585726200405057E-2</v>
      </c>
      <c r="AM34" s="4">
        <f t="shared" ref="AM34" si="147">+AM14/AL14-1</f>
        <v>0.13363979642094903</v>
      </c>
      <c r="AN34" s="4">
        <f t="shared" si="113"/>
        <v>6.5652908520395847E-2</v>
      </c>
      <c r="AO34" s="4">
        <f t="shared" si="113"/>
        <v>0.12593431483578699</v>
      </c>
      <c r="AP34" s="4">
        <f>+AP14/AO14-1</f>
        <v>-3.2166824853884668E-2</v>
      </c>
      <c r="AQ34" s="4">
        <f>+AQ14/AP14-1</f>
        <v>3.7024148657519795E-2</v>
      </c>
      <c r="AR34" s="4">
        <f t="shared" ref="AR34:AY34" si="148">+AR14/AQ14-1</f>
        <v>3.5715937203367965E-2</v>
      </c>
      <c r="AS34" s="4">
        <f t="shared" si="148"/>
        <v>3.4025957450581901E-2</v>
      </c>
      <c r="AT34" s="4">
        <f t="shared" si="148"/>
        <v>3.1981540520468865E-2</v>
      </c>
      <c r="AU34" s="4">
        <f t="shared" si="148"/>
        <v>3.2591484050300989E-2</v>
      </c>
      <c r="AV34" s="4">
        <f t="shared" si="148"/>
        <v>3.3210030395278034E-2</v>
      </c>
      <c r="AW34" s="4">
        <f t="shared" si="148"/>
        <v>3.383677730189083E-2</v>
      </c>
      <c r="AX34" s="4">
        <f t="shared" si="148"/>
        <v>3.4471283630677529E-2</v>
      </c>
      <c r="AY34" s="4">
        <f t="shared" si="148"/>
        <v>3.5113070236842736E-2</v>
      </c>
      <c r="BA34" s="13" t="s">
        <v>93</v>
      </c>
      <c r="BB34" s="37">
        <f>+Main!I8/Model!AP22</f>
        <v>24.975497713854395</v>
      </c>
    </row>
    <row r="35" spans="2:54">
      <c r="B35" s="1" t="s">
        <v>33</v>
      </c>
      <c r="S35" s="4">
        <f t="shared" ref="S35:AD36" si="149">+S16/O16-1</f>
        <v>0.22138291690877399</v>
      </c>
      <c r="T35" s="4">
        <f t="shared" si="149"/>
        <v>0.2137970353477765</v>
      </c>
      <c r="U35" s="4">
        <f t="shared" si="149"/>
        <v>0.1889102676228791</v>
      </c>
      <c r="V35" s="4">
        <f t="shared" si="149"/>
        <v>0.17134442134442129</v>
      </c>
      <c r="W35" s="4">
        <f t="shared" si="149"/>
        <v>0.22248652077386621</v>
      </c>
      <c r="X35" s="4">
        <f t="shared" si="149"/>
        <v>0.1675277908251136</v>
      </c>
      <c r="Y35" s="4">
        <f t="shared" si="149"/>
        <v>9.4894806532293652E-2</v>
      </c>
      <c r="Z35" s="4">
        <f t="shared" si="149"/>
        <v>8.0757284425380771E-2</v>
      </c>
      <c r="AA35" s="4">
        <f t="shared" si="149"/>
        <v>-1.6863406408094139E-3</v>
      </c>
      <c r="AB35" s="4">
        <f t="shared" si="149"/>
        <v>5.980957489607075E-2</v>
      </c>
      <c r="AC35" s="4">
        <f t="shared" si="149"/>
        <v>2.5357042434319021E-2</v>
      </c>
      <c r="AD35" s="4">
        <f t="shared" si="149"/>
        <v>2.4212496368633873E-2</v>
      </c>
      <c r="AK35" s="4">
        <f t="shared" ref="AK35:AP36" si="150">+AK16/AJ16-1</f>
        <v>0.13915425681371163</v>
      </c>
      <c r="AL35" s="4">
        <f t="shared" si="150"/>
        <v>0.15631744465684161</v>
      </c>
      <c r="AM35" s="4">
        <f t="shared" si="150"/>
        <v>0.16862201365187723</v>
      </c>
      <c r="AN35" s="4">
        <f t="shared" si="150"/>
        <v>0.19791001186456136</v>
      </c>
      <c r="AO35" s="4">
        <f t="shared" si="150"/>
        <v>0.1395756352138966</v>
      </c>
      <c r="AP35" s="4">
        <f t="shared" si="150"/>
        <v>2.6696567633689217E-2</v>
      </c>
      <c r="AQ35" s="4">
        <f t="shared" ref="AQ35:AY35" si="151">+AQ16/AP16-1</f>
        <v>3.1892095069268045E-3</v>
      </c>
      <c r="AR35" s="4">
        <f t="shared" si="151"/>
        <v>2.2265080876051391E-2</v>
      </c>
      <c r="AS35" s="4">
        <f t="shared" si="151"/>
        <v>2.0420352747284598E-2</v>
      </c>
      <c r="AT35" s="4">
        <f t="shared" si="151"/>
        <v>1.8221786646862581E-2</v>
      </c>
      <c r="AU35" s="4">
        <f t="shared" si="151"/>
        <v>1.8637545076648276E-2</v>
      </c>
      <c r="AV35" s="4">
        <f t="shared" si="151"/>
        <v>1.9056468335068688E-2</v>
      </c>
      <c r="AW35" s="4">
        <f t="shared" si="151"/>
        <v>1.9477933172697748E-2</v>
      </c>
      <c r="AX35" s="4">
        <f t="shared" si="151"/>
        <v>1.9901265551372171E-2</v>
      </c>
      <c r="AY35" s="4">
        <f t="shared" si="151"/>
        <v>2.0325740662030745E-2</v>
      </c>
    </row>
    <row r="36" spans="2:54">
      <c r="B36" s="1" t="s">
        <v>34</v>
      </c>
      <c r="S36" s="4">
        <f t="shared" si="149"/>
        <v>0.14526727046705745</v>
      </c>
      <c r="T36" s="4">
        <f t="shared" si="149"/>
        <v>0.16541211893112528</v>
      </c>
      <c r="U36" s="4">
        <f t="shared" si="149"/>
        <v>0.11086474501108645</v>
      </c>
      <c r="V36" s="4">
        <f t="shared" si="149"/>
        <v>0.14672364672364679</v>
      </c>
      <c r="W36" s="4">
        <f t="shared" si="149"/>
        <v>2.4499922468599777E-2</v>
      </c>
      <c r="X36" s="4">
        <f t="shared" si="149"/>
        <v>1.2917810431132271E-3</v>
      </c>
      <c r="Y36" s="4">
        <f t="shared" si="149"/>
        <v>-6.4870259481037973E-3</v>
      </c>
      <c r="Z36" s="4">
        <f t="shared" si="149"/>
        <v>-4.4875776397515499E-2</v>
      </c>
      <c r="AA36" s="4">
        <f t="shared" si="149"/>
        <v>2.7092477675193072E-2</v>
      </c>
      <c r="AB36" s="4">
        <f t="shared" si="149"/>
        <v>4.3057571359458091E-2</v>
      </c>
      <c r="AC36" s="4">
        <f t="shared" si="149"/>
        <v>2.5357042434319021E-2</v>
      </c>
      <c r="AD36" s="4">
        <f t="shared" si="149"/>
        <v>2.4212496368634095E-2</v>
      </c>
      <c r="AK36" s="4">
        <f t="shared" si="150"/>
        <v>9.2187967674348892E-2</v>
      </c>
      <c r="AL36" s="4">
        <f t="shared" si="150"/>
        <v>9.1586736092080123E-2</v>
      </c>
      <c r="AM36" s="4">
        <f t="shared" si="150"/>
        <v>0.10328379192608961</v>
      </c>
      <c r="AN36" s="4">
        <f t="shared" si="150"/>
        <v>0.14203795567287125</v>
      </c>
      <c r="AO36" s="4">
        <f t="shared" si="150"/>
        <v>-6.4557264684784732E-3</v>
      </c>
      <c r="AP36" s="4">
        <f t="shared" si="150"/>
        <v>2.9936975759010664E-2</v>
      </c>
      <c r="AQ36" s="4">
        <f t="shared" ref="AQ36:AY36" si="152">+AQ17/AP17-1</f>
        <v>3.7024148657519573E-2</v>
      </c>
      <c r="AR36" s="4">
        <f t="shared" si="152"/>
        <v>3.5715937203367965E-2</v>
      </c>
      <c r="AS36" s="4">
        <f t="shared" si="152"/>
        <v>3.4025957450581679E-2</v>
      </c>
      <c r="AT36" s="4">
        <f t="shared" si="152"/>
        <v>3.1981540520468865E-2</v>
      </c>
      <c r="AU36" s="4">
        <f t="shared" si="152"/>
        <v>3.2591484050300989E-2</v>
      </c>
      <c r="AV36" s="4">
        <f t="shared" si="152"/>
        <v>3.3210030395277812E-2</v>
      </c>
      <c r="AW36" s="4">
        <f t="shared" si="152"/>
        <v>3.383677730189083E-2</v>
      </c>
      <c r="AX36" s="4">
        <f t="shared" si="152"/>
        <v>3.4471283630677529E-2</v>
      </c>
      <c r="AY36" s="4">
        <f t="shared" si="152"/>
        <v>3.5113070236842736E-2</v>
      </c>
    </row>
    <row r="37" spans="2:54">
      <c r="B37" s="21" t="s">
        <v>51</v>
      </c>
      <c r="C37" s="21"/>
      <c r="D37" s="21"/>
      <c r="E37" s="21"/>
      <c r="F37" s="21"/>
      <c r="G37" s="21"/>
      <c r="H37" s="21"/>
      <c r="I37" s="21"/>
      <c r="J37" s="21"/>
    </row>
    <row r="38" spans="2:54">
      <c r="B38" s="1" t="s">
        <v>52</v>
      </c>
      <c r="C38" s="4">
        <f t="shared" ref="C38:M38" si="153">+C15/C12</f>
        <v>0.38408480853521798</v>
      </c>
      <c r="D38" s="4">
        <f t="shared" si="153"/>
        <v>0.38310679294044525</v>
      </c>
      <c r="E38" s="4">
        <f t="shared" si="153"/>
        <v>0.38338496198254013</v>
      </c>
      <c r="F38" s="4">
        <f t="shared" si="153"/>
        <v>0.38289348171701115</v>
      </c>
      <c r="G38" s="4">
        <f t="shared" si="153"/>
        <v>0.37991934527339583</v>
      </c>
      <c r="H38" s="4">
        <f t="shared" si="153"/>
        <v>0.37612686374213566</v>
      </c>
      <c r="I38" s="4">
        <f t="shared" si="153"/>
        <v>0.37590365923916075</v>
      </c>
      <c r="J38" s="4">
        <f t="shared" si="153"/>
        <v>0.37965334166146159</v>
      </c>
      <c r="K38" s="4">
        <f t="shared" si="153"/>
        <v>0.38354806739345887</v>
      </c>
      <c r="L38" s="4">
        <f t="shared" si="153"/>
        <v>0.38361943305952362</v>
      </c>
      <c r="M38" s="4">
        <f t="shared" si="153"/>
        <v>0.37999497361146017</v>
      </c>
      <c r="N38" s="4">
        <f>+N15/N12</f>
        <v>0.38160375900336951</v>
      </c>
      <c r="O38" s="4">
        <f t="shared" ref="O38:Z38" si="154">(O12-SUM(O13:O14))/O12</f>
        <v>0.39971734988685048</v>
      </c>
      <c r="P38" s="4">
        <f t="shared" si="154"/>
        <v>0.42506474370423292</v>
      </c>
      <c r="Q38" s="4">
        <f t="shared" si="154"/>
        <v>0.43292727853230839</v>
      </c>
      <c r="R38" s="4">
        <f t="shared" si="154"/>
        <v>0.41944578313253011</v>
      </c>
      <c r="S38" s="4">
        <f t="shared" si="154"/>
        <v>0.43763766186615033</v>
      </c>
      <c r="T38" s="4">
        <f t="shared" si="154"/>
        <v>0.43749871502292398</v>
      </c>
      <c r="U38" s="4">
        <f t="shared" si="154"/>
        <v>0.43256307332537758</v>
      </c>
      <c r="V38" s="4">
        <f t="shared" si="154"/>
        <v>0.4225922392563175</v>
      </c>
      <c r="W38" s="4">
        <f t="shared" si="154"/>
        <v>0.42962254809908323</v>
      </c>
      <c r="X38" s="4">
        <f t="shared" si="154"/>
        <v>0.44261672782487665</v>
      </c>
      <c r="Y38" s="4">
        <f t="shared" si="154"/>
        <v>0.44516302553883397</v>
      </c>
      <c r="Z38" s="4">
        <f t="shared" si="154"/>
        <v>0.45170841806520817</v>
      </c>
      <c r="AA38" s="4">
        <f>(AA12-SUM(AA13:AA14))/AA12</f>
        <v>0.45874973865774621</v>
      </c>
      <c r="AB38" s="4">
        <f>(AB12-SUM(AB13:AB14))/AB12</f>
        <v>0.46578074554009236</v>
      </c>
      <c r="AC38" s="4">
        <f>(AC12-SUM(AC13:AC14))/AC12</f>
        <v>0.46578074554009241</v>
      </c>
      <c r="AD38" s="4">
        <f>(AD12-SUM(AD13:AD14))/AD12</f>
        <v>0.46578074554009247</v>
      </c>
      <c r="AJ38" s="4">
        <f>(AJ12-SUM(AJ13:AJ14))/AJ12</f>
        <v>0.38343718820007905</v>
      </c>
      <c r="AK38" s="4">
        <f t="shared" ref="AK38:AY38" si="155">(AK12-SUM(AK13:AK14))/AK12</f>
        <v>0.37817768109034722</v>
      </c>
      <c r="AL38" s="4">
        <f t="shared" si="155"/>
        <v>0.38233247727810865</v>
      </c>
      <c r="AM38" s="4">
        <f t="shared" si="155"/>
        <v>0.41779359625167778</v>
      </c>
      <c r="AN38" s="4">
        <f t="shared" si="155"/>
        <v>0.43309630561360085</v>
      </c>
      <c r="AO38" s="4">
        <f>(AO12-SUM(AO13:AO14))/AO12</f>
        <v>0.44131129577207562</v>
      </c>
      <c r="AP38" s="4">
        <f>(AP12-SUM(AP13:AP14))/AP12</f>
        <v>0.46360191457873434</v>
      </c>
      <c r="AQ38" s="4">
        <f t="shared" si="155"/>
        <v>0.44965811961191338</v>
      </c>
      <c r="AR38" s="4">
        <f t="shared" si="155"/>
        <v>0.45065811961191332</v>
      </c>
      <c r="AS38" s="4">
        <f t="shared" si="155"/>
        <v>0.45165811961191332</v>
      </c>
      <c r="AT38" s="4">
        <f t="shared" si="155"/>
        <v>0.45265811961191338</v>
      </c>
      <c r="AU38" s="4">
        <f t="shared" si="155"/>
        <v>0.45365811961191332</v>
      </c>
      <c r="AV38" s="4">
        <f t="shared" si="155"/>
        <v>0.45465811961191338</v>
      </c>
      <c r="AW38" s="4">
        <f t="shared" si="155"/>
        <v>0.45565811961191333</v>
      </c>
      <c r="AX38" s="4">
        <f t="shared" si="155"/>
        <v>0.45665811961191344</v>
      </c>
      <c r="AY38" s="4">
        <f t="shared" si="155"/>
        <v>0.45765811961191344</v>
      </c>
    </row>
    <row r="39" spans="2:54">
      <c r="B39" s="1" t="s">
        <v>53</v>
      </c>
      <c r="O39" s="4">
        <f t="shared" ref="O39:Z39" si="156">+O18/O12</f>
        <v>0.30316908022433114</v>
      </c>
      <c r="P39" s="4">
        <f t="shared" si="156"/>
        <v>0.30700794784782998</v>
      </c>
      <c r="Q39" s="4">
        <f t="shared" si="156"/>
        <v>0.29626445956234498</v>
      </c>
      <c r="R39" s="4">
        <f t="shared" si="156"/>
        <v>0.28224096385542169</v>
      </c>
      <c r="S39" s="4">
        <f t="shared" si="156"/>
        <v>0.33472911371979508</v>
      </c>
      <c r="T39" s="4">
        <f t="shared" si="156"/>
        <v>0.30817862209338187</v>
      </c>
      <c r="U39" s="4">
        <f t="shared" si="156"/>
        <v>0.27816150146457891</v>
      </c>
      <c r="V39" s="4">
        <f t="shared" si="156"/>
        <v>0.27615202005635303</v>
      </c>
      <c r="W39" s="4">
        <f t="shared" si="156"/>
        <v>0.30742441572630896</v>
      </c>
      <c r="X39" s="4">
        <f t="shared" si="156"/>
        <v>0.29859968788223878</v>
      </c>
      <c r="Y39" s="4">
        <f t="shared" si="156"/>
        <v>0.28115945572576012</v>
      </c>
      <c r="Z39" s="4">
        <f t="shared" si="156"/>
        <v>0.30133634271156895</v>
      </c>
      <c r="AA39" s="4">
        <f>+AA18/AA12</f>
        <v>0.33763746602550698</v>
      </c>
      <c r="AB39" s="4">
        <f>+AB18/AB12</f>
        <v>0.30742785362467356</v>
      </c>
      <c r="AC39" s="4">
        <f>+AC18/AC12</f>
        <v>0.30177717572701857</v>
      </c>
      <c r="AD39" s="4">
        <f>+AD18/AD12</f>
        <v>0.3154086701864533</v>
      </c>
      <c r="AJ39" s="4">
        <f>+AJ18/AJ12</f>
        <v>0.26694026619477024</v>
      </c>
      <c r="AK39" s="4">
        <f t="shared" ref="AK39:AY39" si="157">+AK18/AK12</f>
        <v>0.24572017188496928</v>
      </c>
      <c r="AL39" s="4">
        <f t="shared" si="157"/>
        <v>0.24147314354406862</v>
      </c>
      <c r="AM39" s="4">
        <f t="shared" si="157"/>
        <v>0.29782377527561593</v>
      </c>
      <c r="AN39" s="4">
        <f t="shared" si="157"/>
        <v>0.30288744395528594</v>
      </c>
      <c r="AO39" s="4">
        <f t="shared" si="157"/>
        <v>0.29821412265024722</v>
      </c>
      <c r="AP39" s="4">
        <f t="shared" si="157"/>
        <v>0.3174571540260282</v>
      </c>
      <c r="AQ39" s="4">
        <f t="shared" si="157"/>
        <v>0.30611036697147948</v>
      </c>
      <c r="AR39" s="4">
        <f t="shared" si="157"/>
        <v>0.30811036697147942</v>
      </c>
      <c r="AS39" s="4">
        <f t="shared" si="157"/>
        <v>0.31011036697147942</v>
      </c>
      <c r="AT39" s="4">
        <f t="shared" si="157"/>
        <v>0.31211036697147948</v>
      </c>
      <c r="AU39" s="4">
        <f t="shared" si="157"/>
        <v>0.31411036697147943</v>
      </c>
      <c r="AV39" s="4">
        <f t="shared" si="157"/>
        <v>0.31611036697147948</v>
      </c>
      <c r="AW39" s="4">
        <f t="shared" si="157"/>
        <v>0.31811036697147943</v>
      </c>
      <c r="AX39" s="4">
        <f t="shared" si="157"/>
        <v>0.32011036697147949</v>
      </c>
      <c r="AY39" s="4">
        <f t="shared" si="157"/>
        <v>0.32211036697147954</v>
      </c>
    </row>
    <row r="41" spans="2:54">
      <c r="B41" s="1" t="s">
        <v>29</v>
      </c>
      <c r="AK41" s="22">
        <f t="shared" ref="AK41:AN42" si="158">+AK13/AK$12</f>
        <v>0.55730395812033484</v>
      </c>
      <c r="AL41" s="22">
        <f t="shared" si="158"/>
        <v>0.55110285412454696</v>
      </c>
      <c r="AM41" s="22">
        <f t="shared" si="158"/>
        <v>0.5255797297555882</v>
      </c>
      <c r="AN41" s="22">
        <f t="shared" si="158"/>
        <v>0.5109223793390274</v>
      </c>
      <c r="AO41" s="22">
        <f>+AO13/AO$12</f>
        <v>0.4938413973935844</v>
      </c>
      <c r="AP41" s="22">
        <f t="shared" ref="AP41:AY41" si="159">+AP13/AP$12</f>
        <v>0.47405620503317902</v>
      </c>
      <c r="AQ41" s="22">
        <f t="shared" si="159"/>
        <v>0.48799999999999999</v>
      </c>
      <c r="AR41" s="22">
        <f t="shared" si="159"/>
        <v>0.48699999999999999</v>
      </c>
      <c r="AS41" s="22">
        <f t="shared" si="159"/>
        <v>0.48599999999999999</v>
      </c>
      <c r="AT41" s="22">
        <f t="shared" si="159"/>
        <v>0.48499999999999999</v>
      </c>
      <c r="AU41" s="22">
        <f t="shared" si="159"/>
        <v>0.48400000000000004</v>
      </c>
      <c r="AV41" s="22">
        <f t="shared" si="159"/>
        <v>0.48299999999999998</v>
      </c>
      <c r="AW41" s="22">
        <f t="shared" si="159"/>
        <v>0.48199999999999998</v>
      </c>
      <c r="AX41" s="22">
        <f t="shared" si="159"/>
        <v>0.48099999999999998</v>
      </c>
      <c r="AY41" s="22">
        <f t="shared" si="159"/>
        <v>0.48</v>
      </c>
    </row>
    <row r="42" spans="2:54">
      <c r="B42" s="1" t="s">
        <v>30</v>
      </c>
      <c r="AK42" s="22">
        <f t="shared" si="158"/>
        <v>6.4518360789317913E-2</v>
      </c>
      <c r="AL42" s="22">
        <f t="shared" si="158"/>
        <v>6.6564668597344404E-2</v>
      </c>
      <c r="AM42" s="22">
        <f t="shared" si="158"/>
        <v>5.6626673992734071E-2</v>
      </c>
      <c r="AN42" s="22">
        <f t="shared" si="158"/>
        <v>5.5981315047371728E-2</v>
      </c>
      <c r="AO42" s="22">
        <f t="shared" ref="AO42:AY42" si="160">+AO14/AO$12</f>
        <v>6.4847306834339979E-2</v>
      </c>
      <c r="AP42" s="22">
        <f t="shared" si="160"/>
        <v>6.2341880388086635E-2</v>
      </c>
      <c r="AQ42" s="22">
        <f t="shared" si="160"/>
        <v>6.2341880388086642E-2</v>
      </c>
      <c r="AR42" s="22">
        <f t="shared" si="160"/>
        <v>6.2341880388086642E-2</v>
      </c>
      <c r="AS42" s="22">
        <f t="shared" si="160"/>
        <v>6.2341880388086642E-2</v>
      </c>
      <c r="AT42" s="22">
        <f t="shared" si="160"/>
        <v>6.2341880388086642E-2</v>
      </c>
      <c r="AU42" s="22">
        <f t="shared" si="160"/>
        <v>6.2341880388086635E-2</v>
      </c>
      <c r="AV42" s="22">
        <f t="shared" si="160"/>
        <v>6.2341880388086635E-2</v>
      </c>
      <c r="AW42" s="22">
        <f t="shared" si="160"/>
        <v>6.2341880388086642E-2</v>
      </c>
      <c r="AX42" s="22">
        <f t="shared" si="160"/>
        <v>6.2341880388086642E-2</v>
      </c>
      <c r="AY42" s="22">
        <f t="shared" si="160"/>
        <v>6.2341880388086642E-2</v>
      </c>
    </row>
    <row r="43" spans="2:54">
      <c r="B43" s="1" t="s">
        <v>33</v>
      </c>
      <c r="AK43" s="22">
        <f t="shared" ref="AK43:AN43" si="161">+AK16/AK$12</f>
        <v>6.233136285716482E-2</v>
      </c>
      <c r="AL43" s="22">
        <f t="shared" si="161"/>
        <v>6.8309564140393061E-2</v>
      </c>
      <c r="AM43" s="22">
        <f t="shared" si="161"/>
        <v>5.9904269074427925E-2</v>
      </c>
      <c r="AN43" s="22">
        <f t="shared" si="161"/>
        <v>6.657148363798665E-2</v>
      </c>
      <c r="AO43" s="22">
        <f>+AO16/AO$12</f>
        <v>7.8048971392045086E-2</v>
      </c>
      <c r="AP43" s="22">
        <f t="shared" ref="AP43:AY43" si="162">+AP16/AP$12</f>
        <v>7.9597007912272255E-2</v>
      </c>
      <c r="AQ43" s="22">
        <f t="shared" si="162"/>
        <v>7.6999999999999999E-2</v>
      </c>
      <c r="AR43" s="22">
        <f t="shared" si="162"/>
        <v>7.5999999999999998E-2</v>
      </c>
      <c r="AS43" s="22">
        <f t="shared" si="162"/>
        <v>7.4999999999999997E-2</v>
      </c>
      <c r="AT43" s="22">
        <f t="shared" si="162"/>
        <v>7.3999999999999996E-2</v>
      </c>
      <c r="AU43" s="22">
        <f t="shared" si="162"/>
        <v>7.2999999999999995E-2</v>
      </c>
      <c r="AV43" s="22">
        <f t="shared" si="162"/>
        <v>7.1999999999999995E-2</v>
      </c>
      <c r="AW43" s="22">
        <f t="shared" si="162"/>
        <v>7.0999999999999994E-2</v>
      </c>
      <c r="AX43" s="22">
        <f t="shared" si="162"/>
        <v>7.0000000000000007E-2</v>
      </c>
      <c r="AY43" s="22">
        <f t="shared" si="162"/>
        <v>6.9000000000000006E-2</v>
      </c>
    </row>
    <row r="44" spans="2:54">
      <c r="B44" s="1" t="s">
        <v>34</v>
      </c>
      <c r="AK44" s="22">
        <f t="shared" ref="AK44:AN44" si="163">+AK17/AK$12</f>
        <v>7.0126146348213125E-2</v>
      </c>
      <c r="AL44" s="22">
        <f t="shared" si="163"/>
        <v>7.2549769593646979E-2</v>
      </c>
      <c r="AM44" s="22">
        <f t="shared" si="163"/>
        <v>6.006555190163388E-2</v>
      </c>
      <c r="AN44" s="22">
        <f t="shared" si="163"/>
        <v>6.3637378020328261E-2</v>
      </c>
      <c r="AO44" s="22">
        <f>+AO17/AO$12</f>
        <v>6.5048201729783317E-2</v>
      </c>
      <c r="AP44" s="22">
        <f t="shared" ref="AP44:AY44" si="164">+AP17/AP$12</f>
        <v>6.6547752640433916E-2</v>
      </c>
      <c r="AQ44" s="22">
        <f t="shared" si="164"/>
        <v>6.6547752640433916E-2</v>
      </c>
      <c r="AR44" s="22">
        <f t="shared" si="164"/>
        <v>6.6547752640433916E-2</v>
      </c>
      <c r="AS44" s="22">
        <f t="shared" si="164"/>
        <v>6.6547752640433916E-2</v>
      </c>
      <c r="AT44" s="22">
        <f t="shared" si="164"/>
        <v>6.6547752640433916E-2</v>
      </c>
      <c r="AU44" s="22">
        <f t="shared" si="164"/>
        <v>6.6547752640433916E-2</v>
      </c>
      <c r="AV44" s="22">
        <f t="shared" si="164"/>
        <v>6.6547752640433916E-2</v>
      </c>
      <c r="AW44" s="22">
        <f t="shared" si="164"/>
        <v>6.6547752640433916E-2</v>
      </c>
      <c r="AX44" s="22">
        <f t="shared" si="164"/>
        <v>6.6547752640433916E-2</v>
      </c>
      <c r="AY44" s="22">
        <f t="shared" si="164"/>
        <v>6.6547752640433916E-2</v>
      </c>
    </row>
    <row r="48" spans="2:54" s="5" customFormat="1">
      <c r="B48" s="5" t="s">
        <v>73</v>
      </c>
      <c r="V48" s="5">
        <f t="shared" ref="V48:Y48" si="165">+SUM(V49:V50,V55)-SUM(V63:V65)</f>
        <v>49040</v>
      </c>
      <c r="W48" s="5">
        <f t="shared" si="165"/>
        <v>54340</v>
      </c>
      <c r="X48" s="5">
        <f t="shared" si="165"/>
        <v>56718</v>
      </c>
      <c r="Y48" s="5">
        <f t="shared" si="165"/>
        <v>57263</v>
      </c>
      <c r="Z48" s="5">
        <f>+SUM(Z49:Z50,Z55)-SUM(Z63:Z65)</f>
        <v>51011</v>
      </c>
      <c r="AA48" s="5">
        <f>+SUM(AA49:AA50,AA55)-SUM(AA63:AA65)</f>
        <v>64535</v>
      </c>
      <c r="AB48" s="5">
        <f>+SUM(AB49:AB50,AB55)-SUM(AB63:AB65)</f>
        <v>57747</v>
      </c>
      <c r="AO48" s="5">
        <f>+AB48</f>
        <v>57747</v>
      </c>
      <c r="AP48" s="5">
        <f t="shared" ref="AP48:AY48" si="166">+AO48+AP22</f>
        <v>161241.96487696178</v>
      </c>
      <c r="AQ48" s="5">
        <f t="shared" si="166"/>
        <v>265733.22442297905</v>
      </c>
      <c r="AR48" s="5">
        <f t="shared" si="166"/>
        <v>375485.68836103193</v>
      </c>
      <c r="AS48" s="5">
        <f t="shared" si="166"/>
        <v>490542.18945804529</v>
      </c>
      <c r="AT48" s="5">
        <f t="shared" si="166"/>
        <v>610890.73764687346</v>
      </c>
      <c r="AU48" s="5">
        <f t="shared" si="166"/>
        <v>736809.31475532928</v>
      </c>
      <c r="AV48" s="5">
        <f t="shared" si="166"/>
        <v>868593.57281756052</v>
      </c>
      <c r="AW48" s="5">
        <f t="shared" si="166"/>
        <v>1006558.0811962634</v>
      </c>
      <c r="AX48" s="5">
        <f t="shared" si="166"/>
        <v>1151037.6652457782</v>
      </c>
      <c r="AY48" s="5">
        <f t="shared" si="166"/>
        <v>1302388.8433048925</v>
      </c>
    </row>
    <row r="49" spans="2:28">
      <c r="B49" s="1" t="s">
        <v>55</v>
      </c>
      <c r="V49" s="1">
        <v>23646</v>
      </c>
      <c r="W49" s="1">
        <v>20535</v>
      </c>
      <c r="X49" s="1">
        <v>24687</v>
      </c>
      <c r="Y49" s="1">
        <v>28408</v>
      </c>
      <c r="Z49" s="1">
        <v>29965</v>
      </c>
      <c r="AA49" s="1">
        <v>40760</v>
      </c>
      <c r="AB49" s="1">
        <v>32695</v>
      </c>
    </row>
    <row r="50" spans="2:28">
      <c r="B50" s="1" t="s">
        <v>56</v>
      </c>
      <c r="V50" s="1">
        <v>24658</v>
      </c>
      <c r="W50" s="1">
        <v>30820</v>
      </c>
      <c r="X50" s="1">
        <v>31185</v>
      </c>
      <c r="Y50" s="1">
        <v>34074</v>
      </c>
      <c r="Z50" s="1">
        <v>31590</v>
      </c>
      <c r="AA50" s="1">
        <v>32340</v>
      </c>
      <c r="AB50" s="1">
        <v>34455</v>
      </c>
    </row>
    <row r="51" spans="2:28">
      <c r="B51" s="1" t="s">
        <v>57</v>
      </c>
      <c r="V51" s="1">
        <v>28184</v>
      </c>
      <c r="W51" s="1">
        <v>23752</v>
      </c>
      <c r="X51" s="1">
        <v>17936</v>
      </c>
      <c r="Y51" s="1">
        <v>19549</v>
      </c>
      <c r="Z51" s="1">
        <v>29508</v>
      </c>
      <c r="AA51" s="1">
        <v>23194</v>
      </c>
      <c r="AB51" s="1">
        <v>21837</v>
      </c>
    </row>
    <row r="52" spans="2:28">
      <c r="B52" s="1" t="s">
        <v>58</v>
      </c>
      <c r="V52" s="1">
        <v>4946</v>
      </c>
      <c r="W52" s="1">
        <v>6820</v>
      </c>
      <c r="X52" s="1">
        <v>7482</v>
      </c>
      <c r="Y52" s="1">
        <v>7351</v>
      </c>
      <c r="Z52" s="1">
        <v>31477</v>
      </c>
      <c r="AA52" s="1">
        <v>26908</v>
      </c>
      <c r="AB52" s="1">
        <v>19313</v>
      </c>
    </row>
    <row r="53" spans="2:28">
      <c r="B53" s="1" t="s">
        <v>59</v>
      </c>
      <c r="V53" s="1">
        <v>32748</v>
      </c>
      <c r="W53" s="1">
        <v>30428</v>
      </c>
      <c r="X53" s="1">
        <v>17963</v>
      </c>
      <c r="Y53" s="1">
        <v>19637</v>
      </c>
      <c r="Z53" s="1">
        <v>6331</v>
      </c>
      <c r="AA53" s="1">
        <v>6511</v>
      </c>
      <c r="AB53" s="1">
        <v>6232</v>
      </c>
    </row>
    <row r="54" spans="2:28">
      <c r="B54" s="1" t="s">
        <v>60</v>
      </c>
      <c r="V54" s="1">
        <v>21223</v>
      </c>
      <c r="W54" s="1">
        <v>16422</v>
      </c>
      <c r="X54" s="1">
        <v>13660</v>
      </c>
      <c r="Y54" s="1">
        <v>13640</v>
      </c>
      <c r="Z54" s="1">
        <v>14695</v>
      </c>
      <c r="AA54" s="1">
        <v>13979</v>
      </c>
      <c r="AB54" s="1">
        <v>13884</v>
      </c>
    </row>
    <row r="55" spans="2:28">
      <c r="B55" s="1" t="s">
        <v>56</v>
      </c>
      <c r="V55" s="1">
        <v>120805</v>
      </c>
      <c r="W55" s="1">
        <v>114095</v>
      </c>
      <c r="X55" s="1">
        <v>110461</v>
      </c>
      <c r="Y55" s="1">
        <v>104061</v>
      </c>
      <c r="Z55" s="1">
        <v>100544</v>
      </c>
      <c r="AA55" s="1">
        <v>99475</v>
      </c>
      <c r="AB55" s="1">
        <v>95187</v>
      </c>
    </row>
    <row r="56" spans="2:28">
      <c r="B56" s="1" t="s">
        <v>61</v>
      </c>
      <c r="V56" s="1">
        <v>42117</v>
      </c>
      <c r="W56" s="1">
        <v>42951</v>
      </c>
      <c r="X56" s="1">
        <v>43398</v>
      </c>
      <c r="Y56" s="1">
        <v>43550</v>
      </c>
      <c r="Z56" s="1">
        <v>43715</v>
      </c>
      <c r="AA56" s="1">
        <v>43666</v>
      </c>
      <c r="AB56" s="1">
        <v>43546</v>
      </c>
    </row>
    <row r="57" spans="2:28">
      <c r="B57" s="1" t="s">
        <v>60</v>
      </c>
      <c r="V57" s="1">
        <v>54428</v>
      </c>
      <c r="W57" s="1">
        <v>60924</v>
      </c>
      <c r="X57" s="1">
        <v>65388</v>
      </c>
      <c r="Y57" s="1">
        <v>64768</v>
      </c>
      <c r="Z57" s="1">
        <v>64758</v>
      </c>
      <c r="AA57" s="1">
        <v>66681</v>
      </c>
      <c r="AB57" s="1">
        <v>70262</v>
      </c>
    </row>
    <row r="58" spans="2:28" s="5" customFormat="1">
      <c r="B58" s="5" t="s">
        <v>62</v>
      </c>
      <c r="V58" s="5">
        <f t="shared" ref="V58:AB58" si="167">SUM(V49:V57)</f>
        <v>352755</v>
      </c>
      <c r="W58" s="5">
        <f t="shared" si="167"/>
        <v>346747</v>
      </c>
      <c r="X58" s="5">
        <f t="shared" si="167"/>
        <v>332160</v>
      </c>
      <c r="Y58" s="5">
        <f t="shared" si="167"/>
        <v>335038</v>
      </c>
      <c r="Z58" s="5">
        <f t="shared" si="167"/>
        <v>352583</v>
      </c>
      <c r="AA58" s="5">
        <f t="shared" si="167"/>
        <v>353514</v>
      </c>
      <c r="AB58" s="5">
        <f t="shared" si="167"/>
        <v>337411</v>
      </c>
    </row>
    <row r="60" spans="2:28">
      <c r="B60" s="1" t="s">
        <v>64</v>
      </c>
      <c r="V60" s="1">
        <v>64115</v>
      </c>
      <c r="W60" s="1">
        <v>57918</v>
      </c>
      <c r="X60" s="1">
        <v>42945</v>
      </c>
      <c r="Y60" s="1">
        <v>46699</v>
      </c>
      <c r="Z60" s="1">
        <v>62611</v>
      </c>
      <c r="AA60" s="1">
        <v>58146</v>
      </c>
      <c r="AB60" s="1">
        <v>45753</v>
      </c>
    </row>
    <row r="61" spans="2:28">
      <c r="B61" s="1" t="s">
        <v>65</v>
      </c>
      <c r="V61" s="1">
        <v>60845</v>
      </c>
      <c r="W61" s="1">
        <v>59893</v>
      </c>
      <c r="X61" s="1">
        <v>56425</v>
      </c>
      <c r="Y61" s="1">
        <v>58897</v>
      </c>
      <c r="Z61" s="1">
        <v>58829</v>
      </c>
      <c r="AA61" s="1">
        <v>54611</v>
      </c>
      <c r="AB61" s="1">
        <v>57298</v>
      </c>
    </row>
    <row r="62" spans="2:28">
      <c r="B62" s="1" t="s">
        <v>66</v>
      </c>
      <c r="V62" s="1">
        <v>7912</v>
      </c>
      <c r="W62" s="1">
        <v>7992</v>
      </c>
      <c r="X62" s="1">
        <v>8131</v>
      </c>
      <c r="Y62" s="1">
        <v>8158</v>
      </c>
      <c r="Z62" s="1">
        <v>8061</v>
      </c>
      <c r="AA62" s="1">
        <v>8264</v>
      </c>
      <c r="AB62" s="1">
        <v>8012</v>
      </c>
    </row>
    <row r="63" spans="2:28">
      <c r="B63" s="1" t="s">
        <v>67</v>
      </c>
      <c r="V63" s="1">
        <v>9982</v>
      </c>
      <c r="W63" s="1">
        <v>1743</v>
      </c>
      <c r="X63" s="1">
        <v>1996</v>
      </c>
      <c r="Y63" s="1">
        <v>3993</v>
      </c>
      <c r="Z63" s="1">
        <v>5985</v>
      </c>
      <c r="AA63" s="1">
        <v>1998</v>
      </c>
      <c r="AB63" s="1">
        <v>1997</v>
      </c>
    </row>
    <row r="64" spans="2:28">
      <c r="B64" s="1" t="s">
        <v>68</v>
      </c>
      <c r="V64" s="1">
        <v>11128</v>
      </c>
      <c r="W64" s="1">
        <v>9740</v>
      </c>
      <c r="X64" s="1">
        <v>10578</v>
      </c>
      <c r="Y64" s="1">
        <v>7216</v>
      </c>
      <c r="Z64" s="1">
        <v>9822</v>
      </c>
      <c r="AA64" s="1">
        <v>10954</v>
      </c>
      <c r="AB64" s="1">
        <v>10762</v>
      </c>
    </row>
    <row r="65" spans="2:28">
      <c r="B65" s="1" t="s">
        <v>69</v>
      </c>
      <c r="V65" s="1">
        <v>98959</v>
      </c>
      <c r="W65" s="1">
        <v>99627</v>
      </c>
      <c r="X65" s="1">
        <v>97041</v>
      </c>
      <c r="Y65" s="1">
        <v>98071</v>
      </c>
      <c r="Z65" s="1">
        <v>95281</v>
      </c>
      <c r="AA65" s="1">
        <v>95088</v>
      </c>
      <c r="AB65" s="1">
        <v>91831</v>
      </c>
    </row>
    <row r="66" spans="2:28">
      <c r="B66" s="1" t="s">
        <v>70</v>
      </c>
      <c r="V66" s="1">
        <v>49142</v>
      </c>
      <c r="W66" s="1">
        <v>53107</v>
      </c>
      <c r="X66" s="1">
        <v>52886</v>
      </c>
      <c r="Y66" s="1">
        <v>51730</v>
      </c>
      <c r="Z66" s="1">
        <v>49848</v>
      </c>
      <c r="AA66" s="1">
        <v>50353</v>
      </c>
      <c r="AB66" s="1">
        <v>47564</v>
      </c>
    </row>
    <row r="67" spans="2:28">
      <c r="B67" s="1" t="s">
        <v>63</v>
      </c>
      <c r="V67" s="1">
        <f t="shared" ref="V67:AB67" si="168">+SUM(V60:V66)</f>
        <v>302083</v>
      </c>
      <c r="W67" s="1">
        <f t="shared" si="168"/>
        <v>290020</v>
      </c>
      <c r="X67" s="1">
        <f t="shared" si="168"/>
        <v>270002</v>
      </c>
      <c r="Y67" s="1">
        <f t="shared" si="168"/>
        <v>274764</v>
      </c>
      <c r="Z67" s="1">
        <f t="shared" si="168"/>
        <v>290437</v>
      </c>
      <c r="AA67" s="1">
        <f t="shared" si="168"/>
        <v>279414</v>
      </c>
      <c r="AB67" s="1">
        <f t="shared" si="168"/>
        <v>263217</v>
      </c>
    </row>
    <row r="68" spans="2:28">
      <c r="B68" s="1" t="s">
        <v>71</v>
      </c>
      <c r="V68" s="1">
        <v>50672</v>
      </c>
      <c r="W68" s="1">
        <v>56727</v>
      </c>
      <c r="X68" s="1">
        <v>62158</v>
      </c>
      <c r="Y68" s="1">
        <v>60274</v>
      </c>
      <c r="Z68" s="1">
        <v>62147</v>
      </c>
      <c r="AA68" s="1">
        <v>74100</v>
      </c>
      <c r="AB68" s="1">
        <v>74194</v>
      </c>
    </row>
    <row r="69" spans="2:28" s="5" customFormat="1">
      <c r="B69" s="5" t="s">
        <v>72</v>
      </c>
      <c r="V69" s="5">
        <f t="shared" ref="V69:AB69" si="169">+SUM(V67:V68)</f>
        <v>352755</v>
      </c>
      <c r="W69" s="5">
        <f t="shared" si="169"/>
        <v>346747</v>
      </c>
      <c r="X69" s="5">
        <f t="shared" si="169"/>
        <v>332160</v>
      </c>
      <c r="Y69" s="5">
        <f t="shared" si="169"/>
        <v>335038</v>
      </c>
      <c r="Z69" s="5">
        <f t="shared" si="169"/>
        <v>352584</v>
      </c>
      <c r="AA69" s="5">
        <f t="shared" si="169"/>
        <v>353514</v>
      </c>
      <c r="AB69" s="5">
        <f t="shared" si="169"/>
        <v>337411</v>
      </c>
    </row>
    <row r="72" spans="2:28">
      <c r="B72" s="1" t="s">
        <v>81</v>
      </c>
      <c r="V72" s="1">
        <f t="shared" ref="V72:Z72" si="170">SUM(V63:V65)</f>
        <v>120069</v>
      </c>
      <c r="W72" s="1">
        <f t="shared" si="170"/>
        <v>111110</v>
      </c>
      <c r="X72" s="1">
        <f t="shared" si="170"/>
        <v>109615</v>
      </c>
      <c r="Y72" s="1">
        <f t="shared" si="170"/>
        <v>109280</v>
      </c>
      <c r="Z72" s="1">
        <f t="shared" si="170"/>
        <v>111088</v>
      </c>
      <c r="AA72" s="1">
        <f>SUM(AA63:AA65)</f>
        <v>108040</v>
      </c>
      <c r="AB72" s="1">
        <f>SUM(AB63:AB65)</f>
        <v>104590</v>
      </c>
    </row>
    <row r="73" spans="2:28">
      <c r="B73" s="1" t="s">
        <v>55</v>
      </c>
      <c r="V73" s="1">
        <f>SUM(V49:V50,V55)</f>
        <v>169109</v>
      </c>
      <c r="W73" s="1">
        <f t="shared" ref="W73:AA73" si="171">SUM(W49:W50,W55)</f>
        <v>165450</v>
      </c>
      <c r="X73" s="1">
        <f t="shared" si="171"/>
        <v>166333</v>
      </c>
      <c r="Y73" s="1">
        <f t="shared" si="171"/>
        <v>166543</v>
      </c>
      <c r="Z73" s="1">
        <f t="shared" si="171"/>
        <v>162099</v>
      </c>
      <c r="AA73" s="1">
        <f t="shared" si="171"/>
        <v>172575</v>
      </c>
      <c r="AB73" s="1">
        <f t="shared" ref="AB73" si="172">SUM(AB49:AB50,AB55)</f>
        <v>162337</v>
      </c>
    </row>
    <row r="74" spans="2:28">
      <c r="B74" s="1" t="s">
        <v>82</v>
      </c>
      <c r="V74" s="1">
        <f>+V73-V72</f>
        <v>49040</v>
      </c>
      <c r="W74" s="1">
        <f t="shared" ref="W74:AA74" si="173">+W73-W72</f>
        <v>54340</v>
      </c>
      <c r="X74" s="1">
        <f t="shared" si="173"/>
        <v>56718</v>
      </c>
      <c r="Y74" s="1">
        <f t="shared" si="173"/>
        <v>57263</v>
      </c>
      <c r="Z74" s="1">
        <f t="shared" si="173"/>
        <v>51011</v>
      </c>
      <c r="AA74" s="1">
        <f t="shared" si="173"/>
        <v>64535</v>
      </c>
      <c r="AB74" s="1">
        <f t="shared" ref="AB74" si="174">+AB73-AB72</f>
        <v>57747</v>
      </c>
    </row>
    <row r="75" spans="2:28">
      <c r="B75" s="1" t="s">
        <v>83</v>
      </c>
      <c r="V75" s="1">
        <f t="shared" ref="V75:Z75" si="175">+V74/V23</f>
        <v>3.0424733372563701</v>
      </c>
      <c r="W75" s="1">
        <f t="shared" si="175"/>
        <v>3.4056756330238476</v>
      </c>
      <c r="X75" s="1">
        <f t="shared" si="175"/>
        <v>3.5790888524993614</v>
      </c>
      <c r="Y75" s="1">
        <f t="shared" si="175"/>
        <v>3.6299793198373553</v>
      </c>
      <c r="Z75" s="1">
        <f t="shared" si="175"/>
        <v>3.2548301472652561</v>
      </c>
      <c r="AA75" s="1">
        <f>+AA74/AA23</f>
        <v>4.1430626795597334</v>
      </c>
      <c r="AB75" s="1">
        <f>+AB74/AB23</f>
        <v>3.7341148805321844</v>
      </c>
    </row>
    <row r="76" spans="2:28">
      <c r="B76" s="1" t="s">
        <v>85</v>
      </c>
      <c r="V76" s="23">
        <f t="shared" ref="V76:Z76" si="176">+(V51)/(V12/90)</f>
        <v>28.138353337918488</v>
      </c>
      <c r="W76" s="23">
        <f t="shared" si="176"/>
        <v>18.246752138211242</v>
      </c>
      <c r="X76" s="23">
        <f t="shared" si="176"/>
        <v>17.021384284448942</v>
      </c>
      <c r="Y76" s="23">
        <f t="shared" si="176"/>
        <v>21.509468562416714</v>
      </c>
      <c r="Z76" s="23">
        <f t="shared" si="176"/>
        <v>29.673512257257144</v>
      </c>
      <c r="AA76" s="23">
        <f>+(AA51)/(AA12/90)</f>
        <v>17.457328036796991</v>
      </c>
      <c r="AB76" s="23">
        <f>+(AB51)/(AB12/90)</f>
        <v>21.655813030974183</v>
      </c>
    </row>
    <row r="77" spans="2:28">
      <c r="B77" s="1" t="s">
        <v>86</v>
      </c>
      <c r="V77" s="1">
        <f t="shared" ref="V77:Z77" si="177">+(V60)/(SUM(V13:V14)/90)</f>
        <v>110.85954160342742</v>
      </c>
      <c r="W77" s="1">
        <f t="shared" si="177"/>
        <v>78.007542426147069</v>
      </c>
      <c r="X77" s="1">
        <f t="shared" si="177"/>
        <v>73.118615209988647</v>
      </c>
      <c r="Y77" s="1">
        <f t="shared" si="177"/>
        <v>92.607747223691177</v>
      </c>
      <c r="Z77" s="1">
        <f t="shared" si="177"/>
        <v>114.83340465855596</v>
      </c>
      <c r="AA77" s="1">
        <f>+(AA60)/(SUM(AA13:AA14)/90)</f>
        <v>80.85815822002472</v>
      </c>
      <c r="AB77" s="1">
        <f>+(AB60)/(SUM(AB13:AB14)/90)</f>
        <v>84.933996122272191</v>
      </c>
    </row>
    <row r="78" spans="2:28" s="24" customFormat="1">
      <c r="B78" s="24" t="s">
        <v>84</v>
      </c>
      <c r="V78" s="24">
        <f t="shared" ref="V78:Z78" si="178">SUM(S13:V14)/AVERAGE(U53:V53)</f>
        <v>6.8262489312324419</v>
      </c>
      <c r="W78" s="24">
        <f t="shared" si="178"/>
        <v>6.9857540838293026</v>
      </c>
      <c r="X78" s="24">
        <f t="shared" si="178"/>
        <v>9.0432931743506018</v>
      </c>
      <c r="Y78" s="24">
        <f t="shared" si="178"/>
        <v>11.54877659574468</v>
      </c>
      <c r="Z78" s="24">
        <f t="shared" si="178"/>
        <v>16.492375231053604</v>
      </c>
      <c r="AA78" s="24">
        <f>SUM(X13:AA14)/AVERAGE(Z53:AA53)</f>
        <v>33.022114935368322</v>
      </c>
      <c r="AB78" s="24">
        <f>SUM(Y13:AB14)/AVERAGE(AA53:AB53)</f>
        <v>32.591540453582361</v>
      </c>
    </row>
    <row r="79" spans="2:28">
      <c r="B79" s="1" t="s">
        <v>87</v>
      </c>
      <c r="V79" s="1">
        <f t="shared" ref="V79:Z79" si="179">365/V78</f>
        <v>53.470068800157463</v>
      </c>
      <c r="W79" s="1">
        <f t="shared" si="179"/>
        <v>52.249191085169436</v>
      </c>
      <c r="X79" s="1">
        <f t="shared" si="179"/>
        <v>40.361402971568552</v>
      </c>
      <c r="Y79" s="1">
        <f t="shared" si="179"/>
        <v>31.60507928904692</v>
      </c>
      <c r="Z79" s="1">
        <f t="shared" si="179"/>
        <v>22.13143921881786</v>
      </c>
      <c r="AA79" s="1">
        <f>365/AA78</f>
        <v>11.053198764354942</v>
      </c>
      <c r="AB79" s="1">
        <f>365/AB78</f>
        <v>11.199225164574273</v>
      </c>
    </row>
    <row r="83" spans="2:27">
      <c r="B83" s="1" t="s">
        <v>88</v>
      </c>
      <c r="S83" s="1">
        <v>46966</v>
      </c>
      <c r="T83" s="1">
        <f>75132-S83</f>
        <v>28166</v>
      </c>
      <c r="U83" s="1">
        <f>98024-SUM(S83:T83)</f>
        <v>22892</v>
      </c>
      <c r="V83" s="1">
        <f>122151-SUM(S83:U83)</f>
        <v>24127</v>
      </c>
      <c r="W83" s="1">
        <v>34005</v>
      </c>
      <c r="X83" s="1">
        <f>62565-W83</f>
        <v>28560</v>
      </c>
      <c r="Y83" s="1">
        <f>88945-SUM(W83:X83)</f>
        <v>26380</v>
      </c>
      <c r="Z83" s="1">
        <f>110543-SUM(W83:Y83)</f>
        <v>21598</v>
      </c>
      <c r="AA83" s="1">
        <v>39895</v>
      </c>
    </row>
    <row r="84" spans="2:27">
      <c r="B84" s="1" t="s">
        <v>89</v>
      </c>
      <c r="S84" s="1">
        <v>-2803</v>
      </c>
      <c r="T84" s="1">
        <f>+-5317-S84</f>
        <v>-2514</v>
      </c>
      <c r="U84" s="1">
        <f>+-7419-SUM(S84:T84)</f>
        <v>-2102</v>
      </c>
      <c r="V84" s="1">
        <f>+-10708-SUM(S84:U84)</f>
        <v>-3289</v>
      </c>
      <c r="W84" s="1">
        <v>-3787</v>
      </c>
      <c r="X84" s="1">
        <f>+-6703-W84</f>
        <v>-2916</v>
      </c>
      <c r="Y84" s="1">
        <f>+-8796-SUM(W84:X84)</f>
        <v>-2093</v>
      </c>
      <c r="Z84" s="1">
        <f>+-10959-SUM(W84:Y84)</f>
        <v>-2163</v>
      </c>
      <c r="AA84" s="1">
        <v>-2392</v>
      </c>
    </row>
    <row r="85" spans="2:27">
      <c r="B85" s="1" t="s">
        <v>90</v>
      </c>
      <c r="S85" s="1">
        <f t="shared" ref="S85:Z85" si="180">+SUM(S83:S84)</f>
        <v>44163</v>
      </c>
      <c r="T85" s="1">
        <f t="shared" si="180"/>
        <v>25652</v>
      </c>
      <c r="U85" s="1">
        <f t="shared" si="180"/>
        <v>20790</v>
      </c>
      <c r="V85" s="1">
        <f t="shared" si="180"/>
        <v>20838</v>
      </c>
      <c r="W85" s="1">
        <f t="shared" si="180"/>
        <v>30218</v>
      </c>
      <c r="X85" s="1">
        <f t="shared" si="180"/>
        <v>25644</v>
      </c>
      <c r="Y85" s="1">
        <f t="shared" si="180"/>
        <v>24287</v>
      </c>
      <c r="Z85" s="1">
        <f t="shared" si="180"/>
        <v>19435</v>
      </c>
      <c r="AA85" s="1">
        <f>+SUM(AA83:AA84)</f>
        <v>37503</v>
      </c>
    </row>
    <row r="86" spans="2:27">
      <c r="B86" s="1" t="s">
        <v>39</v>
      </c>
      <c r="S86" s="1">
        <f t="shared" ref="S86:T86" si="181">+S22</f>
        <v>34630</v>
      </c>
      <c r="T86" s="1">
        <f t="shared" si="181"/>
        <v>25010</v>
      </c>
      <c r="U86" s="1">
        <f>+U22</f>
        <v>19442</v>
      </c>
      <c r="V86" s="1">
        <f t="shared" ref="V86:AA86" si="182">+V22</f>
        <v>20721</v>
      </c>
      <c r="W86" s="1">
        <f t="shared" si="182"/>
        <v>29998</v>
      </c>
      <c r="X86" s="1">
        <f t="shared" si="182"/>
        <v>24160</v>
      </c>
      <c r="Y86" s="1">
        <f t="shared" si="182"/>
        <v>20411</v>
      </c>
      <c r="Z86" s="1">
        <f t="shared" si="182"/>
        <v>22956</v>
      </c>
      <c r="AA86" s="1">
        <f t="shared" si="182"/>
        <v>33916</v>
      </c>
    </row>
    <row r="88" spans="2:27">
      <c r="B88" s="1" t="s">
        <v>91</v>
      </c>
      <c r="V88" s="1">
        <f t="shared" ref="V88:Z88" si="183">+SUM(S85:V85)</f>
        <v>111443</v>
      </c>
      <c r="W88" s="1">
        <f t="shared" si="183"/>
        <v>97498</v>
      </c>
      <c r="X88" s="1">
        <f t="shared" si="183"/>
        <v>97490</v>
      </c>
      <c r="Y88" s="1">
        <f t="shared" si="183"/>
        <v>100987</v>
      </c>
      <c r="Z88" s="1">
        <f t="shared" si="183"/>
        <v>99584</v>
      </c>
      <c r="AA88" s="1">
        <f>+SUM(X85:AA85)</f>
        <v>106869</v>
      </c>
    </row>
    <row r="89" spans="2:27">
      <c r="B89" s="1" t="s">
        <v>92</v>
      </c>
      <c r="V89" s="1">
        <f t="shared" ref="V89:Z89" si="184">+SUM(S86:V86)</f>
        <v>99803</v>
      </c>
      <c r="W89" s="1">
        <f t="shared" si="184"/>
        <v>95171</v>
      </c>
      <c r="X89" s="1">
        <f t="shared" si="184"/>
        <v>94321</v>
      </c>
      <c r="Y89" s="1">
        <f t="shared" si="184"/>
        <v>95290</v>
      </c>
      <c r="Z89" s="1">
        <f t="shared" si="184"/>
        <v>97525</v>
      </c>
      <c r="AA89" s="1">
        <f>+SUM(X86:AA86)</f>
        <v>101443</v>
      </c>
    </row>
    <row r="90" spans="2:27">
      <c r="V90" s="1">
        <f t="shared" ref="V90:Z90" si="185">+V88-V89</f>
        <v>11640</v>
      </c>
      <c r="W90" s="1">
        <f t="shared" si="185"/>
        <v>2327</v>
      </c>
      <c r="X90" s="1">
        <f t="shared" si="185"/>
        <v>3169</v>
      </c>
      <c r="Y90" s="1">
        <f t="shared" si="185"/>
        <v>5697</v>
      </c>
      <c r="Z90" s="1">
        <f t="shared" si="185"/>
        <v>2059</v>
      </c>
      <c r="AA90" s="1">
        <f>+AA88-AA89</f>
        <v>5426</v>
      </c>
    </row>
    <row r="92" spans="2:27">
      <c r="AA92" s="4"/>
    </row>
  </sheetData>
  <pageMargins left="0.7" right="0.7" top="0.75" bottom="0.75" header="0.3" footer="0.3"/>
  <ignoredErrors>
    <ignoredError sqref="AM15:AO22 AM13:AO13 AM14:AO14 V72:AA72 V78:AA78" formulaRange="1"/>
    <ignoredError sqref="AM23:AO23" formula="1" formulaRange="1"/>
    <ignoredError sqref="AP15:AY15 AP17:AY21 AP16 AP23:AY24 AP22 AS22:AY22" formula="1"/>
  </ignoredErrors>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F387F-76CE-8744-B6C0-ABD52B5515DD}">
  <dimension ref="B2:S31"/>
  <sheetViews>
    <sheetView tabSelected="1" zoomScale="150" zoomScaleNormal="150" workbookViewId="0">
      <selection activeCell="G39" sqref="G39"/>
    </sheetView>
  </sheetViews>
  <sheetFormatPr baseColWidth="10" defaultRowHeight="13"/>
  <cols>
    <col min="1" max="1" width="1.5" style="1" customWidth="1"/>
    <col min="2" max="2" width="14.33203125" style="1" bestFit="1" customWidth="1"/>
    <col min="3" max="3" width="6.1640625" style="1" bestFit="1" customWidth="1"/>
    <col min="4" max="4" width="5.6640625" style="1" bestFit="1" customWidth="1"/>
    <col min="5" max="5" width="5.5" style="1" bestFit="1" customWidth="1"/>
    <col min="6" max="7" width="5.5" style="1" customWidth="1"/>
    <col min="8" max="8" width="6.6640625" style="1" bestFit="1" customWidth="1"/>
    <col min="9" max="9" width="9.1640625" style="1" bestFit="1" customWidth="1"/>
    <col min="10" max="10" width="5.5" style="1" bestFit="1" customWidth="1"/>
    <col min="11" max="16384" width="10.83203125" style="1"/>
  </cols>
  <sheetData>
    <row r="2" spans="2:19">
      <c r="H2" s="44" t="s">
        <v>50</v>
      </c>
    </row>
    <row r="3" spans="2:19">
      <c r="B3" s="1" t="s">
        <v>23</v>
      </c>
      <c r="C3" s="3">
        <v>27851</v>
      </c>
      <c r="H3" s="31" t="s">
        <v>16</v>
      </c>
      <c r="I3" s="38">
        <v>172.28</v>
      </c>
      <c r="J3" s="39"/>
    </row>
    <row r="4" spans="2:19">
      <c r="B4" s="1" t="s">
        <v>25</v>
      </c>
      <c r="C4" s="1">
        <f ca="1">(TODAY()-C3)/365</f>
        <v>48.158904109589038</v>
      </c>
      <c r="H4" s="12" t="s">
        <v>17</v>
      </c>
      <c r="I4" s="40">
        <v>15441.880999999999</v>
      </c>
      <c r="J4" s="35" t="s">
        <v>46</v>
      </c>
    </row>
    <row r="5" spans="2:19">
      <c r="H5" s="12" t="s">
        <v>18</v>
      </c>
      <c r="I5" s="40">
        <f>+I3*I4</f>
        <v>2660327.25868</v>
      </c>
      <c r="J5" s="35"/>
    </row>
    <row r="6" spans="2:19">
      <c r="B6" s="21" t="s">
        <v>24</v>
      </c>
      <c r="H6" s="12" t="s">
        <v>19</v>
      </c>
      <c r="I6" s="40">
        <f>40760+32340+99475</f>
        <v>172575</v>
      </c>
      <c r="J6" s="35" t="s">
        <v>46</v>
      </c>
    </row>
    <row r="7" spans="2:19">
      <c r="B7" s="1" t="s">
        <v>26</v>
      </c>
      <c r="H7" s="12" t="s">
        <v>20</v>
      </c>
      <c r="I7" s="40">
        <f>1998+95088</f>
        <v>97086</v>
      </c>
      <c r="J7" s="35" t="s">
        <v>46</v>
      </c>
    </row>
    <row r="8" spans="2:19">
      <c r="B8" s="1" t="s">
        <v>27</v>
      </c>
      <c r="H8" s="13" t="s">
        <v>21</v>
      </c>
      <c r="I8" s="41">
        <f>+I5-I6+I7</f>
        <v>2584838.25868</v>
      </c>
      <c r="J8" s="42"/>
    </row>
    <row r="9" spans="2:19">
      <c r="B9" s="1" t="s">
        <v>28</v>
      </c>
    </row>
    <row r="11" spans="2:19">
      <c r="S11" s="25"/>
    </row>
    <row r="13" spans="2:19">
      <c r="B13" s="14"/>
      <c r="C13" s="15">
        <v>2018</v>
      </c>
      <c r="D13" s="15">
        <v>2019</v>
      </c>
      <c r="E13" s="15">
        <v>2020</v>
      </c>
      <c r="F13" s="15">
        <v>2021</v>
      </c>
      <c r="G13" s="16">
        <v>2022</v>
      </c>
      <c r="H13" s="16">
        <v>2023</v>
      </c>
      <c r="I13" s="17" t="s">
        <v>22</v>
      </c>
      <c r="J13" s="28" t="s">
        <v>46</v>
      </c>
    </row>
    <row r="14" spans="2:19">
      <c r="B14" s="12" t="s">
        <v>42</v>
      </c>
      <c r="C14" s="4">
        <f>+Model!AJ7/Model!AJ$12</f>
        <v>0.62082494022854351</v>
      </c>
      <c r="D14" s="4">
        <f>+Model!AK7/Model!AK$12</f>
        <v>0.54725299222827795</v>
      </c>
      <c r="E14" s="4">
        <f>+Model!AL7/Model!AL$12</f>
        <v>0.50190699961750729</v>
      </c>
      <c r="F14" s="4">
        <f>+Model!AM7/Model!AM$12</f>
        <v>0.52477878283404</v>
      </c>
      <c r="G14" s="4">
        <f>+Model!AN7/Model!AN$12</f>
        <v>0.52111186626361805</v>
      </c>
      <c r="H14" s="4">
        <f>+Model!AO7/Model!AO$12</f>
        <v>0.52332598458066448</v>
      </c>
      <c r="I14" s="18">
        <f>+Model!AA7/Model!AA$12</f>
        <v>0.58291448881455155</v>
      </c>
      <c r="J14" s="29">
        <f>+Model!AB7/Model!AB$12</f>
        <v>0.50646259627780899</v>
      </c>
      <c r="S14" s="25"/>
    </row>
    <row r="15" spans="2:19">
      <c r="B15" s="12" t="s">
        <v>49</v>
      </c>
      <c r="C15" s="4">
        <f>+Model!AJ8/Model!AJ$12</f>
        <v>9.487377397917883E-2</v>
      </c>
      <c r="D15" s="4">
        <f>+Model!AK8/Model!AK$12</f>
        <v>9.8933790463305332E-2</v>
      </c>
      <c r="E15" s="4">
        <f>+Model!AL8/Model!AL$12</f>
        <v>0.10426388357648944</v>
      </c>
      <c r="F15" s="4">
        <f>+Model!AM8/Model!AM$12</f>
        <v>9.6195638803008063E-2</v>
      </c>
      <c r="G15" s="4">
        <f>+Model!AN8/Model!AN$12</f>
        <v>0.10188726136617232</v>
      </c>
      <c r="H15" s="4">
        <f>+Model!AO8/Model!AO$12</f>
        <v>7.659313565623492E-2</v>
      </c>
      <c r="I15" s="18">
        <f>+Model!AA8/Model!AA$12</f>
        <v>6.5063767509931009E-2</v>
      </c>
      <c r="J15" s="29">
        <f>+Model!AB8/Model!AB$12</f>
        <v>8.2101969080911927E-2</v>
      </c>
    </row>
    <row r="16" spans="2:19">
      <c r="B16" s="12" t="s">
        <v>44</v>
      </c>
      <c r="C16" s="4">
        <f>+Model!AJ9/Model!AJ$12</f>
        <v>6.9203109998305687E-2</v>
      </c>
      <c r="D16" s="4">
        <f>+Model!AK9/Model!AK$12</f>
        <v>8.1791416513564003E-2</v>
      </c>
      <c r="E16" s="4">
        <f>+Model!AL9/Model!AL$12</f>
        <v>8.6421507021474234E-2</v>
      </c>
      <c r="F16" s="4">
        <f>+Model!AM9/Model!AM$12</f>
        <v>8.7098193905696022E-2</v>
      </c>
      <c r="G16" s="4">
        <f>+Model!AN9/Model!AN$12</f>
        <v>7.4283337728997187E-2</v>
      </c>
      <c r="H16" s="4">
        <f>+Model!AO9/Model!AO$12</f>
        <v>7.3835396636967268E-2</v>
      </c>
      <c r="I16" s="18">
        <f>+Model!AA9/Model!AA$12</f>
        <v>5.8733012753501984E-2</v>
      </c>
      <c r="J16" s="29">
        <f>+Model!AB9/Model!AB$12</f>
        <v>6.1254173415754849E-2</v>
      </c>
    </row>
    <row r="17" spans="2:10">
      <c r="B17" s="12" t="s">
        <v>45</v>
      </c>
      <c r="C17" s="4">
        <f>+Model!AJ10/Model!AJ$12</f>
        <v>6.5441744008735106E-2</v>
      </c>
      <c r="D17" s="4">
        <f>+Model!AK10/Model!AK$12</f>
        <v>9.4098564806629412E-2</v>
      </c>
      <c r="E17" s="4">
        <f>+Model!AL10/Model!AL$12</f>
        <v>0.11154217438027066</v>
      </c>
      <c r="F17" s="4">
        <f>+Model!AM10/Model!AM$12</f>
        <v>0.10488030900696249</v>
      </c>
      <c r="G17" s="4">
        <f>+Model!AN10/Model!AN$12</f>
        <v>0.10458552271205697</v>
      </c>
      <c r="H17" s="4">
        <f>+Model!AO10/Model!AO$12</f>
        <v>0.1039565858303873</v>
      </c>
      <c r="I17" s="18">
        <f>+Model!AA10/Model!AA$12</f>
        <v>9.9962366715450557E-2</v>
      </c>
      <c r="J17" s="29">
        <f>+Model!AB10/Model!AB$12</f>
        <v>8.7192709882868882E-2</v>
      </c>
    </row>
    <row r="18" spans="2:10">
      <c r="B18" s="13" t="s">
        <v>30</v>
      </c>
      <c r="C18" s="19">
        <f>+Model!AJ11/Model!AJ$12</f>
        <v>0.14965643178523691</v>
      </c>
      <c r="D18" s="19">
        <f>+Model!AK11/Model!AK$12</f>
        <v>0.17792323598822327</v>
      </c>
      <c r="E18" s="19">
        <f>+Model!AL11/Model!AL$12</f>
        <v>0.19586543540425841</v>
      </c>
      <c r="F18" s="19">
        <f>+Model!AM11/Model!AM$12</f>
        <v>0.18704707545029345</v>
      </c>
      <c r="G18" s="19">
        <f>+Model!AN11/Model!AN$12</f>
        <v>0.19813201192915542</v>
      </c>
      <c r="H18" s="19">
        <f>+Model!AO11/Model!AO$12</f>
        <v>0.222288897295746</v>
      </c>
      <c r="I18" s="20">
        <f>+Model!AA11/Model!AA$12</f>
        <v>0.1933263642065649</v>
      </c>
      <c r="J18" s="30">
        <f>+Model!AB11/Model!AB$12</f>
        <v>0.26298855134265536</v>
      </c>
    </row>
    <row r="31" spans="2:10">
      <c r="F31" s="1" t="s">
        <v>94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CEFFB-D96A-5542-9187-C47A6C9D14EE}">
  <dimension ref="A1"/>
  <sheetViews>
    <sheetView showGridLines="0" zoomScale="140" zoomScaleNormal="140" workbookViewId="0">
      <selection activeCell="N28" sqref="N28"/>
    </sheetView>
  </sheetViews>
  <sheetFormatPr baseColWidth="10" defaultRowHeight="13"/>
  <cols>
    <col min="1" max="16384" width="10.83203125" style="10"/>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Model</vt:lpstr>
      <vt:lpstr>Main</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jameel</dc:creator>
  <cp:lastModifiedBy>jameel</cp:lastModifiedBy>
  <dcterms:created xsi:type="dcterms:W3CDTF">2024-02-06T22:14:10Z</dcterms:created>
  <dcterms:modified xsi:type="dcterms:W3CDTF">2024-05-18T03:40:50Z</dcterms:modified>
</cp:coreProperties>
</file>