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D16A671B-B4ED-8946-B821-79E7678C567B}" xr6:coauthVersionLast="47" xr6:coauthVersionMax="47" xr10:uidLastSave="{00000000-0000-0000-0000-000000000000}"/>
  <bookViews>
    <workbookView xWindow="20260" yWindow="560" windowWidth="23460" windowHeight="28300" xr2:uid="{CB0C54E7-8B5D-9940-9BBA-6C9C392A3DE8}"/>
  </bookViews>
  <sheets>
    <sheet name="Sheet1" sheetId="1" r:id="rId1"/>
    <sheet name="EAT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S14" i="1"/>
  <c r="R14" i="1"/>
  <c r="Q14" i="1"/>
  <c r="P14" i="1"/>
  <c r="O14" i="1"/>
  <c r="N14" i="1"/>
  <c r="AC14" i="1"/>
  <c r="AC13" i="1" l="1"/>
  <c r="AC12" i="1"/>
  <c r="AC11" i="1"/>
  <c r="AC10" i="1"/>
  <c r="AC9" i="1"/>
  <c r="AC8" i="1"/>
  <c r="AC7" i="1"/>
  <c r="AC6" i="1"/>
  <c r="AC5" i="1"/>
  <c r="AC4" i="1"/>
  <c r="U13" i="1" l="1"/>
  <c r="T13" i="1"/>
  <c r="S13" i="1"/>
  <c r="R13" i="1"/>
  <c r="Q13" i="1"/>
  <c r="P13" i="1"/>
  <c r="O13" i="1"/>
  <c r="N13" i="1"/>
  <c r="U12" i="1"/>
  <c r="S12" i="1"/>
  <c r="R12" i="1"/>
  <c r="Q12" i="1"/>
  <c r="P12" i="1"/>
  <c r="O12" i="1"/>
  <c r="N12" i="1"/>
  <c r="U11" i="1" l="1"/>
  <c r="T11" i="1"/>
  <c r="S11" i="1"/>
  <c r="R11" i="1"/>
  <c r="Q11" i="1"/>
  <c r="P11" i="1"/>
  <c r="O11" i="1"/>
  <c r="N11" i="1"/>
  <c r="U10" i="1" l="1"/>
  <c r="T10" i="1"/>
  <c r="S10" i="1"/>
  <c r="R10" i="1"/>
  <c r="Q10" i="1"/>
  <c r="P10" i="1"/>
  <c r="O10" i="1"/>
  <c r="N10" i="1"/>
  <c r="U9" i="1" l="1"/>
  <c r="T9" i="1"/>
  <c r="S9" i="1"/>
  <c r="R9" i="1"/>
  <c r="Q9" i="1"/>
  <c r="P9" i="1"/>
  <c r="O9" i="1"/>
  <c r="N9" i="1"/>
  <c r="U6" i="1" l="1"/>
  <c r="T6" i="1"/>
  <c r="S6" i="1"/>
  <c r="R6" i="1"/>
  <c r="Q6" i="1"/>
  <c r="P6" i="1"/>
  <c r="O6" i="1"/>
  <c r="N6" i="1"/>
  <c r="F51" i="1" l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F13" i="1"/>
  <c r="F12" i="1"/>
  <c r="F11" i="1"/>
  <c r="F10" i="1"/>
  <c r="F9" i="1"/>
  <c r="F8" i="1"/>
  <c r="F7" i="1"/>
  <c r="F5" i="1"/>
  <c r="W42" i="1" l="1"/>
  <c r="Y42" i="1"/>
  <c r="X42" i="1"/>
  <c r="V42" i="1"/>
  <c r="W22" i="1"/>
  <c r="Y22" i="1"/>
  <c r="X22" i="1"/>
  <c r="V22" i="1"/>
  <c r="I13" i="1"/>
  <c r="V13" i="1" s="1"/>
  <c r="AA13" i="1"/>
  <c r="V29" i="1"/>
  <c r="X29" i="1"/>
  <c r="Y29" i="1"/>
  <c r="W29" i="1"/>
  <c r="W45" i="1"/>
  <c r="X45" i="1"/>
  <c r="Y45" i="1"/>
  <c r="V45" i="1"/>
  <c r="W30" i="1"/>
  <c r="V30" i="1"/>
  <c r="X30" i="1"/>
  <c r="Y30" i="1"/>
  <c r="X23" i="1"/>
  <c r="V23" i="1"/>
  <c r="Y23" i="1"/>
  <c r="W23" i="1"/>
  <c r="X39" i="1"/>
  <c r="W39" i="1"/>
  <c r="Y39" i="1"/>
  <c r="V39" i="1"/>
  <c r="I8" i="1"/>
  <c r="AA8" i="1"/>
  <c r="W40" i="1"/>
  <c r="V40" i="1"/>
  <c r="Y40" i="1"/>
  <c r="X40" i="1"/>
  <c r="Y25" i="1"/>
  <c r="X25" i="1"/>
  <c r="W25" i="1"/>
  <c r="V25" i="1"/>
  <c r="V41" i="1"/>
  <c r="X41" i="1"/>
  <c r="Y41" i="1"/>
  <c r="W41" i="1"/>
  <c r="W26" i="1"/>
  <c r="V26" i="1"/>
  <c r="Y26" i="1"/>
  <c r="X26" i="1"/>
  <c r="W34" i="1"/>
  <c r="X34" i="1"/>
  <c r="V34" i="1"/>
  <c r="Y34" i="1"/>
  <c r="W50" i="1"/>
  <c r="V50" i="1"/>
  <c r="Y50" i="1"/>
  <c r="X50" i="1"/>
  <c r="X37" i="1"/>
  <c r="V37" i="1"/>
  <c r="Y37" i="1"/>
  <c r="W37" i="1"/>
  <c r="I14" i="1"/>
  <c r="AA14" i="1"/>
  <c r="W46" i="1"/>
  <c r="V46" i="1"/>
  <c r="Y46" i="1"/>
  <c r="X46" i="1"/>
  <c r="I7" i="1"/>
  <c r="AA7" i="1"/>
  <c r="X31" i="1"/>
  <c r="W31" i="1"/>
  <c r="Y31" i="1"/>
  <c r="V31" i="1"/>
  <c r="W24" i="1"/>
  <c r="V24" i="1"/>
  <c r="X24" i="1"/>
  <c r="Y24" i="1"/>
  <c r="W48" i="1"/>
  <c r="X48" i="1"/>
  <c r="V48" i="1"/>
  <c r="Y48" i="1"/>
  <c r="I9" i="1"/>
  <c r="AA9" i="1"/>
  <c r="Y17" i="1"/>
  <c r="W17" i="1"/>
  <c r="X17" i="1"/>
  <c r="V17" i="1"/>
  <c r="W33" i="1"/>
  <c r="X33" i="1"/>
  <c r="V33" i="1"/>
  <c r="Y33" i="1"/>
  <c r="I10" i="1"/>
  <c r="AA10" i="1"/>
  <c r="W19" i="1"/>
  <c r="Y19" i="1"/>
  <c r="X19" i="1"/>
  <c r="V19" i="1"/>
  <c r="X27" i="1"/>
  <c r="W27" i="1"/>
  <c r="V27" i="1"/>
  <c r="Y27" i="1"/>
  <c r="X35" i="1"/>
  <c r="V35" i="1"/>
  <c r="W35" i="1"/>
  <c r="Y35" i="1"/>
  <c r="X43" i="1"/>
  <c r="W43" i="1"/>
  <c r="V43" i="1"/>
  <c r="Y43" i="1"/>
  <c r="X51" i="1"/>
  <c r="Y51" i="1"/>
  <c r="W51" i="1"/>
  <c r="V51" i="1"/>
  <c r="Y21" i="1"/>
  <c r="X21" i="1"/>
  <c r="V21" i="1"/>
  <c r="W21" i="1"/>
  <c r="W38" i="1"/>
  <c r="V38" i="1"/>
  <c r="Y38" i="1"/>
  <c r="X38" i="1"/>
  <c r="X47" i="1"/>
  <c r="V47" i="1"/>
  <c r="Y47" i="1"/>
  <c r="W47" i="1"/>
  <c r="W32" i="1"/>
  <c r="Y32" i="1"/>
  <c r="V32" i="1"/>
  <c r="X32" i="1"/>
  <c r="V49" i="1"/>
  <c r="X49" i="1"/>
  <c r="Y49" i="1"/>
  <c r="W49" i="1"/>
  <c r="W18" i="1"/>
  <c r="X18" i="1"/>
  <c r="V18" i="1"/>
  <c r="Y18" i="1"/>
  <c r="I11" i="1"/>
  <c r="AA11" i="1"/>
  <c r="I12" i="1"/>
  <c r="AA12" i="1"/>
  <c r="W20" i="1"/>
  <c r="V20" i="1"/>
  <c r="Y20" i="1"/>
  <c r="X20" i="1"/>
  <c r="W28" i="1"/>
  <c r="Y28" i="1"/>
  <c r="X28" i="1"/>
  <c r="V28" i="1"/>
  <c r="W36" i="1"/>
  <c r="Y36" i="1"/>
  <c r="V36" i="1"/>
  <c r="X36" i="1"/>
  <c r="W44" i="1"/>
  <c r="V44" i="1"/>
  <c r="Y44" i="1"/>
  <c r="X44" i="1"/>
  <c r="W16" i="1"/>
  <c r="V16" i="1"/>
  <c r="Y16" i="1"/>
  <c r="X16" i="1"/>
  <c r="Y15" i="1"/>
  <c r="X15" i="1"/>
  <c r="W15" i="1"/>
  <c r="V15" i="1"/>
  <c r="I5" i="1"/>
  <c r="AA5" i="1"/>
  <c r="W13" i="1"/>
  <c r="X13" i="1"/>
  <c r="E6" i="1"/>
  <c r="F6" i="1" s="1"/>
  <c r="Y13" i="1" l="1"/>
  <c r="V8" i="1"/>
  <c r="W8" i="1"/>
  <c r="X8" i="1"/>
  <c r="Y8" i="1"/>
  <c r="Y14" i="1"/>
  <c r="X14" i="1"/>
  <c r="V14" i="1"/>
  <c r="W14" i="1"/>
  <c r="V12" i="1"/>
  <c r="X12" i="1"/>
  <c r="W12" i="1"/>
  <c r="Y12" i="1"/>
  <c r="Y7" i="1"/>
  <c r="X7" i="1"/>
  <c r="W7" i="1"/>
  <c r="V7" i="1"/>
  <c r="V10" i="1"/>
  <c r="Y10" i="1"/>
  <c r="X10" i="1"/>
  <c r="W10" i="1"/>
  <c r="I6" i="1"/>
  <c r="AA6" i="1"/>
  <c r="Y11" i="1"/>
  <c r="X11" i="1"/>
  <c r="W11" i="1"/>
  <c r="V11" i="1"/>
  <c r="V9" i="1"/>
  <c r="Y9" i="1"/>
  <c r="W9" i="1"/>
  <c r="X9" i="1"/>
  <c r="W5" i="1"/>
  <c r="V5" i="1"/>
  <c r="F4" i="1"/>
  <c r="AA4" i="1" s="1"/>
  <c r="V6" i="1" l="1"/>
  <c r="X6" i="1"/>
  <c r="W6" i="1"/>
  <c r="Y6" i="1"/>
  <c r="I4" i="1"/>
  <c r="V4" i="1" l="1"/>
  <c r="W4" i="1"/>
</calcChain>
</file>

<file path=xl/sharedStrings.xml><?xml version="1.0" encoding="utf-8"?>
<sst xmlns="http://schemas.openxmlformats.org/spreadsheetml/2006/main" count="242" uniqueCount="197">
  <si>
    <t>MCD</t>
  </si>
  <si>
    <t>McDonald's Corp</t>
  </si>
  <si>
    <t>SBUX</t>
  </si>
  <si>
    <t>Starbucks Corp.</t>
  </si>
  <si>
    <t>CMG</t>
  </si>
  <si>
    <t>Chipotle Mexican Grill</t>
  </si>
  <si>
    <t>YUM</t>
  </si>
  <si>
    <t>Yum Brands Inc.</t>
  </si>
  <si>
    <t>DRI</t>
  </si>
  <si>
    <t>Darden Restaurants, Inc.</t>
  </si>
  <si>
    <t>DPZ</t>
  </si>
  <si>
    <t>Dominos Pizza Inc</t>
  </si>
  <si>
    <t>WING</t>
  </si>
  <si>
    <t>Wingstop Inc</t>
  </si>
  <si>
    <t>TXRH</t>
  </si>
  <si>
    <t>Texas Roadhouse Inc</t>
  </si>
  <si>
    <t>CAVA</t>
  </si>
  <si>
    <t>Cava Group Inc</t>
  </si>
  <si>
    <t>WEN</t>
  </si>
  <si>
    <t>Wendy's Co</t>
  </si>
  <si>
    <t>SHAK</t>
  </si>
  <si>
    <t>Shake Shack Inc</t>
  </si>
  <si>
    <t>ARCO</t>
  </si>
  <si>
    <t>Arcos Dorados Holdings Inc</t>
  </si>
  <si>
    <t>PZZA</t>
  </si>
  <si>
    <t>Papa John's International, Inc.</t>
  </si>
  <si>
    <t>BLMN</t>
  </si>
  <si>
    <t>Bloomin Brands Inc</t>
  </si>
  <si>
    <t>BROS</t>
  </si>
  <si>
    <t>Dutch Bros Inc</t>
  </si>
  <si>
    <t>EAT</t>
  </si>
  <si>
    <t>Brinker International, Inc.</t>
  </si>
  <si>
    <t>CAKE</t>
  </si>
  <si>
    <t>Cheesecake Factory Inc.</t>
  </si>
  <si>
    <t>CBRL</t>
  </si>
  <si>
    <t>Cracker Barrel Old Country Store Inc</t>
  </si>
  <si>
    <t>JACK</t>
  </si>
  <si>
    <t>Jack In The Box, Inc.</t>
  </si>
  <si>
    <t>CNNE</t>
  </si>
  <si>
    <t>Cannae Holdings Inc</t>
  </si>
  <si>
    <t>Ticker</t>
  </si>
  <si>
    <t>Company</t>
  </si>
  <si>
    <t>Market Cap</t>
  </si>
  <si>
    <t>Price</t>
  </si>
  <si>
    <t>FWRG</t>
  </si>
  <si>
    <t>First Watch Restaurant Group Inc</t>
  </si>
  <si>
    <t>SG</t>
  </si>
  <si>
    <t>Sweetgreen Inc</t>
  </si>
  <si>
    <t>KRUS</t>
  </si>
  <si>
    <t>Kura Sushi USA Inc</t>
  </si>
  <si>
    <t>BJRI</t>
  </si>
  <si>
    <t>BJ's Restaurant Inc.</t>
  </si>
  <si>
    <t>PTLO</t>
  </si>
  <si>
    <t>Portillos Inc</t>
  </si>
  <si>
    <t>DIN</t>
  </si>
  <si>
    <t>Dine Brands Global Inc</t>
  </si>
  <si>
    <t>CHUY</t>
  </si>
  <si>
    <t>Chuy's Holdings Inc</t>
  </si>
  <si>
    <t>RICK</t>
  </si>
  <si>
    <t>RCI Hospitality Holdings Inc</t>
  </si>
  <si>
    <t>DENN</t>
  </si>
  <si>
    <t>Denny's Corp.</t>
  </si>
  <si>
    <t>TAST</t>
  </si>
  <si>
    <t>Carrols Restaurant Group Inc.</t>
  </si>
  <si>
    <t>BH</t>
  </si>
  <si>
    <t>Biglari Holdings Inc.</t>
  </si>
  <si>
    <t>PBPB</t>
  </si>
  <si>
    <t>Potbelly Corp</t>
  </si>
  <si>
    <t>LOCO</t>
  </si>
  <si>
    <t>El Pollo Loco Holdings Inc</t>
  </si>
  <si>
    <t>GENK</t>
  </si>
  <si>
    <t>GEN Restaurant Group Inc</t>
  </si>
  <si>
    <t>NATH</t>
  </si>
  <si>
    <t>Nathan's Famous, Inc.</t>
  </si>
  <si>
    <t>RRGB</t>
  </si>
  <si>
    <t>Red Robin Gourmet Burgers Inc</t>
  </si>
  <si>
    <t>PNST</t>
  </si>
  <si>
    <t>Pinstripes Holdings Inc</t>
  </si>
  <si>
    <t>FAT</t>
  </si>
  <si>
    <t>FAT Brands Inc</t>
  </si>
  <si>
    <t>STKS</t>
  </si>
  <si>
    <t>ONE Group Hospitality Inc</t>
  </si>
  <si>
    <t>NDLS</t>
  </si>
  <si>
    <t>Noodles &amp; Company</t>
  </si>
  <si>
    <t>ARKR</t>
  </si>
  <si>
    <t>Ark Restaurants Corp.</t>
  </si>
  <si>
    <t>BDL</t>
  </si>
  <si>
    <t>Flanigan's Enterprises, Inc.</t>
  </si>
  <si>
    <t>REBN</t>
  </si>
  <si>
    <t>Reborn Coffee Inc</t>
  </si>
  <si>
    <t>GTIM</t>
  </si>
  <si>
    <t>Good Times Restaurants Inc.</t>
  </si>
  <si>
    <t>RAVE</t>
  </si>
  <si>
    <t>Rave Restaurant Group Inc</t>
  </si>
  <si>
    <t>BFI</t>
  </si>
  <si>
    <t>BurgerFi International Inc</t>
  </si>
  <si>
    <t>BTBD</t>
  </si>
  <si>
    <t>BT Brands Inc</t>
  </si>
  <si>
    <t>YOSH</t>
  </si>
  <si>
    <t>Yoshiharu Global Co</t>
  </si>
  <si>
    <t>Shares</t>
  </si>
  <si>
    <t>Cash</t>
  </si>
  <si>
    <t>Debt</t>
  </si>
  <si>
    <t>EV</t>
  </si>
  <si>
    <t>$m</t>
  </si>
  <si>
    <t>Units</t>
  </si>
  <si>
    <t>Rate</t>
  </si>
  <si>
    <t>Private</t>
  </si>
  <si>
    <t>Tender Greens</t>
  </si>
  <si>
    <t>SAJJJ Mediterranean</t>
  </si>
  <si>
    <t xml:space="preserve">Revenue </t>
  </si>
  <si>
    <t xml:space="preserve">Net Income </t>
  </si>
  <si>
    <t>EV/E</t>
  </si>
  <si>
    <t>MC Per Unit</t>
  </si>
  <si>
    <t>S</t>
  </si>
  <si>
    <t>Estimate</t>
  </si>
  <si>
    <t>Upside</t>
  </si>
  <si>
    <t>Exact</t>
  </si>
  <si>
    <t>Stock Ticker</t>
  </si>
  <si>
    <t>Security Number</t>
  </si>
  <si>
    <t>Security Description</t>
  </si>
  <si>
    <t xml:space="preserve"> Shares/Par (Full) </t>
  </si>
  <si>
    <t xml:space="preserve"> Price (Base) </t>
  </si>
  <si>
    <t xml:space="preserve"> Traded Market Value (Base) </t>
  </si>
  <si>
    <t>Portfolio Weight %</t>
  </si>
  <si>
    <t>Asset Group</t>
  </si>
  <si>
    <t>974155103</t>
  </si>
  <si>
    <t>WINGSTOP INC</t>
  </si>
  <si>
    <t>25754A201</t>
  </si>
  <si>
    <t>DOMINO'S PIZZA INC</t>
  </si>
  <si>
    <t>169656105</t>
  </si>
  <si>
    <t>CHIPOTLE MEXICAN GRILL INC</t>
  </si>
  <si>
    <t>148929102</t>
  </si>
  <si>
    <t>CAVA GROUP INC</t>
  </si>
  <si>
    <t>G0457F107</t>
  </si>
  <si>
    <t>ARCOS DORADOS HOLDINGS INC-A</t>
  </si>
  <si>
    <t>FS</t>
  </si>
  <si>
    <t>109641100</t>
  </si>
  <si>
    <t>BRINKER INTERNATIONAL INC</t>
  </si>
  <si>
    <t>26701L100</t>
  </si>
  <si>
    <t>DUTCH BROS INC-CLASS A</t>
  </si>
  <si>
    <t>988498101</t>
  </si>
  <si>
    <t>YUM! BRANDS INC</t>
  </si>
  <si>
    <t>254423106</t>
  </si>
  <si>
    <t>DINE BRANDS GLOBAL INC</t>
  </si>
  <si>
    <t>USFD</t>
  </si>
  <si>
    <t>912008109</t>
  </si>
  <si>
    <t>US FOODS HOLDING CORP</t>
  </si>
  <si>
    <t>73642K106</t>
  </si>
  <si>
    <t>PORTILLO'S INC-CL A</t>
  </si>
  <si>
    <t>QSR</t>
  </si>
  <si>
    <t>76131D103</t>
  </si>
  <si>
    <t>RESTAURANT BRANDS INTERN</t>
  </si>
  <si>
    <t>CASY</t>
  </si>
  <si>
    <t>147528103</t>
  </si>
  <si>
    <t>CASEY'S GENERAL STORES INC</t>
  </si>
  <si>
    <t>237194105</t>
  </si>
  <si>
    <t>DARDEN RESTAURANTS INC</t>
  </si>
  <si>
    <t>580135101</t>
  </si>
  <si>
    <t>MCDONALD'S CORP</t>
  </si>
  <si>
    <t>ARMK</t>
  </si>
  <si>
    <t>03852U106</t>
  </si>
  <si>
    <t>ARAMARK</t>
  </si>
  <si>
    <t>882681109</t>
  </si>
  <si>
    <t>TEXAS ROADHOUSE INC</t>
  </si>
  <si>
    <t>819047101</t>
  </si>
  <si>
    <t>SHAKE SHACK INC - CLASS A</t>
  </si>
  <si>
    <t>PLAY</t>
  </si>
  <si>
    <t>238337109</t>
  </si>
  <si>
    <t>DAVE &amp; BUSTER'S ENTERTAINMEN</t>
  </si>
  <si>
    <t>094235108</t>
  </si>
  <si>
    <t>BLOOMIN' BRANDS INC</t>
  </si>
  <si>
    <t>268603107</t>
  </si>
  <si>
    <t>EL POLLO LOCO HOLDINGS INC</t>
  </si>
  <si>
    <t>171604101</t>
  </si>
  <si>
    <t>CHUY'S HOLDINGS INC</t>
  </si>
  <si>
    <t>855244109</t>
  </si>
  <si>
    <t>STARBUCKS CORP</t>
  </si>
  <si>
    <t>466367109</t>
  </si>
  <si>
    <t>JACK IN THE BOX INC</t>
  </si>
  <si>
    <t>09180C106</t>
  </si>
  <si>
    <t>BJ'S RESTAURANTS INC</t>
  </si>
  <si>
    <t>73754Y100</t>
  </si>
  <si>
    <t>POTBELLY CORP</t>
  </si>
  <si>
    <t>X9USDBLYT</t>
  </si>
  <si>
    <t>BLACKROCK TREASURY TRUST INSTL 62</t>
  </si>
  <si>
    <t>MM</t>
  </si>
  <si>
    <t xml:space="preserve"> </t>
  </si>
  <si>
    <t>CASH</t>
  </si>
  <si>
    <t>CA</t>
  </si>
  <si>
    <t>SSS</t>
  </si>
  <si>
    <t>Notes</t>
  </si>
  <si>
    <t>Consumers are facing significant financial pressures and are being more discriminating with their spending due to elevated prices, impacting the quick service restaurant industry.</t>
  </si>
  <si>
    <t xml:space="preserve">Last </t>
  </si>
  <si>
    <t xml:space="preserve">Latest </t>
  </si>
  <si>
    <t>Revised earnings downward</t>
  </si>
  <si>
    <t>Prior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</si>
</sst>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\x"/>
    <numFmt numFmtId="165" formatCode="0.0%"/>
  </numFmts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37" fontId="0" fillId="0" borderId="0" xfId="2" applyNumberFormat="1" applyFont="1"/>
    <xf numFmtId="37" fontId="2" fillId="0" borderId="0" xfId="2" applyNumberFormat="1" applyFont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3" fontId="2" fillId="0" borderId="8" xfId="0" applyNumberFormat="1" applyFont="1" applyBorder="1"/>
    <xf numFmtId="0" fontId="4" fillId="0" borderId="0" xfId="0" applyFont="1"/>
    <xf numFmtId="49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5" fontId="0" fillId="0" borderId="0" xfId="3" applyNumberFormat="1" applyFont="1"/>
    <xf numFmtId="3" fontId="6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7" fontId="0" fillId="0" borderId="0" xfId="2" applyNumberFormat="1" applyFont="1" applyAlignment="1">
      <alignment horizontal="right"/>
    </xf>
    <xf numFmtId="165" fontId="0" fillId="0" borderId="0" xfId="3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2" fillId="0" borderId="10" xfId="3" applyNumberFormat="1" applyFont="1" applyBorder="1" applyAlignment="1">
      <alignment horizontal="center"/>
    </xf>
    <xf numFmtId="165" fontId="2" fillId="0" borderId="11" xfId="3" applyNumberFormat="1" applyFont="1" applyBorder="1" applyAlignment="1">
      <alignment horizontal="center"/>
    </xf>
    <xf numFmtId="165" fontId="2" fillId="2" borderId="9" xfId="3" applyNumberFormat="1" applyFont="1" applyFill="1" applyBorder="1"/>
    <xf numFmtId="165" fontId="2" fillId="2" borderId="8" xfId="3" applyNumberFormat="1" applyFont="1" applyFill="1" applyBorder="1"/>
    <xf numFmtId="3" fontId="2" fillId="2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RI.xlsx" TargetMode="External"/><Relationship Id="rId3" Type="http://schemas.openxmlformats.org/officeDocument/2006/relationships/hyperlink" Target="CMG.xlsx" TargetMode="External"/><Relationship Id="rId7" Type="http://schemas.openxmlformats.org/officeDocument/2006/relationships/hyperlink" Target="SG.xlsx" TargetMode="External"/><Relationship Id="rId12" Type="http://schemas.openxmlformats.org/officeDocument/2006/relationships/hyperlink" Target="SHAK.xlsx" TargetMode="External"/><Relationship Id="rId2" Type="http://schemas.openxmlformats.org/officeDocument/2006/relationships/hyperlink" Target="SBUX.xlsx" TargetMode="External"/><Relationship Id="rId1" Type="http://schemas.openxmlformats.org/officeDocument/2006/relationships/hyperlink" Target="MCD.xlsx" TargetMode="External"/><Relationship Id="rId6" Type="http://schemas.openxmlformats.org/officeDocument/2006/relationships/hyperlink" Target="TXRH.xlsx" TargetMode="External"/><Relationship Id="rId11" Type="http://schemas.openxmlformats.org/officeDocument/2006/relationships/hyperlink" Target="WEN.xlsx" TargetMode="External"/><Relationship Id="rId5" Type="http://schemas.openxmlformats.org/officeDocument/2006/relationships/hyperlink" Target="CAVA.xlsx" TargetMode="External"/><Relationship Id="rId10" Type="http://schemas.openxmlformats.org/officeDocument/2006/relationships/hyperlink" Target="WING.xlsx" TargetMode="External"/><Relationship Id="rId4" Type="http://schemas.openxmlformats.org/officeDocument/2006/relationships/hyperlink" Target="YUM.xlsx" TargetMode="External"/><Relationship Id="rId9" Type="http://schemas.openxmlformats.org/officeDocument/2006/relationships/hyperlink" Target="DP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3BEF-AB7E-4941-AB4B-F6D83EF65880}">
  <dimension ref="A1:AE55"/>
  <sheetViews>
    <sheetView tabSelected="1" zoomScale="140" zoomScaleNormal="140" workbookViewId="0">
      <selection activeCell="N10" sqref="N10"/>
    </sheetView>
  </sheetViews>
  <sheetFormatPr baseColWidth="10" defaultColWidth="6.33203125" defaultRowHeight="13"/>
  <cols>
    <col min="1" max="1" width="3.1640625" customWidth="1"/>
    <col min="2" max="2" width="29.6640625" bestFit="1" customWidth="1"/>
    <col min="4" max="4" width="5.83203125" style="26" bestFit="1" customWidth="1"/>
    <col min="5" max="5" width="7.1640625" style="26" bestFit="1" customWidth="1"/>
    <col min="6" max="6" width="10.5" style="26" bestFit="1" customWidth="1"/>
    <col min="7" max="7" width="5.83203125" style="26" bestFit="1" customWidth="1"/>
    <col min="8" max="8" width="6.83203125" style="26" bestFit="1" customWidth="1"/>
    <col min="9" max="9" width="7.83203125" style="26" bestFit="1" customWidth="1"/>
    <col min="10" max="10" width="5" style="34" bestFit="1" customWidth="1"/>
    <col min="11" max="11" width="7.33203125" style="28" bestFit="1" customWidth="1"/>
    <col min="12" max="13" width="6.5" style="29" bestFit="1" customWidth="1"/>
    <col min="14" max="16" width="9.33203125" style="26" bestFit="1" customWidth="1"/>
    <col min="17" max="17" width="6.83203125" style="26" bestFit="1" customWidth="1"/>
    <col min="18" max="18" width="5.83203125" style="26" bestFit="1" customWidth="1"/>
    <col min="19" max="19" width="5.6640625" style="26" bestFit="1" customWidth="1"/>
    <col min="20" max="21" width="5.83203125" style="26" bestFit="1" customWidth="1"/>
    <col min="22" max="25" width="5.33203125" style="30" bestFit="1" customWidth="1"/>
    <col min="26" max="26" width="5.6640625" style="26" bestFit="1" customWidth="1"/>
    <col min="27" max="27" width="10.6640625" style="26" bestFit="1" customWidth="1"/>
    <col min="28" max="28" width="8.33203125" style="26" bestFit="1" customWidth="1"/>
    <col min="29" max="29" width="6.83203125" style="27" bestFit="1" customWidth="1"/>
    <col min="30" max="30" width="7.1640625" style="31" bestFit="1" customWidth="1"/>
    <col min="31" max="16384" width="6.33203125" style="2"/>
  </cols>
  <sheetData>
    <row r="1" spans="1:31">
      <c r="A1" t="s">
        <v>104</v>
      </c>
      <c r="D1" s="2"/>
      <c r="E1" s="2"/>
      <c r="F1" s="2"/>
      <c r="G1" s="2"/>
      <c r="H1" s="2"/>
      <c r="I1" s="2"/>
      <c r="J1" s="32"/>
      <c r="K1" s="7"/>
      <c r="L1" s="22"/>
      <c r="M1" s="2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/>
      <c r="AD1" s="24"/>
    </row>
    <row r="2" spans="1:31">
      <c r="D2" s="2"/>
      <c r="E2" s="2"/>
      <c r="F2" s="2"/>
      <c r="G2" s="2"/>
      <c r="H2" s="2"/>
      <c r="I2" s="2"/>
      <c r="J2" s="32"/>
      <c r="K2" s="7"/>
      <c r="L2" s="38" t="s">
        <v>196</v>
      </c>
      <c r="M2" s="37" t="s">
        <v>194</v>
      </c>
      <c r="N2" s="39" t="s">
        <v>110</v>
      </c>
      <c r="O2" s="40"/>
      <c r="P2" s="40"/>
      <c r="Q2" s="41"/>
      <c r="R2" s="39" t="s">
        <v>111</v>
      </c>
      <c r="S2" s="40"/>
      <c r="T2" s="40"/>
      <c r="U2" s="41"/>
      <c r="V2" s="39" t="s">
        <v>112</v>
      </c>
      <c r="W2" s="40"/>
      <c r="X2" s="40"/>
      <c r="Y2" s="40"/>
      <c r="Z2" s="41"/>
      <c r="AA2" s="42" t="s">
        <v>117</v>
      </c>
      <c r="AB2" s="2"/>
      <c r="AC2" s="6"/>
      <c r="AD2" s="25" t="s">
        <v>193</v>
      </c>
      <c r="AE2" s="4" t="s">
        <v>191</v>
      </c>
    </row>
    <row r="3" spans="1:31" s="4" customFormat="1">
      <c r="A3" s="3"/>
      <c r="B3" s="3" t="s">
        <v>41</v>
      </c>
      <c r="C3" s="3" t="s">
        <v>40</v>
      </c>
      <c r="D3" s="4" t="s">
        <v>43</v>
      </c>
      <c r="E3" s="4" t="s">
        <v>100</v>
      </c>
      <c r="F3" s="4" t="s">
        <v>42</v>
      </c>
      <c r="G3" s="4" t="s">
        <v>101</v>
      </c>
      <c r="H3" s="4" t="s">
        <v>102</v>
      </c>
      <c r="I3" s="4" t="s">
        <v>103</v>
      </c>
      <c r="J3" s="33" t="s">
        <v>106</v>
      </c>
      <c r="K3" s="8" t="s">
        <v>105</v>
      </c>
      <c r="L3" s="35" t="s">
        <v>190</v>
      </c>
      <c r="M3" s="36"/>
      <c r="N3" s="9">
        <v>2021</v>
      </c>
      <c r="O3" s="10">
        <v>2022</v>
      </c>
      <c r="P3" s="10">
        <v>2023</v>
      </c>
      <c r="Q3" s="11">
        <v>2024</v>
      </c>
      <c r="R3" s="9">
        <v>2021</v>
      </c>
      <c r="S3" s="10">
        <v>2022</v>
      </c>
      <c r="T3" s="10">
        <v>2023</v>
      </c>
      <c r="U3" s="11">
        <v>2024</v>
      </c>
      <c r="V3" s="9">
        <v>2021</v>
      </c>
      <c r="W3" s="10">
        <v>2022</v>
      </c>
      <c r="X3" s="10">
        <v>2023</v>
      </c>
      <c r="Y3" s="11">
        <v>2024</v>
      </c>
      <c r="Z3" s="11">
        <v>2025</v>
      </c>
      <c r="AA3" s="12" t="s">
        <v>113</v>
      </c>
      <c r="AB3" s="4" t="s">
        <v>115</v>
      </c>
      <c r="AC3" s="5" t="s">
        <v>116</v>
      </c>
      <c r="AD3" s="25"/>
    </row>
    <row r="4" spans="1:31" s="4" customFormat="1">
      <c r="A4"/>
      <c r="B4" s="1" t="s">
        <v>1</v>
      </c>
      <c r="C4" t="s">
        <v>0</v>
      </c>
      <c r="D4" s="26">
        <v>258</v>
      </c>
      <c r="E4" s="26">
        <v>721</v>
      </c>
      <c r="F4" s="26">
        <f>+D4*E4</f>
        <v>186018</v>
      </c>
      <c r="G4" s="26">
        <v>838</v>
      </c>
      <c r="H4" s="26">
        <v>37275</v>
      </c>
      <c r="I4" s="26">
        <f>+F4-G4+H4</f>
        <v>222455</v>
      </c>
      <c r="J4" s="34">
        <v>0.06</v>
      </c>
      <c r="K4" s="28">
        <v>42018</v>
      </c>
      <c r="L4" s="29">
        <v>0.09</v>
      </c>
      <c r="M4" s="29">
        <v>1.9E-2</v>
      </c>
      <c r="N4" s="26">
        <v>23222.899999999998</v>
      </c>
      <c r="O4" s="26">
        <v>23182.6</v>
      </c>
      <c r="P4" s="26">
        <v>25493.7</v>
      </c>
      <c r="Q4" s="26">
        <v>26901</v>
      </c>
      <c r="R4" s="26">
        <v>7874.7999999999993</v>
      </c>
      <c r="S4" s="26">
        <v>6456.4000000000015</v>
      </c>
      <c r="T4" s="26">
        <v>8468.7999999999993</v>
      </c>
      <c r="U4" s="26">
        <v>9718.753606319191</v>
      </c>
      <c r="V4" s="30">
        <f>+IFERROR($I4/R4,0)</f>
        <v>28.248971402448319</v>
      </c>
      <c r="W4" s="30">
        <f>+IFERROR($I4/S4,0)</f>
        <v>34.454959420110271</v>
      </c>
      <c r="X4" s="30">
        <v>26</v>
      </c>
      <c r="Y4" s="30">
        <v>25</v>
      </c>
      <c r="Z4" s="30">
        <v>24</v>
      </c>
      <c r="AA4" s="26">
        <f>+(F4*1000000)/K4</f>
        <v>4427102.6702841641</v>
      </c>
      <c r="AB4" s="26">
        <v>285</v>
      </c>
      <c r="AC4" s="27">
        <f>AB4/D4-1</f>
        <v>0.10465116279069764</v>
      </c>
      <c r="AD4" s="31">
        <v>45438</v>
      </c>
      <c r="AE4" s="23" t="s">
        <v>192</v>
      </c>
    </row>
    <row r="5" spans="1:31">
      <c r="B5" s="1" t="s">
        <v>3</v>
      </c>
      <c r="C5" t="s">
        <v>2</v>
      </c>
      <c r="D5" s="26">
        <v>78.87</v>
      </c>
      <c r="E5" s="26">
        <v>1133</v>
      </c>
      <c r="F5" s="26">
        <f t="shared" ref="F5:F51" si="0">+D5*E5</f>
        <v>89359.71</v>
      </c>
      <c r="G5" s="26">
        <v>3127</v>
      </c>
      <c r="H5" s="26">
        <v>15590</v>
      </c>
      <c r="I5" s="26">
        <f t="shared" ref="I5:I51" si="1">+F5-G5+H5</f>
        <v>101822.71</v>
      </c>
      <c r="J5" s="34">
        <v>7.4999999999999997E-2</v>
      </c>
      <c r="K5" s="28">
        <v>38951</v>
      </c>
      <c r="L5" s="29">
        <v>0.05</v>
      </c>
      <c r="M5" s="29">
        <v>-0.04</v>
      </c>
      <c r="N5" s="26">
        <v>29060.600000000002</v>
      </c>
      <c r="O5" s="26">
        <v>32250.299999999996</v>
      </c>
      <c r="P5" s="26">
        <v>35975.599999999999</v>
      </c>
      <c r="Q5" s="26">
        <v>40418.586600000002</v>
      </c>
      <c r="R5" s="26">
        <v>3505.4000000000005</v>
      </c>
      <c r="S5" s="26">
        <v>3327.7999999999984</v>
      </c>
      <c r="T5" s="26">
        <v>4146.2999999999975</v>
      </c>
      <c r="U5" s="26">
        <v>5820.2439813653491</v>
      </c>
      <c r="V5" s="30">
        <f t="shared" ref="V5:V51" si="2">+IFERROR($I5/R5,0)</f>
        <v>29.047386888800133</v>
      </c>
      <c r="W5" s="30">
        <f t="shared" ref="W5:W51" si="3">+IFERROR($I5/S5,0)</f>
        <v>30.597605024340421</v>
      </c>
      <c r="X5" s="30">
        <v>25</v>
      </c>
      <c r="Y5" s="30">
        <v>20</v>
      </c>
      <c r="Z5" s="30">
        <v>20</v>
      </c>
      <c r="AA5" s="26">
        <f t="shared" ref="AA4:AA14" si="4">+(F5*1000000)/K5</f>
        <v>2294157.0177915841</v>
      </c>
      <c r="AB5" s="26">
        <v>77</v>
      </c>
      <c r="AC5" s="27">
        <f t="shared" ref="AC5:AC14" si="5">AB5/D5-1</f>
        <v>-2.3709902370990243E-2</v>
      </c>
      <c r="AD5" s="31">
        <v>45438</v>
      </c>
      <c r="AE5" s="2" t="s">
        <v>195</v>
      </c>
    </row>
    <row r="6" spans="1:31">
      <c r="B6" s="1" t="s">
        <v>5</v>
      </c>
      <c r="C6" t="s">
        <v>4</v>
      </c>
      <c r="D6" s="26">
        <v>2898</v>
      </c>
      <c r="E6" s="26">
        <f>27421169/1000000</f>
        <v>27.421168999999999</v>
      </c>
      <c r="F6" s="26">
        <f t="shared" si="0"/>
        <v>79466.547762000002</v>
      </c>
      <c r="G6" s="26">
        <v>560.60900000000004</v>
      </c>
      <c r="H6" s="26">
        <v>0</v>
      </c>
      <c r="I6" s="26">
        <f t="shared" si="1"/>
        <v>78905.938762000005</v>
      </c>
      <c r="J6" s="34">
        <v>7.4999999999999997E-2</v>
      </c>
      <c r="K6" s="28">
        <v>3437</v>
      </c>
      <c r="N6" s="26">
        <f>7547061/1000</f>
        <v>7547.0609999999997</v>
      </c>
      <c r="O6" s="26">
        <f>8634652/1000</f>
        <v>8634.652</v>
      </c>
      <c r="P6" s="26">
        <f>9871649/1000</f>
        <v>9871.6489999999994</v>
      </c>
      <c r="Q6" s="26">
        <f>11377298.065691/1000</f>
        <v>11377.298065691</v>
      </c>
      <c r="R6" s="26">
        <f>672275/1000</f>
        <v>672.27499999999998</v>
      </c>
      <c r="S6" s="26">
        <f>920240/1000</f>
        <v>920.24</v>
      </c>
      <c r="T6" s="26">
        <f>1267107/1000</f>
        <v>1267.107</v>
      </c>
      <c r="U6" s="26">
        <f>2341699.65465214/1000</f>
        <v>2341.69965465214</v>
      </c>
      <c r="V6" s="30">
        <f t="shared" si="2"/>
        <v>117.37152022907294</v>
      </c>
      <c r="W6" s="30">
        <f t="shared" si="3"/>
        <v>85.744956491784762</v>
      </c>
      <c r="X6" s="30">
        <f t="shared" ref="X6:X51" si="6">+IFERROR($I6/T6,0)</f>
        <v>62.272514288059341</v>
      </c>
      <c r="Y6" s="30">
        <f t="shared" ref="Y6:Y51" si="7">+IFERROR($I6/U6,0)</f>
        <v>33.696011615000003</v>
      </c>
      <c r="Z6" s="30"/>
      <c r="AA6" s="26">
        <f t="shared" si="4"/>
        <v>23120904.207739308</v>
      </c>
      <c r="AB6" s="26">
        <v>2556</v>
      </c>
      <c r="AC6" s="27">
        <f t="shared" si="5"/>
        <v>-0.11801242236024845</v>
      </c>
    </row>
    <row r="7" spans="1:31">
      <c r="B7" s="1" t="s">
        <v>7</v>
      </c>
      <c r="C7" t="s">
        <v>6</v>
      </c>
      <c r="D7" s="26">
        <v>136</v>
      </c>
      <c r="E7" s="26">
        <v>282</v>
      </c>
      <c r="F7" s="26">
        <f t="shared" si="0"/>
        <v>38352</v>
      </c>
      <c r="G7" s="26">
        <v>410</v>
      </c>
      <c r="H7" s="26">
        <v>11589</v>
      </c>
      <c r="I7" s="26">
        <f t="shared" si="1"/>
        <v>49531</v>
      </c>
      <c r="J7" s="34">
        <v>0.06</v>
      </c>
      <c r="K7" s="28">
        <v>58708</v>
      </c>
      <c r="N7" s="26">
        <v>6584</v>
      </c>
      <c r="O7" s="26">
        <v>6842</v>
      </c>
      <c r="P7" s="26">
        <v>7076</v>
      </c>
      <c r="Q7" s="26">
        <v>7736.8555413088652</v>
      </c>
      <c r="R7" s="26">
        <v>1575</v>
      </c>
      <c r="S7" s="26">
        <v>1325</v>
      </c>
      <c r="T7" s="26">
        <v>1597</v>
      </c>
      <c r="U7" s="26">
        <v>1750.0646590794397</v>
      </c>
      <c r="V7" s="30">
        <f t="shared" si="2"/>
        <v>31.448253968253969</v>
      </c>
      <c r="W7" s="30">
        <f t="shared" si="3"/>
        <v>37.381886792452832</v>
      </c>
      <c r="X7" s="30">
        <f t="shared" si="6"/>
        <v>31.015028177833436</v>
      </c>
      <c r="Y7" s="30">
        <f t="shared" si="7"/>
        <v>28.302382853702131</v>
      </c>
      <c r="Z7" s="30"/>
      <c r="AA7" s="26">
        <f t="shared" si="4"/>
        <v>653267.01642024936</v>
      </c>
      <c r="AB7" s="26">
        <v>129</v>
      </c>
      <c r="AC7" s="27">
        <f t="shared" si="5"/>
        <v>-5.1470588235294157E-2</v>
      </c>
    </row>
    <row r="8" spans="1:31">
      <c r="B8" s="1" t="s">
        <v>9</v>
      </c>
      <c r="C8" t="s">
        <v>8</v>
      </c>
      <c r="D8" s="26">
        <v>157</v>
      </c>
      <c r="E8" s="26">
        <v>119</v>
      </c>
      <c r="F8" s="26">
        <f t="shared" si="0"/>
        <v>18683</v>
      </c>
      <c r="G8" s="26">
        <v>196</v>
      </c>
      <c r="H8" s="26">
        <v>1718</v>
      </c>
      <c r="I8" s="26">
        <f t="shared" si="1"/>
        <v>20205</v>
      </c>
      <c r="J8" s="34">
        <v>0.08</v>
      </c>
      <c r="K8" s="28">
        <v>2022</v>
      </c>
      <c r="N8" s="26">
        <v>7196.1</v>
      </c>
      <c r="O8" s="26">
        <v>9630</v>
      </c>
      <c r="P8" s="26">
        <v>10487.8</v>
      </c>
      <c r="Q8" s="26">
        <v>11403.88474137931</v>
      </c>
      <c r="R8" s="26">
        <v>635.900000000001</v>
      </c>
      <c r="S8" s="26">
        <v>949.6000000000007</v>
      </c>
      <c r="T8" s="26">
        <v>971.29999999999893</v>
      </c>
      <c r="U8" s="26">
        <v>1169.6667859765953</v>
      </c>
      <c r="V8" s="30">
        <f t="shared" si="2"/>
        <v>31.773863815065212</v>
      </c>
      <c r="W8" s="30">
        <f t="shared" si="3"/>
        <v>21.277379949452385</v>
      </c>
      <c r="X8" s="30">
        <f t="shared" si="6"/>
        <v>20.802017914135718</v>
      </c>
      <c r="Y8" s="30">
        <f t="shared" si="7"/>
        <v>17.274150418086929</v>
      </c>
      <c r="Z8" s="30"/>
      <c r="AA8" s="26">
        <f t="shared" si="4"/>
        <v>9239861.523244312</v>
      </c>
      <c r="AB8" s="26">
        <v>166</v>
      </c>
      <c r="AC8" s="27">
        <f t="shared" si="5"/>
        <v>5.7324840764331197E-2</v>
      </c>
    </row>
    <row r="9" spans="1:31">
      <c r="B9" s="1" t="s">
        <v>11</v>
      </c>
      <c r="C9" t="s">
        <v>10</v>
      </c>
      <c r="D9" s="26">
        <v>498</v>
      </c>
      <c r="E9" s="26">
        <v>35</v>
      </c>
      <c r="F9" s="26">
        <f t="shared" si="0"/>
        <v>17430</v>
      </c>
      <c r="G9" s="26">
        <v>315</v>
      </c>
      <c r="H9" s="26">
        <v>4990</v>
      </c>
      <c r="I9" s="26">
        <f t="shared" si="1"/>
        <v>22105</v>
      </c>
      <c r="J9" s="34">
        <v>7.0000000000000007E-2</v>
      </c>
      <c r="K9" s="28">
        <v>20591</v>
      </c>
      <c r="N9" s="26">
        <f>4357373/1000</f>
        <v>4357.3729999999996</v>
      </c>
      <c r="O9" s="26">
        <f>4537158/1000</f>
        <v>4537.1580000000004</v>
      </c>
      <c r="P9" s="26">
        <f>4479358/1000</f>
        <v>4479.3580000000002</v>
      </c>
      <c r="Q9" s="26">
        <f>4811532.2747647/1000</f>
        <v>4811.5322747646997</v>
      </c>
      <c r="R9" s="26">
        <f>510467/1000</f>
        <v>510.46699999999998</v>
      </c>
      <c r="S9" s="26">
        <f>452263/1000</f>
        <v>452.26299999999998</v>
      </c>
      <c r="T9" s="26">
        <f>519118/1000</f>
        <v>519.11800000000005</v>
      </c>
      <c r="U9" s="26">
        <f>557614.062419504/1000</f>
        <v>557.61406241950408</v>
      </c>
      <c r="V9" s="30">
        <f t="shared" si="2"/>
        <v>43.303484848188035</v>
      </c>
      <c r="W9" s="30">
        <f t="shared" si="3"/>
        <v>48.876428096041465</v>
      </c>
      <c r="X9" s="30">
        <f t="shared" si="6"/>
        <v>42.5818407375587</v>
      </c>
      <c r="Y9" s="30">
        <f t="shared" si="7"/>
        <v>39.642113586744465</v>
      </c>
      <c r="Z9" s="30"/>
      <c r="AA9" s="26">
        <f t="shared" si="4"/>
        <v>846486.32897867996</v>
      </c>
      <c r="AB9" s="26">
        <v>367</v>
      </c>
      <c r="AC9" s="27">
        <f t="shared" si="5"/>
        <v>-0.26305220883534142</v>
      </c>
    </row>
    <row r="10" spans="1:31">
      <c r="B10" s="1" t="s">
        <v>13</v>
      </c>
      <c r="C10" t="s">
        <v>12</v>
      </c>
      <c r="D10" s="26">
        <v>354</v>
      </c>
      <c r="E10" s="26">
        <v>29</v>
      </c>
      <c r="F10" s="26">
        <f t="shared" si="0"/>
        <v>10266</v>
      </c>
      <c r="G10" s="26">
        <v>102</v>
      </c>
      <c r="H10" s="26">
        <v>712</v>
      </c>
      <c r="I10" s="26">
        <f t="shared" si="1"/>
        <v>10876</v>
      </c>
      <c r="J10" s="34">
        <v>0.06</v>
      </c>
      <c r="K10" s="28">
        <v>2214</v>
      </c>
      <c r="N10" s="26">
        <f>282502/1000</f>
        <v>282.50200000000001</v>
      </c>
      <c r="O10" s="26">
        <f>357521/1000</f>
        <v>357.52100000000002</v>
      </c>
      <c r="P10" s="26">
        <f>460055/1000</f>
        <v>460.05500000000001</v>
      </c>
      <c r="Q10" s="26">
        <f>560918.006775068/1000</f>
        <v>560.91800677506797</v>
      </c>
      <c r="R10" s="26">
        <f>39161/1000</f>
        <v>39.161000000000001</v>
      </c>
      <c r="S10" s="26">
        <f>54925/1000</f>
        <v>54.924999999999997</v>
      </c>
      <c r="T10" s="26">
        <f>70270/1000</f>
        <v>70.27</v>
      </c>
      <c r="U10" s="26">
        <f>103517.686427313/1000</f>
        <v>103.51768642731301</v>
      </c>
      <c r="V10" s="30">
        <f t="shared" si="2"/>
        <v>277.72528791399606</v>
      </c>
      <c r="W10" s="30">
        <f t="shared" si="3"/>
        <v>198.01547564861175</v>
      </c>
      <c r="X10" s="30">
        <f t="shared" si="6"/>
        <v>154.77444144015939</v>
      </c>
      <c r="Y10" s="30">
        <f t="shared" si="7"/>
        <v>105.06417188561105</v>
      </c>
      <c r="Z10" s="30"/>
      <c r="AA10" s="26">
        <f t="shared" si="4"/>
        <v>4636856.3685636856</v>
      </c>
      <c r="AB10" s="26">
        <v>246</v>
      </c>
      <c r="AC10" s="27">
        <f t="shared" si="5"/>
        <v>-0.30508474576271183</v>
      </c>
    </row>
    <row r="11" spans="1:31">
      <c r="B11" s="1" t="s">
        <v>15</v>
      </c>
      <c r="C11" t="s">
        <v>14</v>
      </c>
      <c r="D11" s="26">
        <v>149</v>
      </c>
      <c r="E11" s="26">
        <v>67</v>
      </c>
      <c r="F11" s="26">
        <f t="shared" si="0"/>
        <v>9983</v>
      </c>
      <c r="G11" s="26">
        <v>104</v>
      </c>
      <c r="H11" s="26">
        <v>0</v>
      </c>
      <c r="I11" s="26">
        <f t="shared" si="1"/>
        <v>9879</v>
      </c>
      <c r="J11" s="34">
        <v>0.08</v>
      </c>
      <c r="K11" s="28">
        <v>741</v>
      </c>
      <c r="N11" s="26">
        <f>3463946/1000</f>
        <v>3463.9459999999999</v>
      </c>
      <c r="O11" s="26">
        <f>4014919/1000</f>
        <v>4014.9189999999999</v>
      </c>
      <c r="P11" s="26">
        <f>4631672/1000</f>
        <v>4631.6719999999996</v>
      </c>
      <c r="Q11" s="26">
        <f>5500501.16059379/1000</f>
        <v>5500.5011605937898</v>
      </c>
      <c r="R11" s="26">
        <f>246028/1000</f>
        <v>246.02799999999999</v>
      </c>
      <c r="S11" s="26">
        <f>271418/1000</f>
        <v>271.41800000000001</v>
      </c>
      <c r="T11" s="26">
        <f>299183/1000</f>
        <v>299.18299999999999</v>
      </c>
      <c r="U11" s="26">
        <f>752934.317134435/1000</f>
        <v>752.9343171344351</v>
      </c>
      <c r="V11" s="30">
        <f t="shared" si="2"/>
        <v>40.153966215227534</v>
      </c>
      <c r="W11" s="30">
        <f t="shared" si="3"/>
        <v>36.397733385405537</v>
      </c>
      <c r="X11" s="30">
        <f t="shared" si="6"/>
        <v>33.019924260402497</v>
      </c>
      <c r="Y11" s="30">
        <f t="shared" si="7"/>
        <v>13.120666405003455</v>
      </c>
      <c r="Z11" s="30"/>
      <c r="AA11" s="26">
        <f t="shared" si="4"/>
        <v>13472334.682860998</v>
      </c>
      <c r="AB11" s="26">
        <v>148</v>
      </c>
      <c r="AC11" s="27">
        <f t="shared" si="5"/>
        <v>-6.7114093959731447E-3</v>
      </c>
    </row>
    <row r="12" spans="1:31">
      <c r="B12" s="1" t="s">
        <v>17</v>
      </c>
      <c r="C12" t="s">
        <v>16</v>
      </c>
      <c r="D12" s="26">
        <v>55</v>
      </c>
      <c r="E12" s="26">
        <v>114</v>
      </c>
      <c r="F12" s="26">
        <f t="shared" si="0"/>
        <v>6270</v>
      </c>
      <c r="G12" s="26">
        <v>340.399</v>
      </c>
      <c r="H12" s="26">
        <v>0</v>
      </c>
      <c r="I12" s="26">
        <f t="shared" si="1"/>
        <v>5929.6009999999997</v>
      </c>
      <c r="J12" s="34">
        <v>7.0000000000000007E-2</v>
      </c>
      <c r="K12" s="28">
        <v>309</v>
      </c>
      <c r="N12" s="26">
        <f>500072/1000</f>
        <v>500.072</v>
      </c>
      <c r="O12" s="26">
        <f>564119/1000</f>
        <v>564.11900000000003</v>
      </c>
      <c r="P12" s="26">
        <f>728700/1000</f>
        <v>728.7</v>
      </c>
      <c r="Q12" s="26">
        <f>872848/1000</f>
        <v>872.84799999999996</v>
      </c>
      <c r="R12" s="26">
        <f>+-20.01</f>
        <v>-20.010000000000002</v>
      </c>
      <c r="S12" s="26">
        <f>+-33311/1000</f>
        <v>-33.311</v>
      </c>
      <c r="T12" s="26">
        <v>24.259</v>
      </c>
      <c r="U12" s="26">
        <f>29057.801059421/1000</f>
        <v>29.057801059420999</v>
      </c>
      <c r="V12" s="30">
        <f t="shared" si="2"/>
        <v>-296.33188405797097</v>
      </c>
      <c r="W12" s="30">
        <f t="shared" si="3"/>
        <v>-178.00729488757466</v>
      </c>
      <c r="X12" s="30">
        <f t="shared" si="6"/>
        <v>244.4289129807494</v>
      </c>
      <c r="Y12" s="30">
        <f>+IFERROR($I12/U12,0)</f>
        <v>204.06227532064162</v>
      </c>
      <c r="Z12" s="30"/>
      <c r="AA12" s="26">
        <f t="shared" si="4"/>
        <v>20291262.135922331</v>
      </c>
      <c r="AB12" s="26">
        <v>33</v>
      </c>
      <c r="AC12" s="27">
        <f t="shared" si="5"/>
        <v>-0.4</v>
      </c>
    </row>
    <row r="13" spans="1:31">
      <c r="B13" s="1" t="s">
        <v>19</v>
      </c>
      <c r="C13" t="s">
        <v>18</v>
      </c>
      <c r="D13" s="26">
        <v>19</v>
      </c>
      <c r="E13" s="26">
        <v>205</v>
      </c>
      <c r="F13" s="26">
        <f t="shared" si="0"/>
        <v>3895</v>
      </c>
      <c r="G13" s="26">
        <v>552</v>
      </c>
      <c r="H13" s="26">
        <v>2762</v>
      </c>
      <c r="I13" s="26">
        <f t="shared" si="1"/>
        <v>6105</v>
      </c>
      <c r="J13" s="34">
        <v>7.0000000000000007E-2</v>
      </c>
      <c r="K13" s="28">
        <v>7240</v>
      </c>
      <c r="N13" s="26">
        <f>2181578/1000</f>
        <v>2181.578</v>
      </c>
      <c r="O13" s="26">
        <f>2095505/1000</f>
        <v>2095.5050000000001</v>
      </c>
      <c r="P13" s="26">
        <f>2181578/1000</f>
        <v>2181.578</v>
      </c>
      <c r="Q13" s="26">
        <f>2301564.79/1000</f>
        <v>2301.5647899999999</v>
      </c>
      <c r="R13" s="26">
        <f>480143/1000</f>
        <v>480.14299999999997</v>
      </c>
      <c r="S13" s="26">
        <f>180103/1000</f>
        <v>180.10300000000001</v>
      </c>
      <c r="T13" s="26">
        <f>224656/1000</f>
        <v>224.65600000000001</v>
      </c>
      <c r="U13" s="26">
        <f>245205.312826181/1000</f>
        <v>245.205312826181</v>
      </c>
      <c r="V13" s="30">
        <f>+IFERROR($I13/R13,0)</f>
        <v>12.714962000903897</v>
      </c>
      <c r="W13" s="30">
        <f t="shared" si="3"/>
        <v>33.897269895559759</v>
      </c>
      <c r="X13" s="30">
        <f t="shared" si="6"/>
        <v>27.174880706502385</v>
      </c>
      <c r="Y13" s="30">
        <f t="shared" si="7"/>
        <v>24.897502952261313</v>
      </c>
      <c r="Z13" s="30"/>
      <c r="AA13" s="26">
        <f t="shared" si="4"/>
        <v>537983.42541436467</v>
      </c>
      <c r="AB13" s="26">
        <v>16</v>
      </c>
      <c r="AC13" s="27">
        <f t="shared" si="5"/>
        <v>-0.15789473684210531</v>
      </c>
    </row>
    <row r="14" spans="1:31">
      <c r="B14" s="1" t="s">
        <v>21</v>
      </c>
      <c r="C14" t="s">
        <v>20</v>
      </c>
      <c r="D14" s="26">
        <v>97.2</v>
      </c>
      <c r="E14" s="26">
        <v>42</v>
      </c>
      <c r="F14" s="26">
        <f t="shared" si="0"/>
        <v>4082.4</v>
      </c>
      <c r="G14" s="26">
        <v>293</v>
      </c>
      <c r="H14" s="26">
        <v>246</v>
      </c>
      <c r="I14" s="26">
        <f t="shared" si="1"/>
        <v>4035.4</v>
      </c>
      <c r="J14" s="34">
        <v>0.08</v>
      </c>
      <c r="K14" s="28">
        <v>518</v>
      </c>
      <c r="N14" s="26">
        <f>739893/1000</f>
        <v>739.89300000000003</v>
      </c>
      <c r="O14" s="26">
        <f>900486/1000</f>
        <v>900.48599999999999</v>
      </c>
      <c r="P14" s="26">
        <f>1087533/1000</f>
        <v>1087.5329999999999</v>
      </c>
      <c r="Q14" s="26">
        <f>1249625.46374934/1000</f>
        <v>1249.62546374934</v>
      </c>
      <c r="R14" s="26">
        <f>+-7.023</f>
        <v>-7.0229999999999997</v>
      </c>
      <c r="S14" s="26">
        <f>86823/1000</f>
        <v>86.822999999999993</v>
      </c>
      <c r="T14" s="26">
        <v>22.814</v>
      </c>
      <c r="U14" s="26">
        <f>361740.940403918/1000</f>
        <v>361.74094040391799</v>
      </c>
      <c r="V14" s="30">
        <f>+IFERROR($I14/R14,0)</f>
        <v>-574.59775024918133</v>
      </c>
      <c r="W14" s="30">
        <f>+IFERROR($I14/S14,0)</f>
        <v>46.478467687133602</v>
      </c>
      <c r="X14" s="30">
        <f>+IFERROR($I14/T14,0)</f>
        <v>176.88261593758219</v>
      </c>
      <c r="Y14" s="30">
        <f>+IFERROR($I14/U14,0)</f>
        <v>11.155497067857716</v>
      </c>
      <c r="Z14" s="30"/>
      <c r="AA14" s="26">
        <f t="shared" si="4"/>
        <v>7881081.0810810812</v>
      </c>
      <c r="AB14" s="26">
        <v>95</v>
      </c>
      <c r="AC14" s="27">
        <f t="shared" si="5"/>
        <v>-2.2633744855967142E-2</v>
      </c>
    </row>
    <row r="15" spans="1:31">
      <c r="B15" t="s">
        <v>23</v>
      </c>
      <c r="C15" t="s">
        <v>22</v>
      </c>
      <c r="F15" s="26">
        <f t="shared" si="0"/>
        <v>0</v>
      </c>
      <c r="I15" s="26">
        <f t="shared" si="1"/>
        <v>0</v>
      </c>
      <c r="O15" s="26">
        <v>0</v>
      </c>
      <c r="V15" s="30">
        <f t="shared" si="2"/>
        <v>0</v>
      </c>
      <c r="W15" s="30">
        <f t="shared" si="3"/>
        <v>0</v>
      </c>
      <c r="X15" s="30">
        <f t="shared" si="6"/>
        <v>0</v>
      </c>
      <c r="Y15" s="30">
        <f t="shared" si="7"/>
        <v>0</v>
      </c>
      <c r="Z15" s="30"/>
    </row>
    <row r="16" spans="1:31">
      <c r="B16" t="s">
        <v>25</v>
      </c>
      <c r="C16" t="s">
        <v>24</v>
      </c>
      <c r="F16" s="26">
        <f t="shared" si="0"/>
        <v>0</v>
      </c>
      <c r="I16" s="26">
        <f t="shared" si="1"/>
        <v>0</v>
      </c>
      <c r="V16" s="30">
        <f t="shared" si="2"/>
        <v>0</v>
      </c>
      <c r="W16" s="30">
        <f t="shared" si="3"/>
        <v>0</v>
      </c>
      <c r="X16" s="30">
        <f t="shared" si="6"/>
        <v>0</v>
      </c>
      <c r="Y16" s="30">
        <f t="shared" si="7"/>
        <v>0</v>
      </c>
      <c r="Z16" s="30"/>
    </row>
    <row r="17" spans="2:26">
      <c r="B17" t="s">
        <v>27</v>
      </c>
      <c r="C17" t="s">
        <v>26</v>
      </c>
      <c r="F17" s="26">
        <f t="shared" si="0"/>
        <v>0</v>
      </c>
      <c r="I17" s="26">
        <f t="shared" si="1"/>
        <v>0</v>
      </c>
      <c r="V17" s="30">
        <f t="shared" si="2"/>
        <v>0</v>
      </c>
      <c r="W17" s="30">
        <f t="shared" si="3"/>
        <v>0</v>
      </c>
      <c r="X17" s="30">
        <f t="shared" si="6"/>
        <v>0</v>
      </c>
      <c r="Y17" s="30">
        <f t="shared" si="7"/>
        <v>0</v>
      </c>
      <c r="Z17" s="30"/>
    </row>
    <row r="18" spans="2:26">
      <c r="B18" t="s">
        <v>29</v>
      </c>
      <c r="C18" t="s">
        <v>28</v>
      </c>
      <c r="F18" s="26">
        <f t="shared" si="0"/>
        <v>0</v>
      </c>
      <c r="I18" s="26">
        <f t="shared" si="1"/>
        <v>0</v>
      </c>
      <c r="V18" s="30">
        <f t="shared" si="2"/>
        <v>0</v>
      </c>
      <c r="W18" s="30">
        <f t="shared" si="3"/>
        <v>0</v>
      </c>
      <c r="X18" s="30">
        <f t="shared" si="6"/>
        <v>0</v>
      </c>
      <c r="Y18" s="30">
        <f t="shared" si="7"/>
        <v>0</v>
      </c>
      <c r="Z18" s="30"/>
    </row>
    <row r="19" spans="2:26">
      <c r="B19" t="s">
        <v>31</v>
      </c>
      <c r="C19" t="s">
        <v>30</v>
      </c>
      <c r="F19" s="26">
        <f t="shared" si="0"/>
        <v>0</v>
      </c>
      <c r="I19" s="26">
        <f t="shared" si="1"/>
        <v>0</v>
      </c>
      <c r="V19" s="30">
        <f t="shared" si="2"/>
        <v>0</v>
      </c>
      <c r="W19" s="30">
        <f t="shared" si="3"/>
        <v>0</v>
      </c>
      <c r="X19" s="30">
        <f t="shared" si="6"/>
        <v>0</v>
      </c>
      <c r="Y19" s="30">
        <f t="shared" si="7"/>
        <v>0</v>
      </c>
      <c r="Z19" s="30"/>
    </row>
    <row r="20" spans="2:26">
      <c r="B20" t="s">
        <v>33</v>
      </c>
      <c r="C20" t="s">
        <v>32</v>
      </c>
      <c r="F20" s="26">
        <f t="shared" si="0"/>
        <v>0</v>
      </c>
      <c r="I20" s="26">
        <f t="shared" si="1"/>
        <v>0</v>
      </c>
      <c r="V20" s="30">
        <f t="shared" si="2"/>
        <v>0</v>
      </c>
      <c r="W20" s="30">
        <f t="shared" si="3"/>
        <v>0</v>
      </c>
      <c r="X20" s="30">
        <f t="shared" si="6"/>
        <v>0</v>
      </c>
      <c r="Y20" s="30">
        <f t="shared" si="7"/>
        <v>0</v>
      </c>
      <c r="Z20" s="30"/>
    </row>
    <row r="21" spans="2:26">
      <c r="B21" t="s">
        <v>35</v>
      </c>
      <c r="C21" t="s">
        <v>34</v>
      </c>
      <c r="F21" s="26">
        <f t="shared" si="0"/>
        <v>0</v>
      </c>
      <c r="I21" s="26">
        <f t="shared" si="1"/>
        <v>0</v>
      </c>
      <c r="V21" s="30">
        <f t="shared" si="2"/>
        <v>0</v>
      </c>
      <c r="W21" s="30">
        <f t="shared" si="3"/>
        <v>0</v>
      </c>
      <c r="X21" s="30">
        <f t="shared" si="6"/>
        <v>0</v>
      </c>
      <c r="Y21" s="30">
        <f t="shared" si="7"/>
        <v>0</v>
      </c>
      <c r="Z21" s="30"/>
    </row>
    <row r="22" spans="2:26">
      <c r="B22" t="s">
        <v>37</v>
      </c>
      <c r="C22" t="s">
        <v>36</v>
      </c>
      <c r="F22" s="26">
        <f t="shared" si="0"/>
        <v>0</v>
      </c>
      <c r="I22" s="26">
        <f t="shared" si="1"/>
        <v>0</v>
      </c>
      <c r="V22" s="30">
        <f t="shared" si="2"/>
        <v>0</v>
      </c>
      <c r="W22" s="30">
        <f t="shared" si="3"/>
        <v>0</v>
      </c>
      <c r="X22" s="30">
        <f t="shared" si="6"/>
        <v>0</v>
      </c>
      <c r="Y22" s="30">
        <f t="shared" si="7"/>
        <v>0</v>
      </c>
      <c r="Z22" s="30"/>
    </row>
    <row r="23" spans="2:26">
      <c r="B23" t="s">
        <v>39</v>
      </c>
      <c r="C23" t="s">
        <v>38</v>
      </c>
      <c r="F23" s="26">
        <f t="shared" si="0"/>
        <v>0</v>
      </c>
      <c r="I23" s="26">
        <f t="shared" si="1"/>
        <v>0</v>
      </c>
      <c r="V23" s="30">
        <f t="shared" si="2"/>
        <v>0</v>
      </c>
      <c r="W23" s="30">
        <f t="shared" si="3"/>
        <v>0</v>
      </c>
      <c r="X23" s="30">
        <f t="shared" si="6"/>
        <v>0</v>
      </c>
      <c r="Y23" s="30">
        <f t="shared" si="7"/>
        <v>0</v>
      </c>
      <c r="Z23" s="30"/>
    </row>
    <row r="24" spans="2:26">
      <c r="B24" t="s">
        <v>45</v>
      </c>
      <c r="C24" t="s">
        <v>44</v>
      </c>
      <c r="F24" s="26">
        <f t="shared" si="0"/>
        <v>0</v>
      </c>
      <c r="I24" s="26">
        <f t="shared" si="1"/>
        <v>0</v>
      </c>
      <c r="V24" s="30">
        <f t="shared" si="2"/>
        <v>0</v>
      </c>
      <c r="W24" s="30">
        <f t="shared" si="3"/>
        <v>0</v>
      </c>
      <c r="X24" s="30">
        <f t="shared" si="6"/>
        <v>0</v>
      </c>
      <c r="Y24" s="30">
        <f t="shared" si="7"/>
        <v>0</v>
      </c>
      <c r="Z24" s="30"/>
    </row>
    <row r="25" spans="2:26">
      <c r="B25" s="1" t="s">
        <v>47</v>
      </c>
      <c r="C25" t="s">
        <v>46</v>
      </c>
      <c r="D25" s="26">
        <v>12</v>
      </c>
      <c r="E25" s="26">
        <v>112</v>
      </c>
      <c r="F25" s="26">
        <f t="shared" si="0"/>
        <v>1344</v>
      </c>
      <c r="G25" s="26">
        <v>275</v>
      </c>
      <c r="H25" s="26">
        <v>0</v>
      </c>
      <c r="I25" s="26">
        <f t="shared" si="1"/>
        <v>1069</v>
      </c>
      <c r="V25" s="30">
        <f t="shared" si="2"/>
        <v>0</v>
      </c>
      <c r="W25" s="30">
        <f t="shared" si="3"/>
        <v>0</v>
      </c>
      <c r="X25" s="30">
        <f t="shared" si="6"/>
        <v>0</v>
      </c>
      <c r="Y25" s="30">
        <f t="shared" si="7"/>
        <v>0</v>
      </c>
      <c r="Z25" s="30"/>
    </row>
    <row r="26" spans="2:26">
      <c r="B26" t="s">
        <v>49</v>
      </c>
      <c r="C26" t="s">
        <v>48</v>
      </c>
      <c r="F26" s="26">
        <f t="shared" si="0"/>
        <v>0</v>
      </c>
      <c r="I26" s="26">
        <f t="shared" si="1"/>
        <v>0</v>
      </c>
      <c r="V26" s="30">
        <f t="shared" si="2"/>
        <v>0</v>
      </c>
      <c r="W26" s="30">
        <f t="shared" si="3"/>
        <v>0</v>
      </c>
      <c r="X26" s="30">
        <f t="shared" si="6"/>
        <v>0</v>
      </c>
      <c r="Y26" s="30">
        <f t="shared" si="7"/>
        <v>0</v>
      </c>
      <c r="Z26" s="30"/>
    </row>
    <row r="27" spans="2:26">
      <c r="B27" t="s">
        <v>51</v>
      </c>
      <c r="C27" t="s">
        <v>50</v>
      </c>
      <c r="F27" s="26">
        <f t="shared" si="0"/>
        <v>0</v>
      </c>
      <c r="I27" s="26">
        <f t="shared" si="1"/>
        <v>0</v>
      </c>
      <c r="V27" s="30">
        <f t="shared" si="2"/>
        <v>0</v>
      </c>
      <c r="W27" s="30">
        <f t="shared" si="3"/>
        <v>0</v>
      </c>
      <c r="X27" s="30">
        <f t="shared" si="6"/>
        <v>0</v>
      </c>
      <c r="Y27" s="30">
        <f t="shared" si="7"/>
        <v>0</v>
      </c>
      <c r="Z27" s="30"/>
    </row>
    <row r="28" spans="2:26">
      <c r="B28" t="s">
        <v>53</v>
      </c>
      <c r="C28" t="s">
        <v>52</v>
      </c>
      <c r="F28" s="26">
        <f t="shared" si="0"/>
        <v>0</v>
      </c>
      <c r="I28" s="26">
        <f t="shared" si="1"/>
        <v>0</v>
      </c>
      <c r="V28" s="30">
        <f t="shared" si="2"/>
        <v>0</v>
      </c>
      <c r="W28" s="30">
        <f t="shared" si="3"/>
        <v>0</v>
      </c>
      <c r="X28" s="30">
        <f t="shared" si="6"/>
        <v>0</v>
      </c>
      <c r="Y28" s="30">
        <f t="shared" si="7"/>
        <v>0</v>
      </c>
      <c r="Z28" s="30"/>
    </row>
    <row r="29" spans="2:26">
      <c r="B29" t="s">
        <v>55</v>
      </c>
      <c r="C29" t="s">
        <v>54</v>
      </c>
      <c r="F29" s="26">
        <f t="shared" si="0"/>
        <v>0</v>
      </c>
      <c r="I29" s="26">
        <f t="shared" si="1"/>
        <v>0</v>
      </c>
      <c r="V29" s="30">
        <f t="shared" si="2"/>
        <v>0</v>
      </c>
      <c r="W29" s="30">
        <f t="shared" si="3"/>
        <v>0</v>
      </c>
      <c r="X29" s="30">
        <f t="shared" si="6"/>
        <v>0</v>
      </c>
      <c r="Y29" s="30">
        <f t="shared" si="7"/>
        <v>0</v>
      </c>
      <c r="Z29" s="30"/>
    </row>
    <row r="30" spans="2:26">
      <c r="B30" t="s">
        <v>57</v>
      </c>
      <c r="C30" t="s">
        <v>56</v>
      </c>
      <c r="F30" s="26">
        <f t="shared" si="0"/>
        <v>0</v>
      </c>
      <c r="I30" s="26">
        <f t="shared" si="1"/>
        <v>0</v>
      </c>
      <c r="V30" s="30">
        <f t="shared" si="2"/>
        <v>0</v>
      </c>
      <c r="W30" s="30">
        <f t="shared" si="3"/>
        <v>0</v>
      </c>
      <c r="X30" s="30">
        <f t="shared" si="6"/>
        <v>0</v>
      </c>
      <c r="Y30" s="30">
        <f t="shared" si="7"/>
        <v>0</v>
      </c>
      <c r="Z30" s="30"/>
    </row>
    <row r="31" spans="2:26">
      <c r="B31" t="s">
        <v>59</v>
      </c>
      <c r="C31" t="s">
        <v>58</v>
      </c>
      <c r="F31" s="26">
        <f t="shared" si="0"/>
        <v>0</v>
      </c>
      <c r="I31" s="26">
        <f t="shared" si="1"/>
        <v>0</v>
      </c>
      <c r="V31" s="30">
        <f t="shared" si="2"/>
        <v>0</v>
      </c>
      <c r="W31" s="30">
        <f t="shared" si="3"/>
        <v>0</v>
      </c>
      <c r="X31" s="30">
        <f t="shared" si="6"/>
        <v>0</v>
      </c>
      <c r="Y31" s="30">
        <f t="shared" si="7"/>
        <v>0</v>
      </c>
      <c r="Z31" s="30"/>
    </row>
    <row r="32" spans="2:26">
      <c r="B32" t="s">
        <v>61</v>
      </c>
      <c r="C32" t="s">
        <v>60</v>
      </c>
      <c r="F32" s="26">
        <f t="shared" si="0"/>
        <v>0</v>
      </c>
      <c r="I32" s="26">
        <f t="shared" si="1"/>
        <v>0</v>
      </c>
      <c r="V32" s="30">
        <f t="shared" si="2"/>
        <v>0</v>
      </c>
      <c r="W32" s="30">
        <f t="shared" si="3"/>
        <v>0</v>
      </c>
      <c r="X32" s="30">
        <f t="shared" si="6"/>
        <v>0</v>
      </c>
      <c r="Y32" s="30">
        <f t="shared" si="7"/>
        <v>0</v>
      </c>
      <c r="Z32" s="30"/>
    </row>
    <row r="33" spans="2:26">
      <c r="B33" t="s">
        <v>63</v>
      </c>
      <c r="C33" t="s">
        <v>62</v>
      </c>
      <c r="F33" s="26">
        <f t="shared" si="0"/>
        <v>0</v>
      </c>
      <c r="I33" s="26">
        <f t="shared" si="1"/>
        <v>0</v>
      </c>
      <c r="V33" s="30">
        <f t="shared" si="2"/>
        <v>0</v>
      </c>
      <c r="W33" s="30">
        <f t="shared" si="3"/>
        <v>0</v>
      </c>
      <c r="X33" s="30">
        <f t="shared" si="6"/>
        <v>0</v>
      </c>
      <c r="Y33" s="30">
        <f t="shared" si="7"/>
        <v>0</v>
      </c>
      <c r="Z33" s="30"/>
    </row>
    <row r="34" spans="2:26">
      <c r="B34" t="s">
        <v>65</v>
      </c>
      <c r="C34" t="s">
        <v>64</v>
      </c>
      <c r="F34" s="26">
        <f t="shared" si="0"/>
        <v>0</v>
      </c>
      <c r="I34" s="26">
        <f t="shared" si="1"/>
        <v>0</v>
      </c>
      <c r="V34" s="30">
        <f t="shared" si="2"/>
        <v>0</v>
      </c>
      <c r="W34" s="30">
        <f t="shared" si="3"/>
        <v>0</v>
      </c>
      <c r="X34" s="30">
        <f t="shared" si="6"/>
        <v>0</v>
      </c>
      <c r="Y34" s="30">
        <f t="shared" si="7"/>
        <v>0</v>
      </c>
      <c r="Z34" s="30"/>
    </row>
    <row r="35" spans="2:26">
      <c r="B35" t="s">
        <v>67</v>
      </c>
      <c r="C35" t="s">
        <v>66</v>
      </c>
      <c r="F35" s="26">
        <f t="shared" si="0"/>
        <v>0</v>
      </c>
      <c r="I35" s="26">
        <f t="shared" si="1"/>
        <v>0</v>
      </c>
      <c r="V35" s="30">
        <f t="shared" si="2"/>
        <v>0</v>
      </c>
      <c r="W35" s="30">
        <f t="shared" si="3"/>
        <v>0</v>
      </c>
      <c r="X35" s="30">
        <f t="shared" si="6"/>
        <v>0</v>
      </c>
      <c r="Y35" s="30">
        <f t="shared" si="7"/>
        <v>0</v>
      </c>
      <c r="Z35" s="30"/>
    </row>
    <row r="36" spans="2:26">
      <c r="B36" t="s">
        <v>69</v>
      </c>
      <c r="C36" t="s">
        <v>68</v>
      </c>
      <c r="F36" s="26">
        <f t="shared" si="0"/>
        <v>0</v>
      </c>
      <c r="I36" s="26">
        <f t="shared" si="1"/>
        <v>0</v>
      </c>
      <c r="V36" s="30">
        <f t="shared" si="2"/>
        <v>0</v>
      </c>
      <c r="W36" s="30">
        <f t="shared" si="3"/>
        <v>0</v>
      </c>
      <c r="X36" s="30">
        <f t="shared" si="6"/>
        <v>0</v>
      </c>
      <c r="Y36" s="30">
        <f t="shared" si="7"/>
        <v>0</v>
      </c>
      <c r="Z36" s="30"/>
    </row>
    <row r="37" spans="2:26">
      <c r="B37" t="s">
        <v>71</v>
      </c>
      <c r="C37" t="s">
        <v>70</v>
      </c>
      <c r="F37" s="26">
        <f t="shared" si="0"/>
        <v>0</v>
      </c>
      <c r="I37" s="26">
        <f t="shared" si="1"/>
        <v>0</v>
      </c>
      <c r="V37" s="30">
        <f t="shared" si="2"/>
        <v>0</v>
      </c>
      <c r="W37" s="30">
        <f t="shared" si="3"/>
        <v>0</v>
      </c>
      <c r="X37" s="30">
        <f t="shared" si="6"/>
        <v>0</v>
      </c>
      <c r="Y37" s="30">
        <f t="shared" si="7"/>
        <v>0</v>
      </c>
      <c r="Z37" s="30"/>
    </row>
    <row r="38" spans="2:26">
      <c r="B38" t="s">
        <v>73</v>
      </c>
      <c r="C38" t="s">
        <v>72</v>
      </c>
      <c r="F38" s="26">
        <f t="shared" si="0"/>
        <v>0</v>
      </c>
      <c r="I38" s="26">
        <f t="shared" si="1"/>
        <v>0</v>
      </c>
      <c r="V38" s="30">
        <f t="shared" si="2"/>
        <v>0</v>
      </c>
      <c r="W38" s="30">
        <f t="shared" si="3"/>
        <v>0</v>
      </c>
      <c r="X38" s="30">
        <f t="shared" si="6"/>
        <v>0</v>
      </c>
      <c r="Y38" s="30">
        <f t="shared" si="7"/>
        <v>0</v>
      </c>
      <c r="Z38" s="30"/>
    </row>
    <row r="39" spans="2:26">
      <c r="B39" t="s">
        <v>75</v>
      </c>
      <c r="C39" t="s">
        <v>74</v>
      </c>
      <c r="F39" s="26">
        <f t="shared" si="0"/>
        <v>0</v>
      </c>
      <c r="I39" s="26">
        <f t="shared" si="1"/>
        <v>0</v>
      </c>
      <c r="V39" s="30">
        <f t="shared" si="2"/>
        <v>0</v>
      </c>
      <c r="W39" s="30">
        <f t="shared" si="3"/>
        <v>0</v>
      </c>
      <c r="X39" s="30">
        <f t="shared" si="6"/>
        <v>0</v>
      </c>
      <c r="Y39" s="30">
        <f t="shared" si="7"/>
        <v>0</v>
      </c>
      <c r="Z39" s="30"/>
    </row>
    <row r="40" spans="2:26">
      <c r="B40" t="s">
        <v>77</v>
      </c>
      <c r="C40" t="s">
        <v>76</v>
      </c>
      <c r="F40" s="26">
        <f t="shared" si="0"/>
        <v>0</v>
      </c>
      <c r="I40" s="26">
        <f t="shared" si="1"/>
        <v>0</v>
      </c>
      <c r="V40" s="30">
        <f t="shared" si="2"/>
        <v>0</v>
      </c>
      <c r="W40" s="30">
        <f t="shared" si="3"/>
        <v>0</v>
      </c>
      <c r="X40" s="30">
        <f t="shared" si="6"/>
        <v>0</v>
      </c>
      <c r="Y40" s="30">
        <f t="shared" si="7"/>
        <v>0</v>
      </c>
      <c r="Z40" s="30"/>
    </row>
    <row r="41" spans="2:26">
      <c r="B41" t="s">
        <v>79</v>
      </c>
      <c r="C41" t="s">
        <v>78</v>
      </c>
      <c r="F41" s="26">
        <f t="shared" si="0"/>
        <v>0</v>
      </c>
      <c r="I41" s="26">
        <f t="shared" si="1"/>
        <v>0</v>
      </c>
      <c r="V41" s="30">
        <f t="shared" si="2"/>
        <v>0</v>
      </c>
      <c r="W41" s="30">
        <f t="shared" si="3"/>
        <v>0</v>
      </c>
      <c r="X41" s="30">
        <f t="shared" si="6"/>
        <v>0</v>
      </c>
      <c r="Y41" s="30">
        <f t="shared" si="7"/>
        <v>0</v>
      </c>
      <c r="Z41" s="30"/>
    </row>
    <row r="42" spans="2:26">
      <c r="B42" t="s">
        <v>81</v>
      </c>
      <c r="C42" t="s">
        <v>80</v>
      </c>
      <c r="F42" s="26">
        <f t="shared" si="0"/>
        <v>0</v>
      </c>
      <c r="I42" s="26">
        <f t="shared" si="1"/>
        <v>0</v>
      </c>
      <c r="V42" s="30">
        <f t="shared" si="2"/>
        <v>0</v>
      </c>
      <c r="W42" s="30">
        <f t="shared" si="3"/>
        <v>0</v>
      </c>
      <c r="X42" s="30">
        <f t="shared" si="6"/>
        <v>0</v>
      </c>
      <c r="Y42" s="30">
        <f t="shared" si="7"/>
        <v>0</v>
      </c>
      <c r="Z42" s="30"/>
    </row>
    <row r="43" spans="2:26">
      <c r="B43" t="s">
        <v>83</v>
      </c>
      <c r="C43" t="s">
        <v>82</v>
      </c>
      <c r="F43" s="26">
        <f t="shared" si="0"/>
        <v>0</v>
      </c>
      <c r="I43" s="26">
        <f t="shared" si="1"/>
        <v>0</v>
      </c>
      <c r="V43" s="30">
        <f t="shared" si="2"/>
        <v>0</v>
      </c>
      <c r="W43" s="30">
        <f t="shared" si="3"/>
        <v>0</v>
      </c>
      <c r="X43" s="30">
        <f t="shared" si="6"/>
        <v>0</v>
      </c>
      <c r="Y43" s="30">
        <f t="shared" si="7"/>
        <v>0</v>
      </c>
      <c r="Z43" s="30"/>
    </row>
    <row r="44" spans="2:26">
      <c r="B44" t="s">
        <v>85</v>
      </c>
      <c r="C44" t="s">
        <v>84</v>
      </c>
      <c r="F44" s="26">
        <f t="shared" si="0"/>
        <v>0</v>
      </c>
      <c r="I44" s="26">
        <f t="shared" si="1"/>
        <v>0</v>
      </c>
      <c r="V44" s="30">
        <f t="shared" si="2"/>
        <v>0</v>
      </c>
      <c r="W44" s="30">
        <f t="shared" si="3"/>
        <v>0</v>
      </c>
      <c r="X44" s="30">
        <f t="shared" si="6"/>
        <v>0</v>
      </c>
      <c r="Y44" s="30">
        <f t="shared" si="7"/>
        <v>0</v>
      </c>
      <c r="Z44" s="30"/>
    </row>
    <row r="45" spans="2:26">
      <c r="B45" t="s">
        <v>87</v>
      </c>
      <c r="C45" t="s">
        <v>86</v>
      </c>
      <c r="F45" s="26">
        <f t="shared" si="0"/>
        <v>0</v>
      </c>
      <c r="I45" s="26">
        <f t="shared" si="1"/>
        <v>0</v>
      </c>
      <c r="V45" s="30">
        <f t="shared" si="2"/>
        <v>0</v>
      </c>
      <c r="W45" s="30">
        <f t="shared" si="3"/>
        <v>0</v>
      </c>
      <c r="X45" s="30">
        <f t="shared" si="6"/>
        <v>0</v>
      </c>
      <c r="Y45" s="30">
        <f t="shared" si="7"/>
        <v>0</v>
      </c>
      <c r="Z45" s="30"/>
    </row>
    <row r="46" spans="2:26">
      <c r="B46" t="s">
        <v>89</v>
      </c>
      <c r="C46" t="s">
        <v>88</v>
      </c>
      <c r="F46" s="26">
        <f t="shared" si="0"/>
        <v>0</v>
      </c>
      <c r="I46" s="26">
        <f t="shared" si="1"/>
        <v>0</v>
      </c>
      <c r="V46" s="30">
        <f t="shared" si="2"/>
        <v>0</v>
      </c>
      <c r="W46" s="30">
        <f t="shared" si="3"/>
        <v>0</v>
      </c>
      <c r="X46" s="30">
        <f t="shared" si="6"/>
        <v>0</v>
      </c>
      <c r="Y46" s="30">
        <f t="shared" si="7"/>
        <v>0</v>
      </c>
      <c r="Z46" s="30"/>
    </row>
    <row r="47" spans="2:26">
      <c r="B47" t="s">
        <v>91</v>
      </c>
      <c r="C47" t="s">
        <v>90</v>
      </c>
      <c r="F47" s="26">
        <f t="shared" si="0"/>
        <v>0</v>
      </c>
      <c r="I47" s="26">
        <f t="shared" si="1"/>
        <v>0</v>
      </c>
      <c r="V47" s="30">
        <f t="shared" si="2"/>
        <v>0</v>
      </c>
      <c r="W47" s="30">
        <f t="shared" si="3"/>
        <v>0</v>
      </c>
      <c r="X47" s="30">
        <f t="shared" si="6"/>
        <v>0</v>
      </c>
      <c r="Y47" s="30">
        <f t="shared" si="7"/>
        <v>0</v>
      </c>
      <c r="Z47" s="30"/>
    </row>
    <row r="48" spans="2:26">
      <c r="B48" t="s">
        <v>93</v>
      </c>
      <c r="C48" t="s">
        <v>92</v>
      </c>
      <c r="F48" s="26">
        <f t="shared" si="0"/>
        <v>0</v>
      </c>
      <c r="I48" s="26">
        <f t="shared" si="1"/>
        <v>0</v>
      </c>
      <c r="V48" s="30">
        <f t="shared" si="2"/>
        <v>0</v>
      </c>
      <c r="W48" s="30">
        <f t="shared" si="3"/>
        <v>0</v>
      </c>
      <c r="X48" s="30">
        <f t="shared" si="6"/>
        <v>0</v>
      </c>
      <c r="Y48" s="30">
        <f t="shared" si="7"/>
        <v>0</v>
      </c>
      <c r="Z48" s="30"/>
    </row>
    <row r="49" spans="2:26">
      <c r="B49" t="s">
        <v>95</v>
      </c>
      <c r="C49" t="s">
        <v>94</v>
      </c>
      <c r="F49" s="26">
        <f t="shared" si="0"/>
        <v>0</v>
      </c>
      <c r="I49" s="26">
        <f t="shared" si="1"/>
        <v>0</v>
      </c>
      <c r="V49" s="30">
        <f t="shared" si="2"/>
        <v>0</v>
      </c>
      <c r="W49" s="30">
        <f t="shared" si="3"/>
        <v>0</v>
      </c>
      <c r="X49" s="30">
        <f t="shared" si="6"/>
        <v>0</v>
      </c>
      <c r="Y49" s="30">
        <f t="shared" si="7"/>
        <v>0</v>
      </c>
      <c r="Z49" s="30"/>
    </row>
    <row r="50" spans="2:26">
      <c r="B50" t="s">
        <v>97</v>
      </c>
      <c r="C50" t="s">
        <v>96</v>
      </c>
      <c r="F50" s="26">
        <f t="shared" si="0"/>
        <v>0</v>
      </c>
      <c r="I50" s="26">
        <f t="shared" si="1"/>
        <v>0</v>
      </c>
      <c r="V50" s="30">
        <f t="shared" si="2"/>
        <v>0</v>
      </c>
      <c r="W50" s="30">
        <f t="shared" si="3"/>
        <v>0</v>
      </c>
      <c r="X50" s="30">
        <f t="shared" si="6"/>
        <v>0</v>
      </c>
      <c r="Y50" s="30">
        <f t="shared" si="7"/>
        <v>0</v>
      </c>
      <c r="Z50" s="30"/>
    </row>
    <row r="51" spans="2:26">
      <c r="B51" t="s">
        <v>99</v>
      </c>
      <c r="C51" t="s">
        <v>98</v>
      </c>
      <c r="F51" s="26">
        <f t="shared" si="0"/>
        <v>0</v>
      </c>
      <c r="I51" s="26">
        <f t="shared" si="1"/>
        <v>0</v>
      </c>
      <c r="V51" s="30">
        <f t="shared" si="2"/>
        <v>0</v>
      </c>
      <c r="W51" s="30">
        <f t="shared" si="3"/>
        <v>0</v>
      </c>
      <c r="X51" s="30">
        <f t="shared" si="6"/>
        <v>0</v>
      </c>
      <c r="Y51" s="30">
        <f t="shared" si="7"/>
        <v>0</v>
      </c>
      <c r="Z51" s="30"/>
    </row>
    <row r="53" spans="2:26">
      <c r="B53" s="3" t="s">
        <v>107</v>
      </c>
    </row>
    <row r="54" spans="2:26">
      <c r="B54" t="s">
        <v>108</v>
      </c>
    </row>
    <row r="55" spans="2:26">
      <c r="B55" t="s">
        <v>109</v>
      </c>
    </row>
  </sheetData>
  <mergeCells count="4">
    <mergeCell ref="N2:Q2"/>
    <mergeCell ref="R2:U2"/>
    <mergeCell ref="V2:Z2"/>
    <mergeCell ref="L3:M3"/>
  </mergeCells>
  <hyperlinks>
    <hyperlink ref="B4" r:id="rId1" xr:uid="{2E79FB73-917C-6543-9278-B3E3D0F6BA7C}"/>
    <hyperlink ref="B5" r:id="rId2" xr:uid="{945A5E72-778B-374F-BBF8-270F3A74FEFE}"/>
    <hyperlink ref="B6" r:id="rId3" xr:uid="{F14FD1D3-CC28-C44A-8469-F874D5B4F019}"/>
    <hyperlink ref="B7" r:id="rId4" xr:uid="{485EDC3D-8CDD-9A4A-859A-1FBE4336A8DD}"/>
    <hyperlink ref="B12" r:id="rId5" xr:uid="{2D473889-10ED-DF4E-AB13-240229085C90}"/>
    <hyperlink ref="B11" r:id="rId6" xr:uid="{09E0CE49-0822-F54F-A263-91A11ECA23AB}"/>
    <hyperlink ref="B25" r:id="rId7" xr:uid="{D1E1A1BC-9A17-364A-B132-A28065C48191}"/>
    <hyperlink ref="B8" r:id="rId8" xr:uid="{6B0FA4FB-9354-6346-86C8-259F2A6E195F}"/>
    <hyperlink ref="B9" r:id="rId9" xr:uid="{79452600-6F32-024F-962C-8C819D5038E1}"/>
    <hyperlink ref="B10" r:id="rId10" xr:uid="{404D6ACF-403E-B641-B7C4-54E0941A0B2C}"/>
    <hyperlink ref="B13" r:id="rId11" xr:uid="{FB21845C-6D47-3B48-9B5A-0ECBB5ECE0A7}"/>
    <hyperlink ref="B14" r:id="rId12" xr:uid="{AB5123A2-7C1F-4540-B771-BFDC2AF75051}"/>
  </hyperlinks>
  <pageMargins left="0.7" right="0.7" top="0.75" bottom="0.75" header="0.3" footer="0.3"/>
  <ignoredErrors>
    <ignoredError sqref="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CF75-25F5-104A-8B28-B38A573E4167}">
  <dimension ref="A1:H29"/>
  <sheetViews>
    <sheetView zoomScale="244" workbookViewId="0">
      <selection activeCell="C6" sqref="C6"/>
    </sheetView>
  </sheetViews>
  <sheetFormatPr baseColWidth="10" defaultRowHeight="13"/>
  <cols>
    <col min="1" max="1" width="10.5" bestFit="1" customWidth="1"/>
    <col min="2" max="2" width="13.83203125" bestFit="1" customWidth="1"/>
    <col min="3" max="3" width="35.83203125" bestFit="1" customWidth="1"/>
    <col min="4" max="4" width="16" bestFit="1" customWidth="1"/>
    <col min="5" max="5" width="12.5" bestFit="1" customWidth="1"/>
    <col min="6" max="6" width="25.1640625" bestFit="1" customWidth="1"/>
    <col min="7" max="7" width="15.33203125" bestFit="1" customWidth="1"/>
  </cols>
  <sheetData>
    <row r="1" spans="1:8">
      <c r="A1" s="18" t="s">
        <v>118</v>
      </c>
      <c r="B1" s="19" t="s">
        <v>119</v>
      </c>
      <c r="C1" s="18" t="s">
        <v>120</v>
      </c>
      <c r="D1" s="20" t="s">
        <v>121</v>
      </c>
      <c r="E1" s="20" t="s">
        <v>122</v>
      </c>
      <c r="F1" s="20" t="s">
        <v>123</v>
      </c>
      <c r="G1" s="21" t="s">
        <v>124</v>
      </c>
      <c r="H1" s="18" t="s">
        <v>125</v>
      </c>
    </row>
    <row r="2" spans="1:8" ht="14">
      <c r="A2" s="13" t="s">
        <v>12</v>
      </c>
      <c r="B2" s="14" t="s">
        <v>126</v>
      </c>
      <c r="C2" s="13" t="s">
        <v>127</v>
      </c>
      <c r="D2" s="15">
        <v>469</v>
      </c>
      <c r="E2" s="16">
        <v>360.05</v>
      </c>
      <c r="F2" s="15">
        <v>168863.45</v>
      </c>
      <c r="G2" s="17">
        <v>5.7099999999999998E-2</v>
      </c>
      <c r="H2" s="16" t="s">
        <v>114</v>
      </c>
    </row>
    <row r="3" spans="1:8" ht="14">
      <c r="A3" s="13" t="s">
        <v>10</v>
      </c>
      <c r="B3" s="14" t="s">
        <v>128</v>
      </c>
      <c r="C3" s="13" t="s">
        <v>129</v>
      </c>
      <c r="D3" s="15">
        <v>319</v>
      </c>
      <c r="E3" s="16">
        <v>506.83</v>
      </c>
      <c r="F3" s="15">
        <v>161678.76999999999</v>
      </c>
      <c r="G3" s="17">
        <v>5.4699999999999999E-2</v>
      </c>
      <c r="H3" s="16" t="s">
        <v>114</v>
      </c>
    </row>
    <row r="4" spans="1:8" ht="14">
      <c r="A4" s="13" t="s">
        <v>4</v>
      </c>
      <c r="B4" s="14" t="s">
        <v>130</v>
      </c>
      <c r="C4" s="13" t="s">
        <v>131</v>
      </c>
      <c r="D4" s="15">
        <v>53</v>
      </c>
      <c r="E4" s="16">
        <v>2965.69</v>
      </c>
      <c r="F4" s="15">
        <v>157181.57</v>
      </c>
      <c r="G4" s="17">
        <v>5.3199999999999997E-2</v>
      </c>
      <c r="H4" s="16" t="s">
        <v>114</v>
      </c>
    </row>
    <row r="5" spans="1:8" ht="14">
      <c r="A5" s="13" t="s">
        <v>16</v>
      </c>
      <c r="B5" s="14" t="s">
        <v>132</v>
      </c>
      <c r="C5" s="13" t="s">
        <v>133</v>
      </c>
      <c r="D5" s="15">
        <v>2350</v>
      </c>
      <c r="E5" s="16">
        <v>63.69</v>
      </c>
      <c r="F5" s="15">
        <v>149671.5</v>
      </c>
      <c r="G5" s="17">
        <v>5.0599999999999999E-2</v>
      </c>
      <c r="H5" s="16" t="s">
        <v>114</v>
      </c>
    </row>
    <row r="6" spans="1:8" ht="14">
      <c r="A6" s="13" t="s">
        <v>22</v>
      </c>
      <c r="B6" s="14" t="s">
        <v>134</v>
      </c>
      <c r="C6" s="13" t="s">
        <v>135</v>
      </c>
      <c r="D6" s="15">
        <v>13383</v>
      </c>
      <c r="E6" s="16">
        <v>11.15</v>
      </c>
      <c r="F6" s="15">
        <v>149220.45000000001</v>
      </c>
      <c r="G6" s="17">
        <v>5.0500000000000003E-2</v>
      </c>
      <c r="H6" s="16" t="s">
        <v>136</v>
      </c>
    </row>
    <row r="7" spans="1:8" ht="14">
      <c r="A7" s="13" t="s">
        <v>30</v>
      </c>
      <c r="B7" s="14" t="s">
        <v>137</v>
      </c>
      <c r="C7" s="13" t="s">
        <v>138</v>
      </c>
      <c r="D7" s="15">
        <v>3131</v>
      </c>
      <c r="E7" s="16">
        <v>47.18</v>
      </c>
      <c r="F7" s="15">
        <v>147720.57999999999</v>
      </c>
      <c r="G7" s="17">
        <v>0.05</v>
      </c>
      <c r="H7" s="16" t="s">
        <v>114</v>
      </c>
    </row>
    <row r="8" spans="1:8" ht="14">
      <c r="A8" s="13" t="s">
        <v>28</v>
      </c>
      <c r="B8" s="14" t="s">
        <v>139</v>
      </c>
      <c r="C8" s="13" t="s">
        <v>140</v>
      </c>
      <c r="D8" s="15">
        <v>4210</v>
      </c>
      <c r="E8" s="16">
        <v>32.74</v>
      </c>
      <c r="F8" s="15">
        <v>137835.4</v>
      </c>
      <c r="G8" s="17">
        <v>4.6600000000000003E-2</v>
      </c>
      <c r="H8" s="16" t="s">
        <v>114</v>
      </c>
    </row>
    <row r="9" spans="1:8" ht="14">
      <c r="A9" s="13" t="s">
        <v>6</v>
      </c>
      <c r="B9" s="14" t="s">
        <v>141</v>
      </c>
      <c r="C9" s="13" t="s">
        <v>142</v>
      </c>
      <c r="D9" s="15">
        <v>986</v>
      </c>
      <c r="E9" s="16">
        <v>137.94999999999999</v>
      </c>
      <c r="F9" s="15">
        <v>136018.70000000001</v>
      </c>
      <c r="G9" s="17">
        <v>4.5999999999999999E-2</v>
      </c>
      <c r="H9" s="16" t="s">
        <v>114</v>
      </c>
    </row>
    <row r="10" spans="1:8" ht="14">
      <c r="A10" s="13" t="s">
        <v>54</v>
      </c>
      <c r="B10" s="14" t="s">
        <v>143</v>
      </c>
      <c r="C10" s="13" t="s">
        <v>144</v>
      </c>
      <c r="D10" s="15">
        <v>3109</v>
      </c>
      <c r="E10" s="16">
        <v>43.51</v>
      </c>
      <c r="F10" s="15">
        <v>135272.59</v>
      </c>
      <c r="G10" s="17">
        <v>4.58E-2</v>
      </c>
      <c r="H10" s="16" t="s">
        <v>114</v>
      </c>
    </row>
    <row r="11" spans="1:8" ht="14">
      <c r="A11" s="13" t="s">
        <v>145</v>
      </c>
      <c r="B11" s="14" t="s">
        <v>146</v>
      </c>
      <c r="C11" s="13" t="s">
        <v>147</v>
      </c>
      <c r="D11" s="15">
        <v>2580</v>
      </c>
      <c r="E11" s="16">
        <v>51.64</v>
      </c>
      <c r="F11" s="15">
        <v>133231.20000000001</v>
      </c>
      <c r="G11" s="17">
        <v>4.5100000000000001E-2</v>
      </c>
      <c r="H11" s="16" t="s">
        <v>114</v>
      </c>
    </row>
    <row r="12" spans="1:8" ht="14">
      <c r="A12" s="13" t="s">
        <v>52</v>
      </c>
      <c r="B12" s="14" t="s">
        <v>148</v>
      </c>
      <c r="C12" s="13" t="s">
        <v>149</v>
      </c>
      <c r="D12" s="15">
        <v>10000</v>
      </c>
      <c r="E12" s="16">
        <v>13.16</v>
      </c>
      <c r="F12" s="15">
        <v>131600</v>
      </c>
      <c r="G12" s="17">
        <v>4.4499999999999998E-2</v>
      </c>
      <c r="H12" s="16" t="s">
        <v>114</v>
      </c>
    </row>
    <row r="13" spans="1:8" ht="14">
      <c r="A13" s="13" t="s">
        <v>150</v>
      </c>
      <c r="B13" s="14" t="s">
        <v>151</v>
      </c>
      <c r="C13" s="13" t="s">
        <v>152</v>
      </c>
      <c r="D13" s="15">
        <v>1700</v>
      </c>
      <c r="E13" s="16">
        <v>72.48</v>
      </c>
      <c r="F13" s="15">
        <v>123216</v>
      </c>
      <c r="G13" s="17">
        <v>4.1700000000000001E-2</v>
      </c>
      <c r="H13" s="16" t="s">
        <v>136</v>
      </c>
    </row>
    <row r="14" spans="1:8" ht="14">
      <c r="A14" s="13" t="s">
        <v>153</v>
      </c>
      <c r="B14" s="14" t="s">
        <v>154</v>
      </c>
      <c r="C14" s="13" t="s">
        <v>155</v>
      </c>
      <c r="D14" s="15">
        <v>390</v>
      </c>
      <c r="E14" s="16">
        <v>312.33</v>
      </c>
      <c r="F14" s="15">
        <v>121808.7</v>
      </c>
      <c r="G14" s="17">
        <v>4.1200000000000001E-2</v>
      </c>
      <c r="H14" s="16" t="s">
        <v>114</v>
      </c>
    </row>
    <row r="15" spans="1:8" ht="14">
      <c r="A15" s="13" t="s">
        <v>8</v>
      </c>
      <c r="B15" s="14" t="s">
        <v>156</v>
      </c>
      <c r="C15" s="13" t="s">
        <v>157</v>
      </c>
      <c r="D15" s="15">
        <v>699</v>
      </c>
      <c r="E15" s="16">
        <v>155.9</v>
      </c>
      <c r="F15" s="15">
        <v>108974.1</v>
      </c>
      <c r="G15" s="17">
        <v>3.6900000000000002E-2</v>
      </c>
      <c r="H15" s="16" t="s">
        <v>114</v>
      </c>
    </row>
    <row r="16" spans="1:8" ht="14">
      <c r="A16" s="13" t="s">
        <v>0</v>
      </c>
      <c r="B16" s="14" t="s">
        <v>158</v>
      </c>
      <c r="C16" s="13" t="s">
        <v>159</v>
      </c>
      <c r="D16" s="15">
        <v>396</v>
      </c>
      <c r="E16" s="16">
        <v>268.67</v>
      </c>
      <c r="F16" s="15">
        <v>106393.32</v>
      </c>
      <c r="G16" s="17">
        <v>3.5999999999999997E-2</v>
      </c>
      <c r="H16" s="16" t="s">
        <v>114</v>
      </c>
    </row>
    <row r="17" spans="1:8" ht="14">
      <c r="A17" s="13" t="s">
        <v>160</v>
      </c>
      <c r="B17" s="14" t="s">
        <v>161</v>
      </c>
      <c r="C17" s="13" t="s">
        <v>162</v>
      </c>
      <c r="D17" s="15">
        <v>3270</v>
      </c>
      <c r="E17" s="16">
        <v>31.9</v>
      </c>
      <c r="F17" s="15">
        <v>104313</v>
      </c>
      <c r="G17" s="17">
        <v>3.5299999999999998E-2</v>
      </c>
      <c r="H17" s="16" t="s">
        <v>114</v>
      </c>
    </row>
    <row r="18" spans="1:8" ht="14">
      <c r="A18" s="13" t="s">
        <v>14</v>
      </c>
      <c r="B18" s="14" t="s">
        <v>163</v>
      </c>
      <c r="C18" s="13" t="s">
        <v>164</v>
      </c>
      <c r="D18" s="15">
        <v>641</v>
      </c>
      <c r="E18" s="16">
        <v>149.41</v>
      </c>
      <c r="F18" s="15">
        <v>95771.81</v>
      </c>
      <c r="G18" s="17">
        <v>3.2399999999999998E-2</v>
      </c>
      <c r="H18" s="16" t="s">
        <v>114</v>
      </c>
    </row>
    <row r="19" spans="1:8" ht="14">
      <c r="A19" s="13" t="s">
        <v>20</v>
      </c>
      <c r="B19" s="14" t="s">
        <v>165</v>
      </c>
      <c r="C19" s="13" t="s">
        <v>166</v>
      </c>
      <c r="D19" s="15">
        <v>958</v>
      </c>
      <c r="E19" s="16">
        <v>98.68</v>
      </c>
      <c r="F19" s="15">
        <v>94535.44</v>
      </c>
      <c r="G19" s="17">
        <v>3.2000000000000001E-2</v>
      </c>
      <c r="H19" s="16" t="s">
        <v>114</v>
      </c>
    </row>
    <row r="20" spans="1:8" ht="14">
      <c r="A20" s="13" t="s">
        <v>167</v>
      </c>
      <c r="B20" s="14" t="s">
        <v>168</v>
      </c>
      <c r="C20" s="13" t="s">
        <v>169</v>
      </c>
      <c r="D20" s="15">
        <v>1442</v>
      </c>
      <c r="E20" s="16">
        <v>61.11</v>
      </c>
      <c r="F20" s="15">
        <v>88120.62</v>
      </c>
      <c r="G20" s="17">
        <v>2.98E-2</v>
      </c>
      <c r="H20" s="16" t="s">
        <v>114</v>
      </c>
    </row>
    <row r="21" spans="1:8" ht="14">
      <c r="A21" s="13" t="s">
        <v>26</v>
      </c>
      <c r="B21" s="14" t="s">
        <v>170</v>
      </c>
      <c r="C21" s="13" t="s">
        <v>171</v>
      </c>
      <c r="D21" s="15">
        <v>3204</v>
      </c>
      <c r="E21" s="16">
        <v>27.21</v>
      </c>
      <c r="F21" s="15">
        <v>87180.84</v>
      </c>
      <c r="G21" s="17">
        <v>2.9499999999999998E-2</v>
      </c>
      <c r="H21" s="16" t="s">
        <v>114</v>
      </c>
    </row>
    <row r="22" spans="1:8" ht="14">
      <c r="A22" s="13" t="s">
        <v>68</v>
      </c>
      <c r="B22" s="14" t="s">
        <v>172</v>
      </c>
      <c r="C22" s="13" t="s">
        <v>173</v>
      </c>
      <c r="D22" s="15">
        <v>9508</v>
      </c>
      <c r="E22" s="16">
        <v>9.0500000000000007</v>
      </c>
      <c r="F22" s="15">
        <v>86047.4</v>
      </c>
      <c r="G22" s="17">
        <v>2.9100000000000001E-2</v>
      </c>
      <c r="H22" s="16" t="s">
        <v>114</v>
      </c>
    </row>
    <row r="23" spans="1:8" ht="14">
      <c r="A23" s="13" t="s">
        <v>56</v>
      </c>
      <c r="B23" s="14" t="s">
        <v>174</v>
      </c>
      <c r="C23" s="13" t="s">
        <v>175</v>
      </c>
      <c r="D23" s="15">
        <v>2505</v>
      </c>
      <c r="E23" s="16">
        <v>31.39</v>
      </c>
      <c r="F23" s="15">
        <v>78631.95</v>
      </c>
      <c r="G23" s="17">
        <v>2.6599999999999999E-2</v>
      </c>
      <c r="H23" s="16" t="s">
        <v>114</v>
      </c>
    </row>
    <row r="24" spans="1:8" ht="14">
      <c r="A24" s="13" t="s">
        <v>2</v>
      </c>
      <c r="B24" s="14" t="s">
        <v>176</v>
      </c>
      <c r="C24" s="13" t="s">
        <v>177</v>
      </c>
      <c r="D24" s="15">
        <v>901</v>
      </c>
      <c r="E24" s="16">
        <v>85.95</v>
      </c>
      <c r="F24" s="15">
        <v>77440.95</v>
      </c>
      <c r="G24" s="17">
        <v>2.6200000000000001E-2</v>
      </c>
      <c r="H24" s="16" t="s">
        <v>114</v>
      </c>
    </row>
    <row r="25" spans="1:8" ht="14">
      <c r="A25" s="13" t="s">
        <v>36</v>
      </c>
      <c r="B25" s="14" t="s">
        <v>178</v>
      </c>
      <c r="C25" s="13" t="s">
        <v>179</v>
      </c>
      <c r="D25" s="15">
        <v>1129</v>
      </c>
      <c r="E25" s="16">
        <v>61.07</v>
      </c>
      <c r="F25" s="15">
        <v>68948.03</v>
      </c>
      <c r="G25" s="17">
        <v>2.3300000000000001E-2</v>
      </c>
      <c r="H25" s="16" t="s">
        <v>114</v>
      </c>
    </row>
    <row r="26" spans="1:8" ht="14">
      <c r="A26" s="13" t="s">
        <v>50</v>
      </c>
      <c r="B26" s="14" t="s">
        <v>180</v>
      </c>
      <c r="C26" s="13" t="s">
        <v>181</v>
      </c>
      <c r="D26" s="15">
        <v>1307</v>
      </c>
      <c r="E26" s="16">
        <v>33.909999999999997</v>
      </c>
      <c r="F26" s="15">
        <v>44320.37</v>
      </c>
      <c r="G26" s="17">
        <v>1.4999999999999999E-2</v>
      </c>
      <c r="H26" s="16" t="s">
        <v>114</v>
      </c>
    </row>
    <row r="27" spans="1:8" ht="14">
      <c r="A27" s="13" t="s">
        <v>66</v>
      </c>
      <c r="B27" s="14" t="s">
        <v>182</v>
      </c>
      <c r="C27" s="13" t="s">
        <v>183</v>
      </c>
      <c r="D27" s="15">
        <v>4100</v>
      </c>
      <c r="E27" s="16">
        <v>10.67</v>
      </c>
      <c r="F27" s="15">
        <v>43747</v>
      </c>
      <c r="G27" s="17">
        <v>1.4800000000000001E-2</v>
      </c>
      <c r="H27" s="16" t="s">
        <v>114</v>
      </c>
    </row>
    <row r="28" spans="1:8" ht="14">
      <c r="A28" s="13"/>
      <c r="B28" s="14" t="s">
        <v>184</v>
      </c>
      <c r="C28" s="13" t="s">
        <v>185</v>
      </c>
      <c r="D28" s="15">
        <v>71493.8</v>
      </c>
      <c r="E28" s="16">
        <v>1</v>
      </c>
      <c r="F28" s="15">
        <v>71493.8</v>
      </c>
      <c r="G28" s="17">
        <v>2.4199999999999999E-2</v>
      </c>
      <c r="H28" s="16" t="s">
        <v>186</v>
      </c>
    </row>
    <row r="29" spans="1:8" ht="14">
      <c r="A29" s="13" t="s">
        <v>187</v>
      </c>
      <c r="B29" s="13"/>
      <c r="C29" s="13" t="s">
        <v>188</v>
      </c>
      <c r="D29" s="15">
        <v>-53172.02</v>
      </c>
      <c r="E29" s="16">
        <v>100</v>
      </c>
      <c r="F29" s="15">
        <v>-53172.02</v>
      </c>
      <c r="G29" s="17">
        <v>-1.7999999999999999E-2</v>
      </c>
      <c r="H29" s="1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2024-02-15T03:10:14Z</dcterms:created>
  <dcterms:modified xsi:type="dcterms:W3CDTF">2024-05-26T08:40:27Z</dcterms:modified>
</cp:coreProperties>
</file>