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1FA5846-53BD-2F43-B052-B780F42270D9}" xr6:coauthVersionLast="47" xr6:coauthVersionMax="47" xr10:uidLastSave="{00000000-0000-0000-0000-000000000000}"/>
  <bookViews>
    <workbookView xWindow="51740" yWindow="1500" windowWidth="33540" windowHeight="24320" activeTab="1" xr2:uid="{A3B08A1F-1CC9-5042-8389-99D1D3DAFAFB}"/>
  </bookViews>
  <sheets>
    <sheet name="cmg baseline model" sheetId="3" r:id="rId1"/>
    <sheet name="main" sheetId="1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2" l="1"/>
  <c r="AI7" i="2"/>
  <c r="AH7" i="2"/>
  <c r="AG7" i="2"/>
  <c r="AF7" i="2"/>
  <c r="AE7" i="2"/>
  <c r="AD7" i="2"/>
  <c r="AC7" i="2"/>
  <c r="AB7" i="2"/>
  <c r="AB4" i="2"/>
  <c r="AC4" i="2" s="1"/>
  <c r="AD4" i="2" s="1"/>
  <c r="AE4" i="2" s="1"/>
  <c r="AF4" i="2" s="1"/>
  <c r="AG4" i="2" s="1"/>
  <c r="AH4" i="2" s="1"/>
  <c r="AI4" i="2" s="1"/>
  <c r="AJ4" i="2" s="1"/>
  <c r="AA7" i="2"/>
  <c r="AA4" i="2"/>
  <c r="Z5" i="2"/>
  <c r="AC3" i="2"/>
  <c r="AD3" i="2" s="1"/>
  <c r="AE3" i="2" s="1"/>
  <c r="AF3" i="2" s="1"/>
  <c r="AG3" i="2" s="1"/>
  <c r="AH3" i="2" s="1"/>
  <c r="AI3" i="2" s="1"/>
  <c r="AJ3" i="2" s="1"/>
  <c r="AB3" i="2"/>
  <c r="AA3" i="2"/>
  <c r="AN35" i="2"/>
  <c r="O104" i="2" l="1"/>
  <c r="O103" i="2"/>
  <c r="O102" i="2"/>
  <c r="O100" i="2"/>
  <c r="O95" i="2"/>
  <c r="O90" i="2"/>
  <c r="AN32" i="2"/>
  <c r="AN28" i="2"/>
  <c r="IB2" i="2"/>
  <c r="HY2" i="2"/>
  <c r="HZ2" i="2" s="1"/>
  <c r="IA2" i="2" s="1"/>
  <c r="HV2" i="2"/>
  <c r="HW2" i="2" s="1"/>
  <c r="HX2" i="2" s="1"/>
  <c r="HP2" i="2"/>
  <c r="HQ2" i="2" s="1"/>
  <c r="HR2" i="2" s="1"/>
  <c r="HS2" i="2" s="1"/>
  <c r="HT2" i="2" s="1"/>
  <c r="HU2" i="2" s="1"/>
  <c r="HO2" i="2"/>
  <c r="HN2" i="2"/>
  <c r="HA2" i="2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GZ2" i="2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FQ2" i="2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EV2" i="2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DW2" i="2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CZ2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AK2" i="2"/>
  <c r="AB22" i="2"/>
  <c r="AC22" i="2" s="1"/>
  <c r="AD22" i="2" s="1"/>
  <c r="AE22" i="2" s="1"/>
  <c r="AF22" i="2" s="1"/>
  <c r="AG22" i="2" s="1"/>
  <c r="AH22" i="2" s="1"/>
  <c r="AI22" i="2" s="1"/>
  <c r="AJ22" i="2" s="1"/>
  <c r="AA22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W36" i="2"/>
  <c r="W35" i="2"/>
  <c r="W34" i="2"/>
  <c r="W33" i="2"/>
  <c r="W32" i="2"/>
  <c r="W31" i="2"/>
  <c r="W30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C36" i="2"/>
  <c r="C35" i="2"/>
  <c r="C34" i="2"/>
  <c r="C33" i="2"/>
  <c r="C32" i="2"/>
  <c r="C31" i="2"/>
  <c r="C30" i="2"/>
  <c r="AA12" i="2"/>
  <c r="AA34" i="2" s="1"/>
  <c r="AA14" i="2" l="1"/>
  <c r="AA36" i="2" s="1"/>
  <c r="AA9" i="2"/>
  <c r="AA31" i="2" s="1"/>
  <c r="AA10" i="2"/>
  <c r="AA32" i="2" s="1"/>
  <c r="AA11" i="2"/>
  <c r="AA33" i="2" s="1"/>
  <c r="AA8" i="2"/>
  <c r="AA30" i="2" s="1"/>
  <c r="AA13" i="2"/>
  <c r="AA35" i="2" s="1"/>
  <c r="AA26" i="2"/>
  <c r="AA15" i="2" l="1"/>
  <c r="AA17" i="2" s="1"/>
  <c r="AB8" i="2"/>
  <c r="AB30" i="2" s="1"/>
  <c r="AB26" i="2"/>
  <c r="AB11" i="2"/>
  <c r="AB33" i="2" s="1"/>
  <c r="AB9" i="2"/>
  <c r="AB31" i="2" s="1"/>
  <c r="AB14" i="2"/>
  <c r="AB36" i="2" s="1"/>
  <c r="AB13" i="2"/>
  <c r="AB35" i="2" s="1"/>
  <c r="AB10" i="2"/>
  <c r="AB32" i="2" s="1"/>
  <c r="AB12" i="2"/>
  <c r="AB34" i="2" s="1"/>
  <c r="AA16" i="2" l="1"/>
  <c r="AA18" i="2"/>
  <c r="AB15" i="2"/>
  <c r="AC26" i="2"/>
  <c r="AC9" i="2"/>
  <c r="AC8" i="2"/>
  <c r="AC11" i="2"/>
  <c r="AC10" i="2"/>
  <c r="AC14" i="2"/>
  <c r="AC12" i="2"/>
  <c r="AC13" i="2"/>
  <c r="AB16" i="2" l="1"/>
  <c r="AA19" i="2"/>
  <c r="AA20" i="2" s="1"/>
  <c r="AA21" i="2" s="1"/>
  <c r="AB18" i="2"/>
  <c r="AC15" i="2"/>
  <c r="AB17" i="2"/>
  <c r="AD9" i="2"/>
  <c r="AC31" i="2"/>
  <c r="AD13" i="2"/>
  <c r="AC35" i="2"/>
  <c r="AD12" i="2"/>
  <c r="AC34" i="2"/>
  <c r="AD14" i="2"/>
  <c r="AC36" i="2"/>
  <c r="AD8" i="2"/>
  <c r="AC30" i="2"/>
  <c r="AD26" i="2"/>
  <c r="AD10" i="2"/>
  <c r="AC32" i="2"/>
  <c r="AD11" i="2"/>
  <c r="AC33" i="2"/>
  <c r="AA23" i="2" l="1"/>
  <c r="AN36" i="2"/>
  <c r="AC16" i="2"/>
  <c r="AC17" i="2"/>
  <c r="AC18" i="2"/>
  <c r="AC19" i="2" s="1"/>
  <c r="AB19" i="2"/>
  <c r="AB20" i="2" s="1"/>
  <c r="AB21" i="2" s="1"/>
  <c r="AE26" i="2"/>
  <c r="AE8" i="2"/>
  <c r="AD30" i="2"/>
  <c r="AE14" i="2"/>
  <c r="AD36" i="2"/>
  <c r="AE11" i="2"/>
  <c r="AD33" i="2"/>
  <c r="AE9" i="2"/>
  <c r="AD31" i="2"/>
  <c r="AE13" i="2"/>
  <c r="AD35" i="2"/>
  <c r="AE10" i="2"/>
  <c r="AD32" i="2"/>
  <c r="AE12" i="2"/>
  <c r="AD34" i="2"/>
  <c r="AD15" i="2"/>
  <c r="AD17" i="2" s="1"/>
  <c r="AB23" i="2" l="1"/>
  <c r="AN37" i="2"/>
  <c r="AD18" i="2"/>
  <c r="AF14" i="2"/>
  <c r="AE36" i="2"/>
  <c r="AF13" i="2"/>
  <c r="AE35" i="2"/>
  <c r="AF8" i="2"/>
  <c r="AE30" i="2"/>
  <c r="AF12" i="2"/>
  <c r="AE34" i="2"/>
  <c r="AF10" i="2"/>
  <c r="AE32" i="2"/>
  <c r="AD16" i="2"/>
  <c r="AD19" i="2"/>
  <c r="AF9" i="2"/>
  <c r="AE31" i="2"/>
  <c r="AE15" i="2"/>
  <c r="AE17" i="2" s="1"/>
  <c r="AC20" i="2"/>
  <c r="AC21" i="2" s="1"/>
  <c r="AF11" i="2"/>
  <c r="AE33" i="2"/>
  <c r="AF26" i="2"/>
  <c r="AF15" i="2" l="1"/>
  <c r="AF17" i="2" s="1"/>
  <c r="AD20" i="2"/>
  <c r="AD21" i="2" s="1"/>
  <c r="AD23" i="2" s="1"/>
  <c r="AG8" i="2"/>
  <c r="AF30" i="2"/>
  <c r="AG10" i="2"/>
  <c r="AF32" i="2"/>
  <c r="AG12" i="2"/>
  <c r="AF34" i="2"/>
  <c r="AG9" i="2"/>
  <c r="AF31" i="2"/>
  <c r="AG26" i="2"/>
  <c r="AG11" i="2"/>
  <c r="AF33" i="2"/>
  <c r="AG13" i="2"/>
  <c r="AF35" i="2"/>
  <c r="AC23" i="2"/>
  <c r="AG14" i="2"/>
  <c r="AF36" i="2"/>
  <c r="AE16" i="2"/>
  <c r="AE18" i="2"/>
  <c r="AF18" i="2" s="1"/>
  <c r="AF16" i="2" l="1"/>
  <c r="AG15" i="2"/>
  <c r="AG18" i="2" s="1"/>
  <c r="AF19" i="2"/>
  <c r="AG16" i="2"/>
  <c r="AG17" i="2"/>
  <c r="AH26" i="2"/>
  <c r="AH9" i="2"/>
  <c r="AG31" i="2"/>
  <c r="AH13" i="2"/>
  <c r="AG35" i="2"/>
  <c r="AH10" i="2"/>
  <c r="AG32" i="2"/>
  <c r="AH14" i="2"/>
  <c r="AG36" i="2"/>
  <c r="AH8" i="2"/>
  <c r="AG30" i="2"/>
  <c r="AE19" i="2"/>
  <c r="AH12" i="2"/>
  <c r="AG34" i="2"/>
  <c r="AH11" i="2"/>
  <c r="AG33" i="2"/>
  <c r="AG19" i="2" l="1"/>
  <c r="AI12" i="2"/>
  <c r="AH34" i="2"/>
  <c r="AI14" i="2"/>
  <c r="AH36" i="2"/>
  <c r="AI26" i="2"/>
  <c r="AH15" i="2"/>
  <c r="AH17" i="2" s="1"/>
  <c r="AI11" i="2"/>
  <c r="AH33" i="2"/>
  <c r="AI10" i="2"/>
  <c r="AH32" i="2"/>
  <c r="AE20" i="2"/>
  <c r="AF20" i="2" s="1"/>
  <c r="AF21" i="2" s="1"/>
  <c r="AF23" i="2" s="1"/>
  <c r="AI13" i="2"/>
  <c r="AH35" i="2"/>
  <c r="AI8" i="2"/>
  <c r="AH30" i="2"/>
  <c r="AI9" i="2"/>
  <c r="AH31" i="2"/>
  <c r="AH18" i="2" l="1"/>
  <c r="AJ9" i="2"/>
  <c r="AJ31" i="2" s="1"/>
  <c r="AI31" i="2"/>
  <c r="AJ8" i="2"/>
  <c r="AJ30" i="2" s="1"/>
  <c r="AI30" i="2"/>
  <c r="AJ14" i="2"/>
  <c r="AJ36" i="2" s="1"/>
  <c r="AI36" i="2"/>
  <c r="AJ26" i="2"/>
  <c r="AJ10" i="2"/>
  <c r="AJ32" i="2" s="1"/>
  <c r="AI32" i="2"/>
  <c r="AJ11" i="2"/>
  <c r="AJ33" i="2" s="1"/>
  <c r="AI33" i="2"/>
  <c r="AJ12" i="2"/>
  <c r="AJ34" i="2" s="1"/>
  <c r="AI34" i="2"/>
  <c r="AJ13" i="2"/>
  <c r="AJ35" i="2" s="1"/>
  <c r="AI35" i="2"/>
  <c r="AH16" i="2"/>
  <c r="AH19" i="2" s="1"/>
  <c r="AE21" i="2"/>
  <c r="AI15" i="2"/>
  <c r="AI18" i="2" s="1"/>
  <c r="AG20" i="2"/>
  <c r="AG21" i="2" s="1"/>
  <c r="AG23" i="2" s="1"/>
  <c r="AE23" i="2" l="1"/>
  <c r="AI16" i="2"/>
  <c r="AH20" i="2"/>
  <c r="AH21" i="2" s="1"/>
  <c r="AH23" i="2" s="1"/>
  <c r="AJ15" i="2"/>
  <c r="AJ16" i="2" s="1"/>
  <c r="AI17" i="2"/>
  <c r="AI19" i="2" s="1"/>
  <c r="AI20" i="2" l="1"/>
  <c r="AI21" i="2"/>
  <c r="AI23" i="2" s="1"/>
  <c r="AJ17" i="2"/>
  <c r="AJ18" i="2"/>
  <c r="AJ19" i="2" l="1"/>
  <c r="AJ20" i="2" s="1"/>
  <c r="AJ21" i="2" s="1"/>
  <c r="AJ23" i="2" s="1"/>
  <c r="AK21" i="2" l="1"/>
  <c r="AL21" i="2" s="1"/>
  <c r="AM21" i="2" s="1"/>
  <c r="AN21" i="2" s="1"/>
  <c r="AO21" i="2" s="1"/>
  <c r="AP21" i="2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AN27" i="2" s="1"/>
  <c r="AN29" i="2" s="1"/>
  <c r="AL24" i="2"/>
  <c r="O4" i="2" l="1"/>
  <c r="N20" i="2"/>
  <c r="N18" i="2"/>
  <c r="N17" i="2"/>
  <c r="N16" i="2"/>
  <c r="N14" i="2"/>
  <c r="N13" i="2"/>
  <c r="N12" i="2"/>
  <c r="N11" i="2"/>
  <c r="N10" i="2"/>
  <c r="N9" i="2"/>
  <c r="N8" i="2"/>
  <c r="N7" i="2"/>
  <c r="N26" i="2" s="1"/>
  <c r="N67" i="2"/>
  <c r="N54" i="2"/>
  <c r="O67" i="2"/>
  <c r="O54" i="2"/>
  <c r="O26" i="2"/>
  <c r="O15" i="2"/>
  <c r="O19" i="2" s="1"/>
  <c r="O21" i="2" s="1"/>
  <c r="O23" i="2" s="1"/>
  <c r="K7" i="1"/>
  <c r="M67" i="2"/>
  <c r="M54" i="2"/>
  <c r="M4" i="2"/>
  <c r="L4" i="2"/>
  <c r="K4" i="2"/>
  <c r="J4" i="2"/>
  <c r="I4" i="2"/>
  <c r="H4" i="2"/>
  <c r="G4" i="2"/>
  <c r="X20" i="2"/>
  <c r="X18" i="2"/>
  <c r="X17" i="2"/>
  <c r="X16" i="2"/>
  <c r="X14" i="2"/>
  <c r="X13" i="2"/>
  <c r="X12" i="2"/>
  <c r="X11" i="2"/>
  <c r="X10" i="2"/>
  <c r="X9" i="2"/>
  <c r="X8" i="2"/>
  <c r="X7" i="2"/>
  <c r="X26" i="2" s="1"/>
  <c r="C15" i="2"/>
  <c r="C19" i="2" s="1"/>
  <c r="C21" i="2" s="1"/>
  <c r="C23" i="2" s="1"/>
  <c r="G26" i="2"/>
  <c r="H26" i="2"/>
  <c r="I26" i="2"/>
  <c r="J26" i="2"/>
  <c r="D15" i="2"/>
  <c r="D19" i="2" s="1"/>
  <c r="D21" i="2" s="1"/>
  <c r="D23" i="2" s="1"/>
  <c r="E15" i="2"/>
  <c r="E19" i="2" s="1"/>
  <c r="E21" i="2" s="1"/>
  <c r="E23" i="2" s="1"/>
  <c r="F15" i="2"/>
  <c r="F19" i="2" s="1"/>
  <c r="F21" i="2" s="1"/>
  <c r="F23" i="2" s="1"/>
  <c r="Y20" i="2"/>
  <c r="Y18" i="2"/>
  <c r="Y17" i="2"/>
  <c r="Y16" i="2"/>
  <c r="Y14" i="2"/>
  <c r="Y13" i="2"/>
  <c r="Y12" i="2"/>
  <c r="Y11" i="2"/>
  <c r="Y10" i="2"/>
  <c r="Y9" i="2"/>
  <c r="Y8" i="2"/>
  <c r="Y7" i="2"/>
  <c r="Z26" i="2" s="1"/>
  <c r="J15" i="2"/>
  <c r="J19" i="2" s="1"/>
  <c r="J21" i="2" s="1"/>
  <c r="J23" i="2" s="1"/>
  <c r="Y3" i="2"/>
  <c r="W15" i="2"/>
  <c r="W19" i="2" s="1"/>
  <c r="W21" i="2" s="1"/>
  <c r="W23" i="2" s="1"/>
  <c r="G15" i="2"/>
  <c r="G19" i="2" s="1"/>
  <c r="G21" i="2" s="1"/>
  <c r="G23" i="2" s="1"/>
  <c r="K26" i="2"/>
  <c r="K15" i="2"/>
  <c r="K19" i="2" s="1"/>
  <c r="K21" i="2" s="1"/>
  <c r="K23" i="2" s="1"/>
  <c r="H15" i="2"/>
  <c r="H19" i="2" s="1"/>
  <c r="H21" i="2" s="1"/>
  <c r="H23" i="2" s="1"/>
  <c r="L26" i="2"/>
  <c r="L15" i="2"/>
  <c r="L19" i="2" s="1"/>
  <c r="L21" i="2" s="1"/>
  <c r="L23" i="2" s="1"/>
  <c r="M26" i="2"/>
  <c r="I15" i="2"/>
  <c r="I19" i="2" s="1"/>
  <c r="I21" i="2" s="1"/>
  <c r="I23" i="2" s="1"/>
  <c r="M15" i="2"/>
  <c r="M19" i="2" s="1"/>
  <c r="M21" i="2" s="1"/>
  <c r="M23" i="2" s="1"/>
  <c r="L9" i="1"/>
  <c r="L10" i="1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K8" i="1" l="1"/>
  <c r="K11" i="1" s="1"/>
  <c r="AN30" i="2"/>
  <c r="AN31" i="2" s="1"/>
  <c r="AN33" i="2" s="1"/>
  <c r="Y4" i="2"/>
  <c r="Z23" i="2"/>
  <c r="N23" i="2" s="1"/>
  <c r="N15" i="2"/>
  <c r="N19" i="2" s="1"/>
  <c r="N21" i="2" s="1"/>
  <c r="N22" i="2" s="1"/>
  <c r="Z21" i="2"/>
  <c r="Z3" i="2"/>
  <c r="Z15" i="2"/>
  <c r="X23" i="2"/>
  <c r="Z19" i="2"/>
  <c r="Y23" i="2"/>
  <c r="Y26" i="2"/>
  <c r="Y15" i="2"/>
  <c r="X4" i="2"/>
  <c r="X19" i="2"/>
  <c r="X21" i="2"/>
  <c r="Y19" i="2"/>
  <c r="X15" i="2"/>
  <c r="Y21" i="2"/>
  <c r="X22" i="2" l="1"/>
  <c r="N3" i="2"/>
  <c r="N4" i="2" s="1"/>
  <c r="Z4" i="2"/>
  <c r="Y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B29" authorId="0" shapeId="0" xr:uid="{52BA4BCD-127A-0744-944C-86FD2801058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B106" authorId="0" shapeId="0" xr:uid="{39B0225F-B35A-D645-8FFA-16B380AAEA2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tc={8FE9F761-C761-1A4C-83AE-DC11F65355CC}</author>
  </authors>
  <commentList>
    <comment ref="O7" authorId="0" shapeId="0" xr:uid="{8FE9F761-C761-1A4C-83AE-DC11F65355CC}">
      <text>
        <t>[Threaded comment]
Your version of Excel allows you to read this threaded comment; however, any edits to it will get removed if the file is opened in a newer version of Excel. Learn more: https://go.microsoft.com/fwlink/?linkid=870924
Comment:
    $21.1M due to 41 net new units.  $6.4M was result of SSS growth of 5% due to menu price increases that were implemented after Q123</t>
      </text>
    </comment>
  </commentList>
</comments>
</file>

<file path=xl/sharedStrings.xml><?xml version="1.0" encoding="utf-8"?>
<sst xmlns="http://schemas.openxmlformats.org/spreadsheetml/2006/main" count="216" uniqueCount="192">
  <si>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</si>
  <si>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</si>
  <si>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</si>
  <si>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</si>
  <si>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</si>
  <si>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</si>
  <si>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</si>
  <si>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</si>
  <si>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</si>
  <si>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</si>
  <si>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Q122</t>
  </si>
  <si>
    <t>Q222</t>
  </si>
  <si>
    <t>Q322</t>
  </si>
  <si>
    <t>Q422</t>
  </si>
  <si>
    <t>Revenue</t>
  </si>
  <si>
    <t>Food, Bev, Packaging</t>
  </si>
  <si>
    <t>Labor</t>
  </si>
  <si>
    <t>Occupancy</t>
  </si>
  <si>
    <t>Other</t>
  </si>
  <si>
    <t>G&amp;A</t>
  </si>
  <si>
    <t>D&amp;A</t>
  </si>
  <si>
    <t>Pre-opening</t>
  </si>
  <si>
    <t>Op Income</t>
  </si>
  <si>
    <t>Interest income</t>
  </si>
  <si>
    <t>Interest expense</t>
  </si>
  <si>
    <t>EBT</t>
  </si>
  <si>
    <t>Taxes</t>
  </si>
  <si>
    <t>Net Income</t>
  </si>
  <si>
    <t>Diluted</t>
  </si>
  <si>
    <t>Eps</t>
  </si>
  <si>
    <t xml:space="preserve">Revenue </t>
  </si>
  <si>
    <t>Q121</t>
  </si>
  <si>
    <t>Q221</t>
  </si>
  <si>
    <t>Q321</t>
  </si>
  <si>
    <t>Q421</t>
  </si>
  <si>
    <t xml:space="preserve">Net Units </t>
  </si>
  <si>
    <t>RPU</t>
  </si>
  <si>
    <t xml:space="preserve">Growth Analysis </t>
  </si>
  <si>
    <t xml:space="preserve">Cash </t>
  </si>
  <si>
    <t>A/R</t>
  </si>
  <si>
    <t>Inventory</t>
  </si>
  <si>
    <t>Prepaid Expenses</t>
  </si>
  <si>
    <t>Current lease</t>
  </si>
  <si>
    <t>OCA</t>
  </si>
  <si>
    <t>Op lease</t>
  </si>
  <si>
    <t>PPE</t>
  </si>
  <si>
    <t>Goodwill</t>
  </si>
  <si>
    <t>Intangibles</t>
  </si>
  <si>
    <t>Lease acq</t>
  </si>
  <si>
    <t>Security deposits</t>
  </si>
  <si>
    <t>OA</t>
  </si>
  <si>
    <t>Restricted cash</t>
  </si>
  <si>
    <t xml:space="preserve">Total Assets </t>
  </si>
  <si>
    <t>Total Liabilities + E</t>
  </si>
  <si>
    <t>Current op lease</t>
  </si>
  <si>
    <t>A/P</t>
  </si>
  <si>
    <t>Accrued Exp</t>
  </si>
  <si>
    <t>Accrued payroll</t>
  </si>
  <si>
    <t>Gifts cards</t>
  </si>
  <si>
    <t>Contingent cons</t>
  </si>
  <si>
    <t>ONCL</t>
  </si>
  <si>
    <t>Deferred i/t</t>
  </si>
  <si>
    <t>Equity</t>
  </si>
  <si>
    <t>Q124</t>
  </si>
  <si>
    <t>$K</t>
  </si>
  <si>
    <t>SSS</t>
  </si>
  <si>
    <t xml:space="preserve">Total Revenue </t>
  </si>
  <si>
    <t xml:space="preserve">Food, beverage, packaging </t>
  </si>
  <si>
    <t>Other op costs</t>
  </si>
  <si>
    <t>Pre-opening costs</t>
  </si>
  <si>
    <t xml:space="preserve">Net Income </t>
  </si>
  <si>
    <t>NPV</t>
  </si>
  <si>
    <t>Shares</t>
  </si>
  <si>
    <t>Current</t>
  </si>
  <si>
    <t>Term</t>
  </si>
  <si>
    <t>Disc</t>
  </si>
  <si>
    <t>NC</t>
  </si>
  <si>
    <t xml:space="preserve">Estimate </t>
  </si>
  <si>
    <t>Total Value</t>
  </si>
  <si>
    <t>Upside</t>
  </si>
  <si>
    <t>CEO</t>
  </si>
  <si>
    <t xml:space="preserve">Jonathan Newman </t>
  </si>
  <si>
    <t>Brand Officer</t>
  </si>
  <si>
    <t>Nicolas Jammet</t>
  </si>
  <si>
    <t>Concept Officer</t>
  </si>
  <si>
    <t>COO</t>
  </si>
  <si>
    <t>CFO</t>
  </si>
  <si>
    <t>CTO</t>
  </si>
  <si>
    <t>CPO</t>
  </si>
  <si>
    <t>Rossan Williams</t>
  </si>
  <si>
    <t>Wouleta Ayele</t>
  </si>
  <si>
    <t>Mitch Reback</t>
  </si>
  <si>
    <t>Adrienne Gemperle</t>
  </si>
  <si>
    <t>Nathaniel Ru</t>
  </si>
  <si>
    <t>Holders</t>
  </si>
  <si>
    <t>Baillie Gifford &amp; Co</t>
  </si>
  <si>
    <t>Vanguard Group</t>
  </si>
  <si>
    <t xml:space="preserve">BlackRock </t>
  </si>
  <si>
    <t>Invesco</t>
  </si>
  <si>
    <t>Spyglass Capital Management</t>
  </si>
  <si>
    <t>Radcliff Management</t>
  </si>
  <si>
    <t>State Street</t>
  </si>
  <si>
    <t xml:space="preserve">Geode Caital </t>
  </si>
  <si>
    <t>Contains</t>
  </si>
  <si>
    <t>Caramelized Garlic Steak offering</t>
  </si>
  <si>
    <t>modeled to mimic CMG --- this is best case scenario modeling</t>
  </si>
  <si>
    <t xml:space="preserve">CMG Ratios </t>
  </si>
  <si>
    <t>Q124 E</t>
  </si>
  <si>
    <t>Tests Carmelized steak in select locations</t>
  </si>
  <si>
    <t>Rossan Williams appointed to COO</t>
  </si>
  <si>
    <t>Debut in Seattle  |  The Village at Totem Lake in Kirkland</t>
  </si>
  <si>
    <t>Q3'23 E</t>
  </si>
  <si>
    <t xml:space="preserve">Menu innovation, miso salmon </t>
  </si>
  <si>
    <t xml:space="preserve">1st restaurant to announce it will cook proteins, veggies, and grains exclusively in extra virgin olive oil </t>
  </si>
  <si>
    <t>Loyalty program</t>
  </si>
  <si>
    <t>Partnershop with musician Renee Rapp</t>
  </si>
  <si>
    <t>Chad Brauze</t>
  </si>
  <si>
    <t>Head of Culinary</t>
  </si>
  <si>
    <t>Head of Marketing</t>
  </si>
  <si>
    <t>Michael Kotick</t>
  </si>
  <si>
    <t xml:space="preserve">ex Chipotle </t>
  </si>
  <si>
    <t>Menu innovation | Italian chopped salad</t>
  </si>
  <si>
    <t>Wisconsin restaurant</t>
  </si>
  <si>
    <t>San Antonio Unit</t>
  </si>
  <si>
    <t>Infinite Kitchen ---&gt; debuting new tech in Naperville, IL store</t>
  </si>
  <si>
    <t xml:space="preserve">Expanded into Rhode Island </t>
  </si>
  <si>
    <t xml:space="preserve">Menu innovation | Chipotle Chicken Burrito bowl </t>
  </si>
  <si>
    <t>Expanding into Tampa, FL</t>
  </si>
  <si>
    <t>Opening of advanced pickup window --&gt; Sweetlane</t>
  </si>
  <si>
    <t xml:space="preserve">Dessert category, 1st offering --&gt; Rice Krispy </t>
  </si>
  <si>
    <t>1st ever sweetlane concept | Schaumburg, IL</t>
  </si>
  <si>
    <t>Spyce acquisition</t>
  </si>
  <si>
    <t>IPO Price</t>
  </si>
  <si>
    <t>Press Releases</t>
  </si>
  <si>
    <t>Menu Offerings</t>
  </si>
  <si>
    <t xml:space="preserve">Caramelized Garlic Steak </t>
  </si>
  <si>
    <t>Steakhouse Chopped</t>
  </si>
  <si>
    <t>Kale Caesar</t>
  </si>
  <si>
    <t>Miso Glazed Salmon</t>
  </si>
  <si>
    <t xml:space="preserve">Hot Honey Chicken </t>
  </si>
  <si>
    <t xml:space="preserve">Harvest Bowl </t>
  </si>
  <si>
    <t xml:space="preserve">Crispy Rice Bowl </t>
  </si>
  <si>
    <t>Chicken Pesto Parm</t>
  </si>
  <si>
    <t>Chickem Avocado Ranch</t>
  </si>
  <si>
    <t>Shroomami</t>
  </si>
  <si>
    <t xml:space="preserve">Fish Taco </t>
  </si>
  <si>
    <t>Guacamole Greens</t>
  </si>
  <si>
    <t>BBQ Chicken Salad</t>
  </si>
  <si>
    <t>Hummus Crunch</t>
  </si>
  <si>
    <t>Buffalo Chciken</t>
  </si>
  <si>
    <t>Super Greens Goodness</t>
  </si>
  <si>
    <t>Garden Cobb</t>
  </si>
  <si>
    <t>Ranchy Chickemn + Rice</t>
  </si>
  <si>
    <t xml:space="preserve">Kids Menu </t>
  </si>
  <si>
    <t>Little harvest</t>
  </si>
  <si>
    <t>Mini Mezze</t>
  </si>
  <si>
    <t>Sides</t>
  </si>
  <si>
    <t>Focaccia</t>
  </si>
  <si>
    <t>Focaccia + Hummus</t>
  </si>
  <si>
    <t>Roasted Sweet Potatoes</t>
  </si>
  <si>
    <t>Price</t>
  </si>
  <si>
    <t>Founded</t>
  </si>
  <si>
    <t>HQ</t>
  </si>
  <si>
    <t>LA</t>
  </si>
  <si>
    <t>Amortization on lease</t>
  </si>
  <si>
    <t>Amortization on loan origination</t>
  </si>
  <si>
    <t>Amortization Cloud Computing Arrangements</t>
  </si>
  <si>
    <t>NC Op lease costs</t>
  </si>
  <si>
    <t>Loss on fixed asset disposal</t>
  </si>
  <si>
    <t>SBC</t>
  </si>
  <si>
    <t>NC impairment/closure costs</t>
  </si>
  <si>
    <t>Deferred income tax expense</t>
  </si>
  <si>
    <t xml:space="preserve">Change in FV contingent Cons </t>
  </si>
  <si>
    <t>Op Lease</t>
  </si>
  <si>
    <t>Accrued payroll &amp; Ben</t>
  </si>
  <si>
    <t>Gift card loyalty</t>
  </si>
  <si>
    <t>CFFO</t>
  </si>
  <si>
    <t>NC Restructuring costs</t>
  </si>
  <si>
    <t>Capex</t>
  </si>
  <si>
    <t>Intangible Assets</t>
  </si>
  <si>
    <t>Security &amp; Landlord Deposits</t>
  </si>
  <si>
    <t>CFFI</t>
  </si>
  <si>
    <t>Stock option proceeds</t>
  </si>
  <si>
    <t>Payment of contingent con</t>
  </si>
  <si>
    <t>Tax shares repurchased</t>
  </si>
  <si>
    <t>CFFF</t>
  </si>
  <si>
    <t>Cash Increase</t>
  </si>
  <si>
    <t>Beg Cash</t>
  </si>
  <si>
    <t>Ending Cash</t>
  </si>
  <si>
    <t>Locations</t>
  </si>
  <si>
    <t>Filings</t>
  </si>
  <si>
    <t>Q224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</si>
</sst>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6" formatCode="0.0%"/>
    <numFmt numFmtId="167" formatCode="&quot;$&quot;#,##0.00"/>
    <numFmt numFmtId="168" formatCode="mmm\-yyyy"/>
    <numFmt numFmtId="171" formatCode="0\x"/>
  </numFmts>
  <fonts count="12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FF"/>
      <name val="ArialMT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5" fillId="0" borderId="0" xfId="3" applyNumberForma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0" borderId="0" xfId="0" applyNumberFormat="1" applyFont="1"/>
    <xf numFmtId="9" fontId="6" fillId="0" borderId="0" xfId="0" applyNumberFormat="1" applyFont="1"/>
    <xf numFmtId="1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6" fillId="0" borderId="0" xfId="1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3" fontId="0" fillId="0" borderId="3" xfId="0" applyNumberFormat="1" applyBorder="1"/>
    <xf numFmtId="3" fontId="0" fillId="0" borderId="4" xfId="0" applyNumberFormat="1" applyBorder="1"/>
    <xf numFmtId="9" fontId="1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4" fontId="5" fillId="0" borderId="0" xfId="3" applyNumberFormat="1"/>
    <xf numFmtId="3" fontId="0" fillId="0" borderId="7" xfId="0" applyNumberFormat="1" applyBorder="1"/>
    <xf numFmtId="3" fontId="0" fillId="0" borderId="2" xfId="0" applyNumberFormat="1" applyBorder="1"/>
    <xf numFmtId="3" fontId="0" fillId="0" borderId="5" xfId="0" applyNumberFormat="1" applyBorder="1"/>
    <xf numFmtId="9" fontId="0" fillId="0" borderId="8" xfId="0" applyNumberFormat="1" applyBorder="1"/>
    <xf numFmtId="3" fontId="0" fillId="0" borderId="8" xfId="0" applyNumberFormat="1" applyBorder="1"/>
    <xf numFmtId="9" fontId="0" fillId="0" borderId="6" xfId="0" applyNumberFormat="1" applyBorder="1"/>
    <xf numFmtId="166" fontId="0" fillId="0" borderId="4" xfId="0" applyNumberForma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4" fontId="0" fillId="0" borderId="7" xfId="0" applyNumberFormat="1" applyBorder="1"/>
    <xf numFmtId="4" fontId="0" fillId="0" borderId="0" xfId="0" applyNumberFormat="1"/>
    <xf numFmtId="3" fontId="0" fillId="0" borderId="6" xfId="0" applyNumberFormat="1" applyBorder="1"/>
    <xf numFmtId="3" fontId="1" fillId="0" borderId="1" xfId="0" applyNumberFormat="1" applyFont="1" applyBorder="1"/>
    <xf numFmtId="14" fontId="0" fillId="0" borderId="7" xfId="0" applyNumberFormat="1" applyBorder="1"/>
    <xf numFmtId="14" fontId="0" fillId="0" borderId="8" xfId="0" applyNumberFormat="1" applyBorder="1"/>
    <xf numFmtId="3" fontId="2" fillId="0" borderId="9" xfId="0" applyNumberFormat="1" applyFont="1" applyBorder="1"/>
    <xf numFmtId="3" fontId="0" fillId="0" borderId="10" xfId="0" applyNumberFormat="1" applyBorder="1"/>
    <xf numFmtId="3" fontId="0" fillId="0" borderId="11" xfId="0" applyNumberFormat="1" applyBorder="1"/>
    <xf numFmtId="167" fontId="0" fillId="0" borderId="0" xfId="0" applyNumberFormat="1"/>
    <xf numFmtId="3" fontId="2" fillId="0" borderId="0" xfId="0" applyNumberFormat="1" applyFont="1" applyAlignment="1">
      <alignment horizontal="left"/>
    </xf>
    <xf numFmtId="168" fontId="0" fillId="0" borderId="0" xfId="0" applyNumberFormat="1"/>
    <xf numFmtId="3" fontId="0" fillId="3" borderId="0" xfId="0" applyNumberFormat="1" applyFill="1"/>
    <xf numFmtId="3" fontId="11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 applyAlignment="1">
      <alignment horizontal="right"/>
    </xf>
    <xf numFmtId="171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20706</xdr:colOff>
      <xdr:row>0</xdr:row>
      <xdr:rowOff>0</xdr:rowOff>
    </xdr:from>
    <xdr:to>
      <xdr:col>15</xdr:col>
      <xdr:colOff>39441</xdr:colOff>
      <xdr:row>121</xdr:row>
      <xdr:rowOff>75924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8AA234-8E6E-F3C1-484A-8E24248D659C}"/>
            </a:ext>
          </a:extLst>
        </xdr:cNvPr>
        <xdr:cNvCxnSpPr/>
      </xdr:nvCxnSpPr>
      <xdr:spPr>
        <a:xfrm flipH="1">
          <a:off x="9014239" y="0"/>
          <a:ext cx="18735" cy="20119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7888</xdr:colOff>
      <xdr:row>0</xdr:row>
      <xdr:rowOff>55217</xdr:rowOff>
    </xdr:from>
    <xdr:to>
      <xdr:col>26</xdr:col>
      <xdr:colOff>10584</xdr:colOff>
      <xdr:row>78</xdr:row>
      <xdr:rowOff>105833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C1CC895-D7BA-B125-A04F-6EB026B3FC12}"/>
            </a:ext>
          </a:extLst>
        </xdr:cNvPr>
        <xdr:cNvCxnSpPr/>
      </xdr:nvCxnSpPr>
      <xdr:spPr>
        <a:xfrm>
          <a:off x="15067971" y="55217"/>
          <a:ext cx="2696" cy="132586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7A75945A-8092-064D-869A-4F8D3CA29583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4-05-30T01:54:13.29" personId="{7A75945A-8092-064D-869A-4F8D3CA29583}" id="{8FE9F761-C761-1A4C-83AE-DC11F65355CC}">
    <text>$21.1M due to 41 net new units.  $6.4M was result of SSS growth of 5% due to menu price increases that were implemented after Q123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sweetgreen.com/press/news-details/2023/Sweetgreen-Expands-Loyalty-Program-and-Unlocks-More-Rewards-for-Fans-Nationwide/default.aspx" TargetMode="External"/><Relationship Id="rId13" Type="http://schemas.openxmlformats.org/officeDocument/2006/relationships/hyperlink" Target="https://investor.sweetgreen.com/press/news-details/2023/sweetgreen-Pilots-Automation-at-New-Store/default.aspx" TargetMode="External"/><Relationship Id="rId18" Type="http://schemas.openxmlformats.org/officeDocument/2006/relationships/hyperlink" Target="https://investor.sweetgreen.com/press/news-details/2022/sweetgreen-Launches-Desserts/default.aspx" TargetMode="External"/><Relationship Id="rId3" Type="http://schemas.openxmlformats.org/officeDocument/2006/relationships/hyperlink" Target="https://investor.sweetgreen.com/press/news-details/2024/Sweetgreen-Tests-New-Caramelized-Garlic-Steak-in-Select-Locations/default.aspx" TargetMode="External"/><Relationship Id="rId21" Type="http://schemas.openxmlformats.org/officeDocument/2006/relationships/hyperlink" Target="https://investor.sweetgreen.com/press/news-details/2024/Sweetgreen-Makes-Its-Pacific-Northwest-Debut-in-Seattle/default.aspx" TargetMode="External"/><Relationship Id="rId7" Type="http://schemas.openxmlformats.org/officeDocument/2006/relationships/hyperlink" Target="https://investor.sweetgreen.com/press/news-details/2023/Sweetgreen-Becomes-the-First-National-Fast-Casual-Restaurant-Chain-to-Announce-It-Will-Cook-Proteins-Veggies-and-Grains-Exclusively-in-Extra-Virgin-Olive-Oil/default.aspx" TargetMode="External"/><Relationship Id="rId12" Type="http://schemas.openxmlformats.org/officeDocument/2006/relationships/hyperlink" Target="https://investor.sweetgreen.com/press/" TargetMode="External"/><Relationship Id="rId17" Type="http://schemas.openxmlformats.org/officeDocument/2006/relationships/hyperlink" Target="https://investor.sweetgreen.com/press/news-details/2022/sweetgreen-Opens-First-Order-Ahead-Drive-up-Format-sweetlane/default.aspx" TargetMode="External"/><Relationship Id="rId2" Type="http://schemas.openxmlformats.org/officeDocument/2006/relationships/hyperlink" Target="https://investor.sweetgreen.com/press/news-details/2024/Sweetgreen-Inc.-Announces-First-Quarter-2024-Financial-Results/default.aspx" TargetMode="External"/><Relationship Id="rId16" Type="http://schemas.openxmlformats.org/officeDocument/2006/relationships/hyperlink" Target="https://investor.sweetgreen.com/press/news-details/2022/sweetgreen-Expands-to-Floridas-Sun-Coast-This-December/default.aspx" TargetMode="External"/><Relationship Id="rId20" Type="http://schemas.openxmlformats.org/officeDocument/2006/relationships/hyperlink" Target="https://investor.sweetgreen.com/press/news-details/2021/sweetgreen-to-Acquire-Boston-based-Spyce-to-Scale-the-Future-of-Healthy-Fast-Food/default.aspx" TargetMode="External"/><Relationship Id="rId1" Type="http://schemas.openxmlformats.org/officeDocument/2006/relationships/hyperlink" Target="https://investor.sweetgreen.com/press/news-details/2024/Sweetgreen-Launches-Caramelized-Garlic-Steak-Nationwide-Expanding-Its-Protein-Offerings/default.aspx" TargetMode="External"/><Relationship Id="rId6" Type="http://schemas.openxmlformats.org/officeDocument/2006/relationships/hyperlink" Target="https://investor.sweetgreen.com/press/news-details/2023/Sweetgreen-Takes-on-Dinner-With-Bold-Flavors-Featuring-Miso-Glazed-Salmon-and-Herb-Roasted-Chicken/default.aspx" TargetMode="External"/><Relationship Id="rId11" Type="http://schemas.openxmlformats.org/officeDocument/2006/relationships/hyperlink" Target="https://investor.sweetgreen.com/press/news-details/2023/Sweetgreen-Expands-Its-Midwest-Presence-Into-Wisconsin/default.aspx" TargetMode="External"/><Relationship Id="rId5" Type="http://schemas.openxmlformats.org/officeDocument/2006/relationships/hyperlink" Target="https://investor.sweetgreen.com/press/news-details/2023/Sweetgreen-Inc.-Announces-Third-Quarter-2023-Financial-Results/default.aspx" TargetMode="External"/><Relationship Id="rId15" Type="http://schemas.openxmlformats.org/officeDocument/2006/relationships/hyperlink" Target="https://investor.sweetgreen.com/press/news-details/2023/sweetgreen-Adds-Chipotle-Chicken-Burrito-Bowl-to-Its-Menu/default.aspx" TargetMode="External"/><Relationship Id="rId23" Type="http://schemas.openxmlformats.org/officeDocument/2006/relationships/hyperlink" Target="https://investor.sweetgreen.com/press/news-details/2024/Sweetgreen-Inc.-Announces-Second-Quarter-2024-Financial-Results/default.aspx" TargetMode="External"/><Relationship Id="rId10" Type="http://schemas.openxmlformats.org/officeDocument/2006/relationships/hyperlink" Target="https://investor.sweetgreen.com/press/news-details/2023/Sweetgreen-Launches-Italian-Chopped-Salad-With-Fresh-Flavors-Inspired-by-Mediterranean-Coast/default.aspx" TargetMode="External"/><Relationship Id="rId19" Type="http://schemas.openxmlformats.org/officeDocument/2006/relationships/hyperlink" Target="https://investor.sweetgreen.com/press/news-details/2022/Sweetgreen-to-Open-Its-First-Ever-sweetlane-Restaurant-Concept/default.aspx" TargetMode="External"/><Relationship Id="rId4" Type="http://schemas.openxmlformats.org/officeDocument/2006/relationships/hyperlink" Target="https://investor.sweetgreen.com/press/news-details/2024/Sweetgreen-Appoints-Rossann-Williams-as-Chief-Operating-Officer/default.aspx" TargetMode="External"/><Relationship Id="rId9" Type="http://schemas.openxmlformats.org/officeDocument/2006/relationships/hyperlink" Target="https://investor.sweetgreen.com/press/news-details/2023/Sweetgreen-Announces-Partnership-With-Musician-and-Actress-Rene-Rapp/default.aspx" TargetMode="External"/><Relationship Id="rId14" Type="http://schemas.openxmlformats.org/officeDocument/2006/relationships/hyperlink" Target="https://investor.sweetgreen.com/press/news-details/2023/sweetgreen-Expands-Its-Fleet-Into-Rhode-Island/default.aspx" TargetMode="External"/><Relationship Id="rId22" Type="http://schemas.openxmlformats.org/officeDocument/2006/relationships/hyperlink" Target="https://www.sec.gov/edgar/browse/?CIK=1477815&amp;owner=exclu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7D2-A146-CE4D-AFFC-02E3E7B5F6A8}">
  <dimension ref="A1:N151"/>
  <sheetViews>
    <sheetView zoomScale="174" zoomScaleNormal="11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RowHeight="14" outlineLevelRow="1"/>
  <cols>
    <col min="1" max="1" width="5.33203125" style="10" bestFit="1" customWidth="1"/>
    <col min="2" max="2" width="24.33203125" style="9" bestFit="1" customWidth="1"/>
    <col min="3" max="3" width="5.1640625" style="11" bestFit="1" customWidth="1"/>
    <col min="4" max="11" width="10.5" style="11" bestFit="1" customWidth="1"/>
    <col min="12" max="13" width="10.1640625" style="11" bestFit="1" customWidth="1"/>
    <col min="14" max="14" width="11.5" style="11" bestFit="1" customWidth="1"/>
    <col min="15" max="15" width="10.1640625" style="11" bestFit="1" customWidth="1"/>
    <col min="16" max="16" width="11.5" style="11" bestFit="1" customWidth="1"/>
    <col min="17" max="123" width="10.1640625" style="11" bestFit="1" customWidth="1"/>
    <col min="124" max="201" width="11.1640625" style="11" bestFit="1" customWidth="1"/>
    <col min="202" max="16384" width="10.83203125" style="11"/>
  </cols>
  <sheetData>
    <row r="1" spans="1:14" s="9" customFormat="1">
      <c r="A1" s="10"/>
      <c r="C1" s="11"/>
      <c r="D1" s="11"/>
      <c r="E1" s="11"/>
      <c r="F1" s="12"/>
      <c r="G1" s="12"/>
      <c r="H1" s="12"/>
      <c r="I1" s="12"/>
      <c r="J1" s="12"/>
      <c r="K1" s="12"/>
      <c r="N1" s="14"/>
    </row>
    <row r="2" spans="1:14" s="15" customFormat="1">
      <c r="A2" s="61"/>
      <c r="B2" s="62"/>
      <c r="C2" s="63">
        <v>2023</v>
      </c>
      <c r="D2" s="17"/>
      <c r="E2" s="17"/>
    </row>
    <row r="3" spans="1:14">
      <c r="B3" s="13" t="s">
        <v>66</v>
      </c>
      <c r="F3" s="17"/>
      <c r="G3" s="17"/>
      <c r="H3" s="17"/>
      <c r="I3" s="17"/>
      <c r="J3" s="17"/>
      <c r="K3" s="17"/>
      <c r="L3" s="17"/>
    </row>
    <row r="4" spans="1:14">
      <c r="B4" s="9" t="s">
        <v>67</v>
      </c>
      <c r="C4" s="20">
        <v>0.29504331039322812</v>
      </c>
      <c r="F4" s="17"/>
      <c r="G4" s="17"/>
      <c r="H4" s="17"/>
      <c r="I4" s="17"/>
      <c r="J4" s="17"/>
      <c r="K4" s="17"/>
      <c r="L4" s="17"/>
    </row>
    <row r="5" spans="1:14">
      <c r="B5" s="9" t="s">
        <v>16</v>
      </c>
      <c r="C5" s="20">
        <v>0.247271960338136</v>
      </c>
      <c r="F5" s="17"/>
      <c r="G5" s="17"/>
      <c r="H5" s="17"/>
      <c r="I5" s="17"/>
      <c r="J5" s="17"/>
      <c r="K5" s="17"/>
      <c r="L5" s="17"/>
    </row>
    <row r="6" spans="1:14" s="16" customFormat="1">
      <c r="A6" s="10"/>
      <c r="B6" s="9" t="s">
        <v>17</v>
      </c>
      <c r="C6" s="20">
        <v>5.09807429336274E-2</v>
      </c>
      <c r="D6" s="11"/>
      <c r="E6" s="11"/>
    </row>
    <row r="7" spans="1:14" outlineLevel="1">
      <c r="B7" s="9" t="s">
        <v>68</v>
      </c>
      <c r="C7" s="20">
        <v>0.1447323542399046</v>
      </c>
      <c r="F7" s="19"/>
      <c r="G7" s="19"/>
      <c r="H7" s="19"/>
      <c r="I7" s="19"/>
      <c r="J7" s="19"/>
      <c r="K7" s="19"/>
      <c r="L7" s="19"/>
    </row>
    <row r="8" spans="1:14">
      <c r="B8" s="9" t="s">
        <v>19</v>
      </c>
      <c r="C8" s="20">
        <v>6.4182184759608046E-2</v>
      </c>
    </row>
    <row r="9" spans="1:14">
      <c r="B9" s="9" t="s">
        <v>20</v>
      </c>
      <c r="C9" s="20">
        <v>3.2354675495451672E-2</v>
      </c>
    </row>
    <row r="10" spans="1:14" s="21" customFormat="1">
      <c r="A10" s="10"/>
      <c r="B10" s="9" t="s">
        <v>69</v>
      </c>
      <c r="C10" s="20">
        <v>3.7411176187483975E-3</v>
      </c>
      <c r="D10" s="11"/>
      <c r="E10" s="11"/>
    </row>
    <row r="13" spans="1:14" s="16" customFormat="1">
      <c r="A13" s="10"/>
      <c r="B13" s="9"/>
      <c r="C13" s="11"/>
      <c r="D13" s="11"/>
      <c r="E13" s="11"/>
    </row>
    <row r="26" spans="1:5" s="16" customFormat="1">
      <c r="A26" s="10"/>
      <c r="B26" s="9"/>
      <c r="C26" s="11"/>
      <c r="D26" s="11"/>
      <c r="E26" s="11"/>
    </row>
    <row r="27" spans="1:5">
      <c r="A27" s="18"/>
      <c r="B27" s="13"/>
      <c r="C27" s="16"/>
      <c r="D27" s="16"/>
      <c r="E27" s="16"/>
    </row>
    <row r="29" spans="1:5">
      <c r="A29" s="22"/>
      <c r="B29" s="14"/>
      <c r="C29" s="20"/>
      <c r="D29" s="20"/>
      <c r="E29" s="20"/>
    </row>
    <row r="31" spans="1:5">
      <c r="B31" s="13"/>
    </row>
    <row r="37" spans="2:11">
      <c r="K37" s="23"/>
    </row>
    <row r="41" spans="2:11">
      <c r="B41" s="13"/>
    </row>
    <row r="50" spans="1:5">
      <c r="A50" s="18"/>
      <c r="B50" s="13"/>
      <c r="C50" s="16"/>
      <c r="D50" s="16"/>
      <c r="E50" s="16"/>
    </row>
    <row r="57" spans="1:5">
      <c r="A57" s="18"/>
      <c r="B57" s="13"/>
      <c r="C57" s="16"/>
      <c r="D57" s="16"/>
      <c r="E57" s="16"/>
    </row>
    <row r="60" spans="1:5" s="16" customFormat="1">
      <c r="A60" s="10"/>
      <c r="B60" s="9"/>
      <c r="C60" s="11"/>
      <c r="D60" s="11"/>
      <c r="E60" s="11"/>
    </row>
    <row r="62" spans="1:5" s="20" customFormat="1">
      <c r="A62" s="10"/>
      <c r="B62" s="9"/>
      <c r="C62" s="11"/>
      <c r="D62" s="11"/>
      <c r="E62" s="11"/>
    </row>
    <row r="64" spans="1:5" hidden="1" outlineLevel="1"/>
    <row r="65" spans="1:5" hidden="1" outlineLevel="1"/>
    <row r="66" spans="1:5" hidden="1" outlineLevel="1"/>
    <row r="67" spans="1:5" hidden="1" outlineLevel="1"/>
    <row r="68" spans="1:5" hidden="1" outlineLevel="1"/>
    <row r="69" spans="1:5" hidden="1" outlineLevel="1"/>
    <row r="70" spans="1:5" hidden="1" outlineLevel="1"/>
    <row r="71" spans="1:5" hidden="1" outlineLevel="1"/>
    <row r="72" spans="1:5" hidden="1" outlineLevel="1"/>
    <row r="73" spans="1:5" hidden="1" outlineLevel="1"/>
    <row r="74" spans="1:5" hidden="1" outlineLevel="1"/>
    <row r="75" spans="1:5" hidden="1" outlineLevel="1"/>
    <row r="76" spans="1:5" hidden="1" outlineLevel="1"/>
    <row r="77" spans="1:5" hidden="1" outlineLevel="1"/>
    <row r="78" spans="1:5" hidden="1" outlineLevel="1">
      <c r="A78" s="18"/>
      <c r="B78" s="13"/>
      <c r="C78" s="16"/>
      <c r="D78" s="16"/>
      <c r="E78" s="16"/>
    </row>
    <row r="79" spans="1:5" hidden="1" outlineLevel="1"/>
    <row r="80" spans="1:5" hidden="1" outlineLevel="1"/>
    <row r="81" spans="1:5" hidden="1" outlineLevel="1"/>
    <row r="82" spans="1:5" collapsed="1"/>
    <row r="83" spans="1:5" s="16" customFormat="1">
      <c r="A83" s="10"/>
      <c r="B83" s="9"/>
      <c r="C83" s="11"/>
      <c r="D83" s="11"/>
      <c r="E83" s="11"/>
    </row>
    <row r="85" spans="1:5">
      <c r="A85" s="18"/>
      <c r="B85" s="13"/>
      <c r="C85" s="16"/>
      <c r="D85" s="16"/>
      <c r="E85" s="16"/>
    </row>
    <row r="90" spans="1:5" s="16" customFormat="1">
      <c r="A90" s="18"/>
      <c r="B90" s="13"/>
    </row>
    <row r="92" spans="1:5">
      <c r="A92" s="18"/>
      <c r="B92" s="13"/>
      <c r="C92" s="16"/>
      <c r="D92" s="16"/>
      <c r="E92" s="16"/>
    </row>
    <row r="96" spans="1:5">
      <c r="A96" s="18"/>
      <c r="B96" s="13"/>
      <c r="C96" s="16"/>
      <c r="D96" s="16"/>
      <c r="E96" s="16"/>
    </row>
    <row r="99" spans="1:11">
      <c r="A99" s="18"/>
      <c r="B99" s="13"/>
      <c r="C99" s="16"/>
      <c r="D99" s="16"/>
      <c r="E99" s="16"/>
    </row>
    <row r="102" spans="1:11">
      <c r="A102" s="18"/>
      <c r="B102" s="13"/>
      <c r="C102" s="16"/>
      <c r="D102" s="16"/>
      <c r="E102" s="16"/>
    </row>
    <row r="104" spans="1:11">
      <c r="K104" s="16"/>
    </row>
    <row r="106" spans="1:11">
      <c r="B106" s="13"/>
    </row>
    <row r="111" spans="1:11" s="16" customFormat="1">
      <c r="A111" s="10"/>
      <c r="B111" s="9"/>
      <c r="C111" s="11"/>
      <c r="D111" s="11"/>
      <c r="E111" s="11"/>
    </row>
    <row r="112" spans="1:11">
      <c r="B112"/>
    </row>
    <row r="113" spans="1:5">
      <c r="B113" s="24"/>
      <c r="D113" s="25"/>
      <c r="E113" s="25"/>
    </row>
    <row r="114" spans="1:5">
      <c r="B114" s="24"/>
      <c r="D114" s="25"/>
      <c r="E114" s="25"/>
    </row>
    <row r="115" spans="1:5">
      <c r="B115" s="24"/>
      <c r="D115" s="26"/>
      <c r="E115" s="26"/>
    </row>
    <row r="116" spans="1:5">
      <c r="B116"/>
      <c r="D116" s="25"/>
      <c r="E116" s="25"/>
    </row>
    <row r="117" spans="1:5">
      <c r="B117" s="24"/>
      <c r="D117" s="27"/>
      <c r="E117" s="27"/>
    </row>
    <row r="118" spans="1:5" s="16" customFormat="1">
      <c r="A118" s="10"/>
      <c r="B118" s="24"/>
      <c r="C118" s="11"/>
      <c r="D118" s="27"/>
      <c r="E118" s="27"/>
    </row>
    <row r="119" spans="1:5">
      <c r="B119"/>
    </row>
    <row r="120" spans="1:5">
      <c r="B120"/>
    </row>
    <row r="121" spans="1:5">
      <c r="B121"/>
    </row>
    <row r="123" spans="1:5" s="16" customFormat="1">
      <c r="A123" s="10"/>
      <c r="B123" s="9"/>
      <c r="C123" s="11"/>
      <c r="D123" s="11"/>
      <c r="E123" s="11"/>
    </row>
    <row r="125" spans="1:5" s="16" customFormat="1">
      <c r="A125" s="10"/>
      <c r="B125" s="9"/>
      <c r="C125" s="11"/>
      <c r="D125" s="11"/>
      <c r="E125" s="11"/>
    </row>
    <row r="129" spans="1:5" s="16" customFormat="1">
      <c r="A129" s="10"/>
      <c r="B129" s="9"/>
      <c r="C129" s="11"/>
      <c r="D129" s="11"/>
      <c r="E129" s="11"/>
    </row>
    <row r="132" spans="1:5" s="16" customFormat="1">
      <c r="A132" s="10"/>
      <c r="B132" s="9"/>
      <c r="C132" s="11"/>
      <c r="D132" s="11"/>
      <c r="E132" s="11"/>
    </row>
    <row r="135" spans="1:5" s="16" customFormat="1">
      <c r="A135" s="10"/>
      <c r="B135" s="9"/>
      <c r="C135" s="11"/>
      <c r="D135" s="11"/>
      <c r="E135" s="11"/>
    </row>
    <row r="146" spans="6:13">
      <c r="F146" s="25"/>
      <c r="G146" s="25"/>
      <c r="H146" s="25"/>
      <c r="I146" s="25"/>
      <c r="J146" s="25"/>
      <c r="K146" s="25"/>
      <c r="L146" s="25"/>
      <c r="M146" s="25"/>
    </row>
    <row r="147" spans="6:13">
      <c r="F147" s="25"/>
      <c r="G147" s="25"/>
      <c r="H147" s="25"/>
      <c r="I147" s="25"/>
      <c r="J147" s="25"/>
      <c r="K147" s="25"/>
      <c r="L147" s="25"/>
      <c r="M147" s="25"/>
    </row>
    <row r="148" spans="6:13">
      <c r="F148" s="26"/>
      <c r="G148" s="26"/>
      <c r="H148" s="26"/>
      <c r="I148" s="26"/>
      <c r="J148" s="26"/>
      <c r="K148" s="26"/>
      <c r="L148" s="26"/>
      <c r="M148" s="26"/>
    </row>
    <row r="149" spans="6:13">
      <c r="F149" s="25"/>
      <c r="G149" s="25"/>
      <c r="H149" s="25"/>
      <c r="I149" s="25"/>
      <c r="J149" s="25"/>
      <c r="K149" s="25"/>
      <c r="L149" s="25"/>
      <c r="M149" s="25"/>
    </row>
    <row r="150" spans="6:13">
      <c r="F150" s="27"/>
      <c r="G150" s="27"/>
      <c r="H150" s="27"/>
      <c r="I150" s="27"/>
      <c r="J150" s="27"/>
      <c r="K150" s="27"/>
      <c r="L150" s="27"/>
      <c r="M150" s="27"/>
    </row>
    <row r="151" spans="6:13">
      <c r="F151" s="27"/>
      <c r="G151" s="27"/>
      <c r="H151" s="27"/>
      <c r="I151" s="27"/>
      <c r="J151" s="27"/>
      <c r="K151" s="27"/>
      <c r="L151" s="27"/>
      <c r="M151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A9DB-4F78-8E45-9F2C-D2EFF3688216}">
  <dimension ref="B1:S49"/>
  <sheetViews>
    <sheetView tabSelected="1" topLeftCell="A12" zoomScale="125" zoomScaleNormal="100" workbookViewId="0">
      <selection activeCell="H27" sqref="H27"/>
    </sheetView>
  </sheetViews>
  <sheetFormatPr baseColWidth="10" defaultRowHeight="13"/>
  <cols>
    <col min="1" max="1" width="2" style="1" customWidth="1"/>
    <col min="2" max="2" width="25" style="1" bestFit="1" customWidth="1"/>
    <col min="3" max="3" width="16.33203125" style="35" bestFit="1" customWidth="1"/>
    <col min="4" max="4" width="14.1640625" style="1" bestFit="1" customWidth="1"/>
    <col min="5" max="9" width="10.83203125" style="1"/>
    <col min="10" max="10" width="8.5" style="1" bestFit="1" customWidth="1"/>
    <col min="11" max="11" width="7.6640625" style="1" bestFit="1" customWidth="1"/>
    <col min="12" max="12" width="5.5" style="1" bestFit="1" customWidth="1"/>
    <col min="13" max="13" width="10.83203125" style="1"/>
    <col min="14" max="14" width="21.1640625" style="1" bestFit="1" customWidth="1"/>
    <col min="15" max="16384" width="10.83203125" style="1"/>
  </cols>
  <sheetData>
    <row r="1" spans="2:12">
      <c r="B1" s="1" t="s">
        <v>162</v>
      </c>
      <c r="C1" s="35" t="s">
        <v>163</v>
      </c>
      <c r="E1" s="8" t="s">
        <v>190</v>
      </c>
    </row>
    <row r="2" spans="2:12">
      <c r="B2" s="1" t="s">
        <v>161</v>
      </c>
      <c r="C2" s="58">
        <v>39022</v>
      </c>
    </row>
    <row r="4" spans="2:12">
      <c r="B4" s="50" t="s">
        <v>80</v>
      </c>
      <c r="C4" s="51" t="s">
        <v>81</v>
      </c>
      <c r="D4" s="39"/>
    </row>
    <row r="5" spans="2:12">
      <c r="B5" s="32" t="s">
        <v>82</v>
      </c>
      <c r="C5" s="35" t="s">
        <v>93</v>
      </c>
      <c r="D5" s="33"/>
      <c r="J5" s="28" t="s">
        <v>132</v>
      </c>
      <c r="K5" s="47">
        <v>33</v>
      </c>
      <c r="L5" s="39"/>
    </row>
    <row r="6" spans="2:12">
      <c r="B6" s="32" t="s">
        <v>84</v>
      </c>
      <c r="C6" s="35" t="s">
        <v>83</v>
      </c>
      <c r="D6" s="33"/>
      <c r="J6" s="32" t="s">
        <v>0</v>
      </c>
      <c r="K6" s="48">
        <v>38</v>
      </c>
      <c r="L6" s="33"/>
    </row>
    <row r="7" spans="2:12">
      <c r="B7" s="32" t="s">
        <v>85</v>
      </c>
      <c r="C7" s="35" t="s">
        <v>89</v>
      </c>
      <c r="D7" s="33"/>
      <c r="J7" s="32" t="s">
        <v>1</v>
      </c>
      <c r="K7" s="1">
        <f>100.440089+12.871027</f>
        <v>113.311116</v>
      </c>
      <c r="L7" s="33" t="s">
        <v>63</v>
      </c>
    </row>
    <row r="8" spans="2:12">
      <c r="B8" s="32" t="s">
        <v>86</v>
      </c>
      <c r="C8" s="35" t="s">
        <v>91</v>
      </c>
      <c r="D8" s="33"/>
      <c r="J8" s="32" t="s">
        <v>2</v>
      </c>
      <c r="K8" s="1">
        <f>+K6*K7</f>
        <v>4305.822408</v>
      </c>
      <c r="L8" s="33"/>
    </row>
    <row r="9" spans="2:12">
      <c r="B9" s="32" t="s">
        <v>87</v>
      </c>
      <c r="C9" s="35" t="s">
        <v>90</v>
      </c>
      <c r="D9" s="33"/>
      <c r="J9" s="32" t="s">
        <v>3</v>
      </c>
      <c r="K9" s="1">
        <v>243.756</v>
      </c>
      <c r="L9" s="33" t="str">
        <f>+L7</f>
        <v>Q124</v>
      </c>
    </row>
    <row r="10" spans="2:12">
      <c r="B10" s="32" t="s">
        <v>88</v>
      </c>
      <c r="C10" s="35" t="s">
        <v>92</v>
      </c>
      <c r="D10" s="33"/>
      <c r="J10" s="32" t="s">
        <v>4</v>
      </c>
      <c r="K10" s="1">
        <v>0</v>
      </c>
      <c r="L10" s="33" t="str">
        <f>+L9</f>
        <v>Q124</v>
      </c>
    </row>
    <row r="11" spans="2:12">
      <c r="B11" s="32" t="s">
        <v>117</v>
      </c>
      <c r="C11" s="35" t="s">
        <v>116</v>
      </c>
      <c r="D11" s="33" t="s">
        <v>120</v>
      </c>
      <c r="J11" s="40" t="s">
        <v>5</v>
      </c>
      <c r="K11" s="42">
        <f>+K8-K9+K10</f>
        <v>4062.0664080000001</v>
      </c>
      <c r="L11" s="49"/>
    </row>
    <row r="12" spans="2:12">
      <c r="B12" s="40" t="s">
        <v>118</v>
      </c>
      <c r="C12" s="52" t="s">
        <v>119</v>
      </c>
      <c r="D12" s="49"/>
    </row>
    <row r="15" spans="2:12">
      <c r="B15" s="53" t="s">
        <v>94</v>
      </c>
    </row>
    <row r="16" spans="2:12">
      <c r="B16" s="54" t="s">
        <v>95</v>
      </c>
    </row>
    <row r="17" spans="2:19">
      <c r="B17" s="54" t="s">
        <v>96</v>
      </c>
    </row>
    <row r="18" spans="2:19">
      <c r="B18" s="54" t="s">
        <v>97</v>
      </c>
    </row>
    <row r="19" spans="2:19">
      <c r="B19" s="54" t="s">
        <v>98</v>
      </c>
    </row>
    <row r="20" spans="2:19">
      <c r="B20" s="54" t="s">
        <v>99</v>
      </c>
    </row>
    <row r="21" spans="2:19">
      <c r="B21" s="54" t="s">
        <v>100</v>
      </c>
    </row>
    <row r="22" spans="2:19">
      <c r="B22" s="54" t="s">
        <v>101</v>
      </c>
    </row>
    <row r="23" spans="2:19">
      <c r="B23" s="54" t="s">
        <v>102</v>
      </c>
    </row>
    <row r="24" spans="2:19">
      <c r="B24" s="54"/>
      <c r="D24" s="36" t="s">
        <v>133</v>
      </c>
      <c r="E24" s="5" t="s">
        <v>103</v>
      </c>
      <c r="N24" s="5" t="s">
        <v>134</v>
      </c>
      <c r="O24" s="57" t="s">
        <v>160</v>
      </c>
      <c r="S24" s="5" t="s">
        <v>189</v>
      </c>
    </row>
    <row r="25" spans="2:19">
      <c r="B25" s="55"/>
      <c r="D25" s="37">
        <v>45512</v>
      </c>
      <c r="E25" s="1" t="s">
        <v>191</v>
      </c>
      <c r="N25" s="1" t="s">
        <v>135</v>
      </c>
      <c r="O25" s="56">
        <v>18.149999999999999</v>
      </c>
    </row>
    <row r="26" spans="2:19">
      <c r="D26" s="37">
        <v>45421</v>
      </c>
      <c r="E26" s="1" t="s">
        <v>107</v>
      </c>
      <c r="N26" s="1" t="s">
        <v>136</v>
      </c>
      <c r="O26" s="56">
        <v>18.149999999999999</v>
      </c>
    </row>
    <row r="27" spans="2:19">
      <c r="D27" s="37">
        <v>45419</v>
      </c>
      <c r="E27" s="1" t="s">
        <v>104</v>
      </c>
      <c r="N27" s="1" t="s">
        <v>137</v>
      </c>
      <c r="O27" s="56">
        <v>17.149999999999999</v>
      </c>
    </row>
    <row r="28" spans="2:19">
      <c r="D28" s="37">
        <v>45328</v>
      </c>
      <c r="E28" s="1" t="s">
        <v>108</v>
      </c>
      <c r="N28" s="1" t="s">
        <v>138</v>
      </c>
      <c r="O28" s="56">
        <v>17.95</v>
      </c>
    </row>
    <row r="29" spans="2:19">
      <c r="D29" s="37">
        <v>45324</v>
      </c>
      <c r="E29" s="1" t="s">
        <v>109</v>
      </c>
      <c r="N29" s="1" t="s">
        <v>139</v>
      </c>
      <c r="O29" s="56">
        <v>16.45</v>
      </c>
    </row>
    <row r="30" spans="2:19">
      <c r="D30" s="37">
        <v>45307</v>
      </c>
      <c r="E30" s="1" t="s">
        <v>110</v>
      </c>
      <c r="N30" s="1" t="s">
        <v>140</v>
      </c>
      <c r="O30" s="56">
        <v>15.45</v>
      </c>
    </row>
    <row r="31" spans="2:19">
      <c r="D31" s="37">
        <v>45232</v>
      </c>
      <c r="E31" s="1" t="s">
        <v>111</v>
      </c>
      <c r="N31" s="1" t="s">
        <v>141</v>
      </c>
      <c r="O31" s="56">
        <v>16.25</v>
      </c>
    </row>
    <row r="32" spans="2:19">
      <c r="D32" s="37">
        <v>45223</v>
      </c>
      <c r="E32" s="1" t="s">
        <v>112</v>
      </c>
      <c r="N32" s="1" t="s">
        <v>142</v>
      </c>
      <c r="O32" s="56">
        <v>15.75</v>
      </c>
    </row>
    <row r="33" spans="4:15">
      <c r="D33" s="37">
        <v>45217</v>
      </c>
      <c r="E33" s="1" t="s">
        <v>113</v>
      </c>
      <c r="N33" s="1" t="s">
        <v>143</v>
      </c>
      <c r="O33" s="56">
        <v>15.25</v>
      </c>
    </row>
    <row r="34" spans="4:15">
      <c r="D34" s="37">
        <v>45195</v>
      </c>
      <c r="E34" s="1" t="s">
        <v>114</v>
      </c>
      <c r="N34" s="1" t="s">
        <v>144</v>
      </c>
      <c r="O34" s="56">
        <v>14.95</v>
      </c>
    </row>
    <row r="35" spans="4:15">
      <c r="D35" s="37">
        <v>45181</v>
      </c>
      <c r="E35" s="1" t="s">
        <v>115</v>
      </c>
      <c r="N35" s="1" t="s">
        <v>145</v>
      </c>
      <c r="O35" s="56">
        <v>17.95</v>
      </c>
    </row>
    <row r="36" spans="4:15">
      <c r="D36" s="37">
        <v>45152</v>
      </c>
      <c r="E36" s="1" t="s">
        <v>121</v>
      </c>
      <c r="N36" s="1" t="s">
        <v>146</v>
      </c>
      <c r="O36" s="56">
        <v>15.25</v>
      </c>
    </row>
    <row r="37" spans="4:15">
      <c r="D37" s="37">
        <v>45114</v>
      </c>
      <c r="E37" s="1" t="s">
        <v>122</v>
      </c>
      <c r="N37" s="1" t="s">
        <v>147</v>
      </c>
      <c r="O37" s="56">
        <v>14.95</v>
      </c>
    </row>
    <row r="38" spans="4:15">
      <c r="D38" s="37">
        <v>45082</v>
      </c>
      <c r="E38" s="1" t="s">
        <v>123</v>
      </c>
      <c r="N38" s="1" t="s">
        <v>148</v>
      </c>
      <c r="O38" s="56">
        <v>13.95</v>
      </c>
    </row>
    <row r="39" spans="4:15">
      <c r="D39" s="37">
        <v>45056</v>
      </c>
      <c r="E39" s="1" t="s">
        <v>124</v>
      </c>
      <c r="N39" s="1" t="s">
        <v>149</v>
      </c>
      <c r="O39" s="56">
        <v>16.25</v>
      </c>
    </row>
    <row r="40" spans="4:15">
      <c r="D40" s="37">
        <v>45033</v>
      </c>
      <c r="E40" s="1" t="s">
        <v>125</v>
      </c>
      <c r="N40" s="1" t="s">
        <v>150</v>
      </c>
      <c r="O40" s="56">
        <v>11.45</v>
      </c>
    </row>
    <row r="41" spans="4:15">
      <c r="D41" s="37">
        <v>45015</v>
      </c>
      <c r="E41" s="1" t="s">
        <v>126</v>
      </c>
      <c r="N41" s="1" t="s">
        <v>151</v>
      </c>
      <c r="O41" s="56">
        <v>15.75</v>
      </c>
    </row>
    <row r="42" spans="4:15">
      <c r="D42" s="37">
        <v>44908</v>
      </c>
      <c r="E42" s="1" t="s">
        <v>127</v>
      </c>
      <c r="N42" s="5" t="s">
        <v>153</v>
      </c>
      <c r="O42" s="56"/>
    </row>
    <row r="43" spans="4:15">
      <c r="D43" s="37">
        <v>44879</v>
      </c>
      <c r="E43" s="1" t="s">
        <v>128</v>
      </c>
      <c r="N43" s="1" t="s">
        <v>152</v>
      </c>
      <c r="O43" s="56">
        <v>8.5500000000000007</v>
      </c>
    </row>
    <row r="44" spans="4:15">
      <c r="D44" s="37">
        <v>44872</v>
      </c>
      <c r="E44" s="1" t="s">
        <v>129</v>
      </c>
      <c r="N44" s="1" t="s">
        <v>154</v>
      </c>
      <c r="O44" s="56">
        <v>8.5500000000000007</v>
      </c>
    </row>
    <row r="45" spans="4:15">
      <c r="D45" s="37">
        <v>44643</v>
      </c>
      <c r="E45" s="1" t="s">
        <v>130</v>
      </c>
      <c r="N45" s="1" t="s">
        <v>155</v>
      </c>
      <c r="O45" s="56">
        <v>8.5500000000000007</v>
      </c>
    </row>
    <row r="46" spans="4:15">
      <c r="D46" s="37">
        <v>44432</v>
      </c>
      <c r="E46" s="1" t="s">
        <v>131</v>
      </c>
      <c r="N46" s="4" t="s">
        <v>156</v>
      </c>
      <c r="O46" s="56"/>
    </row>
    <row r="47" spans="4:15">
      <c r="N47" s="1" t="s">
        <v>157</v>
      </c>
      <c r="O47" s="56">
        <v>2.65</v>
      </c>
    </row>
    <row r="48" spans="4:15">
      <c r="N48" s="1" t="s">
        <v>158</v>
      </c>
      <c r="O48" s="56">
        <v>4.45</v>
      </c>
    </row>
    <row r="49" spans="14:15">
      <c r="N49" s="1" t="s">
        <v>159</v>
      </c>
      <c r="O49" s="56">
        <v>4.3499999999999996</v>
      </c>
    </row>
  </sheetData>
  <hyperlinks>
    <hyperlink ref="D27" r:id="rId1" display="https://investor.sweetgreen.com/press/news-details/2024/Sweetgreen-Launches-Caramelized-Garlic-Steak-Nationwide-Expanding-Its-Protein-Offerings/default.aspx" xr:uid="{EDC556E0-3A69-384D-880B-960AD95DC183}"/>
    <hyperlink ref="D26" r:id="rId2" display="https://investor.sweetgreen.com/press/news-details/2024/Sweetgreen-Inc.-Announces-First-Quarter-2024-Financial-Results/default.aspx" xr:uid="{858ACF7E-662D-C24A-8EC8-D47EEC77404D}"/>
    <hyperlink ref="D28" r:id="rId3" display="https://investor.sweetgreen.com/press/news-details/2024/Sweetgreen-Tests-New-Caramelized-Garlic-Steak-in-Select-Locations/default.aspx" xr:uid="{F0A11525-AC60-6445-BD8A-CED03CD7EC94}"/>
    <hyperlink ref="D29" r:id="rId4" display="https://investor.sweetgreen.com/press/news-details/2024/Sweetgreen-Appoints-Rossann-Williams-as-Chief-Operating-Officer/default.aspx" xr:uid="{52A9F649-5C26-5947-BEB4-7C9CFF64B134}"/>
    <hyperlink ref="D31" r:id="rId5" display="https://investor.sweetgreen.com/press/news-details/2023/Sweetgreen-Inc.-Announces-Third-Quarter-2023-Financial-Results/default.aspx" xr:uid="{C8FBF2B4-4FF2-8247-A8FF-1D0252698CA5}"/>
    <hyperlink ref="D32" r:id="rId6" display="https://investor.sweetgreen.com/press/news-details/2023/Sweetgreen-Takes-on-Dinner-With-Bold-Flavors-Featuring-Miso-Glazed-Salmon-and-Herb-Roasted-Chicken/default.aspx" xr:uid="{DDBE860F-7F9D-7641-B056-7731D04DED57}"/>
    <hyperlink ref="D33" r:id="rId7" display="https://investor.sweetgreen.com/press/news-details/2023/Sweetgreen-Becomes-the-First-National-Fast-Casual-Restaurant-Chain-to-Announce-It-Will-Cook-Proteins-Veggies-and-Grains-Exclusively-in-Extra-Virgin-Olive-Oil/default.aspx" xr:uid="{58E57E00-033C-F54E-9137-22AD96B96449}"/>
    <hyperlink ref="D34" r:id="rId8" display="https://investor.sweetgreen.com/press/news-details/2023/Sweetgreen-Expands-Loyalty-Program-and-Unlocks-More-Rewards-for-Fans-Nationwide/default.aspx" xr:uid="{B922242E-1022-3B43-A0FF-EB3037D29A96}"/>
    <hyperlink ref="D35" r:id="rId9" display="https://investor.sweetgreen.com/press/news-details/2023/Sweetgreen-Announces-Partnership-With-Musician-and-Actress-Rene-Rapp/default.aspx" xr:uid="{38E3A15D-02F9-6A4B-93A0-DEBD2033923A}"/>
    <hyperlink ref="D36" r:id="rId10" display="https://investor.sweetgreen.com/press/news-details/2023/Sweetgreen-Launches-Italian-Chopped-Salad-With-Fresh-Flavors-Inspired-by-Mediterranean-Coast/default.aspx" xr:uid="{23591797-6F80-F348-B0F5-2BA6DB8A3D01}"/>
    <hyperlink ref="D37" r:id="rId11" display="https://investor.sweetgreen.com/press/news-details/2023/Sweetgreen-Expands-Its-Midwest-Presence-Into-Wisconsin/default.aspx" xr:uid="{C117B3F0-895B-2841-97B5-CC8557F8F5B0}"/>
    <hyperlink ref="D38" r:id="rId12" display="https://investor.sweetgreen.com/press/" xr:uid="{3650CA77-29F1-134E-A845-E2F05CE51698}"/>
    <hyperlink ref="D39" r:id="rId13" display="https://investor.sweetgreen.com/press/news-details/2023/sweetgreen-Pilots-Automation-at-New-Store/default.aspx" xr:uid="{2F32CCC4-CDAA-DA4A-874A-95B1752201F1}"/>
    <hyperlink ref="D40" r:id="rId14" display="https://investor.sweetgreen.com/press/news-details/2023/sweetgreen-Expands-Its-Fleet-Into-Rhode-Island/default.aspx" xr:uid="{D195BDB1-B3C6-CD4C-94D8-A2FD3FD4DF0D}"/>
    <hyperlink ref="D41" r:id="rId15" display="https://investor.sweetgreen.com/press/news-details/2023/sweetgreen-Adds-Chipotle-Chicken-Burrito-Bowl-to-Its-Menu/default.aspx" xr:uid="{1869DE2D-2B8C-8F46-8FAD-7B7D8285391B}"/>
    <hyperlink ref="D42" r:id="rId16" display="https://investor.sweetgreen.com/press/news-details/2022/sweetgreen-Expands-to-Floridas-Sun-Coast-This-December/default.aspx" xr:uid="{AD3E32F7-B56C-9A4C-AEFB-7C5F9C83A461}"/>
    <hyperlink ref="D43" r:id="rId17" display="https://investor.sweetgreen.com/press/news-details/2022/sweetgreen-Opens-First-Order-Ahead-Drive-up-Format-sweetlane/default.aspx" xr:uid="{A99AD64F-7A9F-1B4D-A8EF-34FD1277112D}"/>
    <hyperlink ref="D44" r:id="rId18" display="https://investor.sweetgreen.com/press/news-details/2022/sweetgreen-Launches-Desserts/default.aspx" xr:uid="{DDB39F4D-413E-894B-BF49-78E349AE4F93}"/>
    <hyperlink ref="D45" r:id="rId19" display="https://investor.sweetgreen.com/press/news-details/2022/Sweetgreen-to-Open-Its-First-Ever-sweetlane-Restaurant-Concept/default.aspx" xr:uid="{A1553039-9F75-6749-9FE9-97C416013D71}"/>
    <hyperlink ref="D46" r:id="rId20" display="https://investor.sweetgreen.com/press/news-details/2021/sweetgreen-to-Acquire-Boston-based-Spyce-to-Scale-the-Future-of-Healthy-Fast-Food/default.aspx" xr:uid="{C637578B-21D2-1D46-96A7-C7FFB329C108}"/>
    <hyperlink ref="D30" r:id="rId21" display="https://investor.sweetgreen.com/press/news-details/2024/Sweetgreen-Makes-Its-Pacific-Northwest-Debut-in-Seattle/default.aspx" xr:uid="{3A8E2388-F58C-DA44-8ED4-87A83CABD377}"/>
    <hyperlink ref="E1" r:id="rId22" display="sec.gov" xr:uid="{85EF4AC4-84CB-6543-9F20-A6FFEB336E62}"/>
    <hyperlink ref="D25" r:id="rId23" display="https://investor.sweetgreen.com/press/news-details/2024/Sweetgreen-Inc.-Announces-Second-Quarter-2024-Financial-Results/default.aspx" xr:uid="{45B85A1A-15C3-1548-B5AF-BCEE784C99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72FD-27E2-8840-935A-09595DF08E27}">
  <dimension ref="A2:IB104"/>
  <sheetViews>
    <sheetView zoomScale="112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E15" sqref="AE15"/>
    </sheetView>
  </sheetViews>
  <sheetFormatPr baseColWidth="10" defaultColWidth="10.6640625" defaultRowHeight="13"/>
  <cols>
    <col min="1" max="1" width="3.33203125" style="1" bestFit="1" customWidth="1"/>
    <col min="2" max="2" width="36.5" style="1" bestFit="1" customWidth="1"/>
    <col min="3" max="6" width="7.1640625" style="1" bestFit="1" customWidth="1"/>
    <col min="7" max="15" width="7.6640625" style="1" bestFit="1" customWidth="1"/>
    <col min="16" max="17" width="10.6640625" style="1"/>
    <col min="18" max="22" width="5.1640625" style="1" bestFit="1" customWidth="1"/>
    <col min="23" max="26" width="8.1640625" style="1" bestFit="1" customWidth="1"/>
    <col min="27" max="27" width="8.33203125" style="1" bestFit="1" customWidth="1"/>
    <col min="28" max="30" width="7.6640625" style="1" bestFit="1" customWidth="1"/>
    <col min="31" max="36" width="9.1640625" style="1" bestFit="1" customWidth="1"/>
    <col min="37" max="37" width="7.6640625" style="1" bestFit="1" customWidth="1"/>
    <col min="38" max="38" width="9.1640625" style="1" bestFit="1" customWidth="1"/>
    <col min="39" max="39" width="10" style="1" bestFit="1" customWidth="1"/>
    <col min="40" max="40" width="9.1640625" style="1" bestFit="1" customWidth="1"/>
    <col min="41" max="147" width="7.6640625" style="1" bestFit="1" customWidth="1"/>
    <col min="148" max="236" width="9.1640625" style="1" bestFit="1" customWidth="1"/>
    <col min="237" max="16384" width="10.6640625" style="1"/>
  </cols>
  <sheetData>
    <row r="2" spans="1:236">
      <c r="A2" s="59" t="s">
        <v>64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63</v>
      </c>
      <c r="R2" s="2">
        <v>2015</v>
      </c>
      <c r="S2" s="2">
        <f>+R2+1</f>
        <v>2016</v>
      </c>
      <c r="T2" s="2">
        <f t="shared" ref="T2:AH2" si="0">+S2+1</f>
        <v>2017</v>
      </c>
      <c r="U2" s="2">
        <f t="shared" si="0"/>
        <v>2018</v>
      </c>
      <c r="V2" s="2">
        <f t="shared" si="0"/>
        <v>2019</v>
      </c>
      <c r="W2" s="2">
        <f t="shared" si="0"/>
        <v>2020</v>
      </c>
      <c r="X2" s="2">
        <f t="shared" si="0"/>
        <v>2021</v>
      </c>
      <c r="Y2" s="2">
        <f t="shared" si="0"/>
        <v>2022</v>
      </c>
      <c r="Z2" s="2">
        <f t="shared" si="0"/>
        <v>2023</v>
      </c>
      <c r="AA2" s="2">
        <f t="shared" si="0"/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  <c r="AH2" s="2">
        <f t="shared" si="0"/>
        <v>2031</v>
      </c>
      <c r="AI2" s="2">
        <f t="shared" ref="AI2" si="1">+AH2+1</f>
        <v>2032</v>
      </c>
      <c r="AJ2" s="2">
        <f t="shared" ref="AJ2" si="2">+AI2+1</f>
        <v>2033</v>
      </c>
      <c r="AK2" s="2">
        <f>+AJ2+1</f>
        <v>2034</v>
      </c>
      <c r="AL2" s="2">
        <f t="shared" ref="AL2:CW2" si="3">+AK2+1</f>
        <v>2035</v>
      </c>
      <c r="AM2" s="2">
        <f t="shared" si="3"/>
        <v>2036</v>
      </c>
      <c r="AN2" s="2">
        <f t="shared" si="3"/>
        <v>2037</v>
      </c>
      <c r="AO2" s="2">
        <f t="shared" si="3"/>
        <v>2038</v>
      </c>
      <c r="AP2" s="2">
        <f t="shared" si="3"/>
        <v>2039</v>
      </c>
      <c r="AQ2" s="2">
        <f t="shared" si="3"/>
        <v>2040</v>
      </c>
      <c r="AR2" s="2">
        <f t="shared" si="3"/>
        <v>2041</v>
      </c>
      <c r="AS2" s="2">
        <f t="shared" si="3"/>
        <v>2042</v>
      </c>
      <c r="AT2" s="2">
        <f t="shared" si="3"/>
        <v>2043</v>
      </c>
      <c r="AU2" s="2">
        <f t="shared" si="3"/>
        <v>2044</v>
      </c>
      <c r="AV2" s="2">
        <f t="shared" si="3"/>
        <v>2045</v>
      </c>
      <c r="AW2" s="2">
        <f t="shared" si="3"/>
        <v>2046</v>
      </c>
      <c r="AX2" s="2">
        <f t="shared" si="3"/>
        <v>2047</v>
      </c>
      <c r="AY2" s="2">
        <f t="shared" si="3"/>
        <v>2048</v>
      </c>
      <c r="AZ2" s="2">
        <f t="shared" si="3"/>
        <v>2049</v>
      </c>
      <c r="BA2" s="2">
        <f t="shared" si="3"/>
        <v>2050</v>
      </c>
      <c r="BB2" s="2">
        <f t="shared" si="3"/>
        <v>2051</v>
      </c>
      <c r="BC2" s="2">
        <f t="shared" si="3"/>
        <v>2052</v>
      </c>
      <c r="BD2" s="2">
        <f t="shared" si="3"/>
        <v>2053</v>
      </c>
      <c r="BE2" s="2">
        <f t="shared" si="3"/>
        <v>2054</v>
      </c>
      <c r="BF2" s="2">
        <f t="shared" si="3"/>
        <v>2055</v>
      </c>
      <c r="BG2" s="2">
        <f t="shared" si="3"/>
        <v>2056</v>
      </c>
      <c r="BH2" s="2">
        <f t="shared" si="3"/>
        <v>2057</v>
      </c>
      <c r="BI2" s="2">
        <f t="shared" si="3"/>
        <v>2058</v>
      </c>
      <c r="BJ2" s="2">
        <f t="shared" si="3"/>
        <v>2059</v>
      </c>
      <c r="BK2" s="2">
        <f t="shared" si="3"/>
        <v>2060</v>
      </c>
      <c r="BL2" s="2">
        <f t="shared" si="3"/>
        <v>2061</v>
      </c>
      <c r="BM2" s="2">
        <f t="shared" si="3"/>
        <v>2062</v>
      </c>
      <c r="BN2" s="2">
        <f t="shared" si="3"/>
        <v>2063</v>
      </c>
      <c r="BO2" s="2">
        <f t="shared" si="3"/>
        <v>2064</v>
      </c>
      <c r="BP2" s="2">
        <f t="shared" si="3"/>
        <v>2065</v>
      </c>
      <c r="BQ2" s="2">
        <f t="shared" si="3"/>
        <v>2066</v>
      </c>
      <c r="BR2" s="2">
        <f t="shared" si="3"/>
        <v>2067</v>
      </c>
      <c r="BS2" s="2">
        <f t="shared" si="3"/>
        <v>2068</v>
      </c>
      <c r="BT2" s="2">
        <f t="shared" si="3"/>
        <v>2069</v>
      </c>
      <c r="BU2" s="2">
        <f t="shared" si="3"/>
        <v>2070</v>
      </c>
      <c r="BV2" s="2">
        <f t="shared" si="3"/>
        <v>2071</v>
      </c>
      <c r="BW2" s="2">
        <f t="shared" si="3"/>
        <v>2072</v>
      </c>
      <c r="BX2" s="2">
        <f t="shared" si="3"/>
        <v>2073</v>
      </c>
      <c r="BY2" s="2">
        <f t="shared" si="3"/>
        <v>2074</v>
      </c>
      <c r="BZ2" s="2">
        <f t="shared" si="3"/>
        <v>2075</v>
      </c>
      <c r="CA2" s="2">
        <f t="shared" si="3"/>
        <v>2076</v>
      </c>
      <c r="CB2" s="2">
        <f t="shared" si="3"/>
        <v>2077</v>
      </c>
      <c r="CC2" s="2">
        <f t="shared" si="3"/>
        <v>2078</v>
      </c>
      <c r="CD2" s="2">
        <f t="shared" si="3"/>
        <v>2079</v>
      </c>
      <c r="CE2" s="2">
        <f t="shared" si="3"/>
        <v>2080</v>
      </c>
      <c r="CF2" s="2">
        <f t="shared" si="3"/>
        <v>2081</v>
      </c>
      <c r="CG2" s="2">
        <f t="shared" si="3"/>
        <v>2082</v>
      </c>
      <c r="CH2" s="2">
        <f t="shared" si="3"/>
        <v>2083</v>
      </c>
      <c r="CI2" s="2">
        <f t="shared" si="3"/>
        <v>2084</v>
      </c>
      <c r="CJ2" s="2">
        <f t="shared" si="3"/>
        <v>2085</v>
      </c>
      <c r="CK2" s="2">
        <f t="shared" si="3"/>
        <v>2086</v>
      </c>
      <c r="CL2" s="2">
        <f t="shared" si="3"/>
        <v>2087</v>
      </c>
      <c r="CM2" s="2">
        <f t="shared" si="3"/>
        <v>2088</v>
      </c>
      <c r="CN2" s="2">
        <f t="shared" si="3"/>
        <v>2089</v>
      </c>
      <c r="CO2" s="2">
        <f t="shared" si="3"/>
        <v>2090</v>
      </c>
      <c r="CP2" s="2">
        <f t="shared" si="3"/>
        <v>2091</v>
      </c>
      <c r="CQ2" s="2">
        <f t="shared" si="3"/>
        <v>2092</v>
      </c>
      <c r="CR2" s="2">
        <f t="shared" si="3"/>
        <v>2093</v>
      </c>
      <c r="CS2" s="2">
        <f t="shared" si="3"/>
        <v>2094</v>
      </c>
      <c r="CT2" s="2">
        <f t="shared" si="3"/>
        <v>2095</v>
      </c>
      <c r="CU2" s="2">
        <f t="shared" si="3"/>
        <v>2096</v>
      </c>
      <c r="CV2" s="2">
        <f t="shared" si="3"/>
        <v>2097</v>
      </c>
      <c r="CW2" s="2">
        <f t="shared" si="3"/>
        <v>2098</v>
      </c>
      <c r="CX2" s="2">
        <f t="shared" ref="CX2:CY2" si="4">+CW2+1</f>
        <v>2099</v>
      </c>
      <c r="CY2" s="2">
        <f t="shared" si="4"/>
        <v>2100</v>
      </c>
      <c r="CZ2" s="2">
        <f t="shared" ref="CZ2:DV2" si="5">+CY2+1</f>
        <v>2101</v>
      </c>
      <c r="DA2" s="2">
        <f t="shared" si="5"/>
        <v>2102</v>
      </c>
      <c r="DB2" s="2">
        <f t="shared" si="5"/>
        <v>2103</v>
      </c>
      <c r="DC2" s="2">
        <f t="shared" si="5"/>
        <v>2104</v>
      </c>
      <c r="DD2" s="2">
        <f t="shared" si="5"/>
        <v>2105</v>
      </c>
      <c r="DE2" s="2">
        <f t="shared" si="5"/>
        <v>2106</v>
      </c>
      <c r="DF2" s="2">
        <f t="shared" si="5"/>
        <v>2107</v>
      </c>
      <c r="DG2" s="2">
        <f t="shared" si="5"/>
        <v>2108</v>
      </c>
      <c r="DH2" s="2">
        <f t="shared" si="5"/>
        <v>2109</v>
      </c>
      <c r="DI2" s="2">
        <f t="shared" si="5"/>
        <v>2110</v>
      </c>
      <c r="DJ2" s="2">
        <f t="shared" si="5"/>
        <v>2111</v>
      </c>
      <c r="DK2" s="2">
        <f t="shared" si="5"/>
        <v>2112</v>
      </c>
      <c r="DL2" s="2">
        <f t="shared" si="5"/>
        <v>2113</v>
      </c>
      <c r="DM2" s="2">
        <f t="shared" si="5"/>
        <v>2114</v>
      </c>
      <c r="DN2" s="2">
        <f t="shared" si="5"/>
        <v>2115</v>
      </c>
      <c r="DO2" s="2">
        <f t="shared" si="5"/>
        <v>2116</v>
      </c>
      <c r="DP2" s="2">
        <f t="shared" si="5"/>
        <v>2117</v>
      </c>
      <c r="DQ2" s="2">
        <f t="shared" si="5"/>
        <v>2118</v>
      </c>
      <c r="DR2" s="2">
        <f t="shared" si="5"/>
        <v>2119</v>
      </c>
      <c r="DS2" s="2">
        <f t="shared" si="5"/>
        <v>2120</v>
      </c>
      <c r="DT2" s="2">
        <f t="shared" si="5"/>
        <v>2121</v>
      </c>
      <c r="DU2" s="2">
        <f t="shared" si="5"/>
        <v>2122</v>
      </c>
      <c r="DV2" s="2">
        <f t="shared" si="5"/>
        <v>2123</v>
      </c>
      <c r="DW2" s="2">
        <f t="shared" ref="DW2:EU2" si="6">+DV2+1</f>
        <v>2124</v>
      </c>
      <c r="DX2" s="2">
        <f t="shared" si="6"/>
        <v>2125</v>
      </c>
      <c r="DY2" s="2">
        <f t="shared" si="6"/>
        <v>2126</v>
      </c>
      <c r="DZ2" s="2">
        <f t="shared" si="6"/>
        <v>2127</v>
      </c>
      <c r="EA2" s="2">
        <f t="shared" si="6"/>
        <v>2128</v>
      </c>
      <c r="EB2" s="2">
        <f t="shared" si="6"/>
        <v>2129</v>
      </c>
      <c r="EC2" s="2">
        <f t="shared" si="6"/>
        <v>2130</v>
      </c>
      <c r="ED2" s="2">
        <f t="shared" si="6"/>
        <v>2131</v>
      </c>
      <c r="EE2" s="2">
        <f t="shared" si="6"/>
        <v>2132</v>
      </c>
      <c r="EF2" s="2">
        <f t="shared" si="6"/>
        <v>2133</v>
      </c>
      <c r="EG2" s="2">
        <f t="shared" si="6"/>
        <v>2134</v>
      </c>
      <c r="EH2" s="2">
        <f t="shared" si="6"/>
        <v>2135</v>
      </c>
      <c r="EI2" s="2">
        <f t="shared" si="6"/>
        <v>2136</v>
      </c>
      <c r="EJ2" s="2">
        <f t="shared" si="6"/>
        <v>2137</v>
      </c>
      <c r="EK2" s="2">
        <f t="shared" si="6"/>
        <v>2138</v>
      </c>
      <c r="EL2" s="2">
        <f t="shared" si="6"/>
        <v>2139</v>
      </c>
      <c r="EM2" s="2">
        <f t="shared" si="6"/>
        <v>2140</v>
      </c>
      <c r="EN2" s="2">
        <f t="shared" si="6"/>
        <v>2141</v>
      </c>
      <c r="EO2" s="2">
        <f t="shared" si="6"/>
        <v>2142</v>
      </c>
      <c r="EP2" s="2">
        <f t="shared" si="6"/>
        <v>2143</v>
      </c>
      <c r="EQ2" s="2">
        <f t="shared" si="6"/>
        <v>2144</v>
      </c>
      <c r="ER2" s="2">
        <f t="shared" si="6"/>
        <v>2145</v>
      </c>
      <c r="ES2" s="2">
        <f t="shared" si="6"/>
        <v>2146</v>
      </c>
      <c r="ET2" s="2">
        <f t="shared" si="6"/>
        <v>2147</v>
      </c>
      <c r="EU2" s="2">
        <f t="shared" si="6"/>
        <v>2148</v>
      </c>
      <c r="EV2" s="2">
        <f t="shared" ref="EV2:FP2" si="7">+EU2+1</f>
        <v>2149</v>
      </c>
      <c r="EW2" s="2">
        <f t="shared" si="7"/>
        <v>2150</v>
      </c>
      <c r="EX2" s="2">
        <f t="shared" si="7"/>
        <v>2151</v>
      </c>
      <c r="EY2" s="2">
        <f t="shared" si="7"/>
        <v>2152</v>
      </c>
      <c r="EZ2" s="2">
        <f t="shared" si="7"/>
        <v>2153</v>
      </c>
      <c r="FA2" s="2">
        <f t="shared" si="7"/>
        <v>2154</v>
      </c>
      <c r="FB2" s="2">
        <f t="shared" si="7"/>
        <v>2155</v>
      </c>
      <c r="FC2" s="2">
        <f t="shared" si="7"/>
        <v>2156</v>
      </c>
      <c r="FD2" s="2">
        <f t="shared" si="7"/>
        <v>2157</v>
      </c>
      <c r="FE2" s="2">
        <f t="shared" si="7"/>
        <v>2158</v>
      </c>
      <c r="FF2" s="2">
        <f t="shared" si="7"/>
        <v>2159</v>
      </c>
      <c r="FG2" s="2">
        <f t="shared" si="7"/>
        <v>2160</v>
      </c>
      <c r="FH2" s="2">
        <f t="shared" si="7"/>
        <v>2161</v>
      </c>
      <c r="FI2" s="2">
        <f t="shared" si="7"/>
        <v>2162</v>
      </c>
      <c r="FJ2" s="2">
        <f t="shared" si="7"/>
        <v>2163</v>
      </c>
      <c r="FK2" s="2">
        <f t="shared" si="7"/>
        <v>2164</v>
      </c>
      <c r="FL2" s="2">
        <f t="shared" si="7"/>
        <v>2165</v>
      </c>
      <c r="FM2" s="2">
        <f t="shared" si="7"/>
        <v>2166</v>
      </c>
      <c r="FN2" s="2">
        <f t="shared" si="7"/>
        <v>2167</v>
      </c>
      <c r="FO2" s="2">
        <f t="shared" si="7"/>
        <v>2168</v>
      </c>
      <c r="FP2" s="2">
        <f t="shared" si="7"/>
        <v>2169</v>
      </c>
      <c r="FQ2" s="2">
        <f t="shared" ref="FQ2:GD2" si="8">+FP2+1</f>
        <v>2170</v>
      </c>
      <c r="FR2" s="2">
        <f t="shared" si="8"/>
        <v>2171</v>
      </c>
      <c r="FS2" s="2">
        <f t="shared" si="8"/>
        <v>2172</v>
      </c>
      <c r="FT2" s="2">
        <f t="shared" si="8"/>
        <v>2173</v>
      </c>
      <c r="FU2" s="2">
        <f t="shared" si="8"/>
        <v>2174</v>
      </c>
      <c r="FV2" s="2">
        <f t="shared" si="8"/>
        <v>2175</v>
      </c>
      <c r="FW2" s="2">
        <f t="shared" si="8"/>
        <v>2176</v>
      </c>
      <c r="FX2" s="2">
        <f t="shared" si="8"/>
        <v>2177</v>
      </c>
      <c r="FY2" s="2">
        <f t="shared" si="8"/>
        <v>2178</v>
      </c>
      <c r="FZ2" s="2">
        <f t="shared" si="8"/>
        <v>2179</v>
      </c>
      <c r="GA2" s="2">
        <f t="shared" si="8"/>
        <v>2180</v>
      </c>
      <c r="GB2" s="2">
        <f t="shared" si="8"/>
        <v>2181</v>
      </c>
      <c r="GC2" s="2">
        <f t="shared" si="8"/>
        <v>2182</v>
      </c>
      <c r="GD2" s="2">
        <f t="shared" si="8"/>
        <v>2183</v>
      </c>
      <c r="GE2" s="2">
        <f t="shared" ref="GE2:GY2" si="9">+GD2+1</f>
        <v>2184</v>
      </c>
      <c r="GF2" s="2">
        <f t="shared" si="9"/>
        <v>2185</v>
      </c>
      <c r="GG2" s="2">
        <f t="shared" si="9"/>
        <v>2186</v>
      </c>
      <c r="GH2" s="2">
        <f t="shared" si="9"/>
        <v>2187</v>
      </c>
      <c r="GI2" s="2">
        <f t="shared" si="9"/>
        <v>2188</v>
      </c>
      <c r="GJ2" s="2">
        <f t="shared" si="9"/>
        <v>2189</v>
      </c>
      <c r="GK2" s="2">
        <f t="shared" si="9"/>
        <v>2190</v>
      </c>
      <c r="GL2" s="2">
        <f t="shared" si="9"/>
        <v>2191</v>
      </c>
      <c r="GM2" s="2">
        <f t="shared" si="9"/>
        <v>2192</v>
      </c>
      <c r="GN2" s="2">
        <f t="shared" si="9"/>
        <v>2193</v>
      </c>
      <c r="GO2" s="2">
        <f t="shared" si="9"/>
        <v>2194</v>
      </c>
      <c r="GP2" s="2">
        <f t="shared" si="9"/>
        <v>2195</v>
      </c>
      <c r="GQ2" s="2">
        <f t="shared" si="9"/>
        <v>2196</v>
      </c>
      <c r="GR2" s="2">
        <f t="shared" si="9"/>
        <v>2197</v>
      </c>
      <c r="GS2" s="2">
        <f t="shared" si="9"/>
        <v>2198</v>
      </c>
      <c r="GT2" s="2">
        <f t="shared" si="9"/>
        <v>2199</v>
      </c>
      <c r="GU2" s="2">
        <f t="shared" si="9"/>
        <v>2200</v>
      </c>
      <c r="GV2" s="2">
        <f t="shared" si="9"/>
        <v>2201</v>
      </c>
      <c r="GW2" s="2">
        <f t="shared" si="9"/>
        <v>2202</v>
      </c>
      <c r="GX2" s="2">
        <f t="shared" si="9"/>
        <v>2203</v>
      </c>
      <c r="GY2" s="2">
        <f t="shared" si="9"/>
        <v>2204</v>
      </c>
      <c r="GZ2" s="2">
        <f t="shared" ref="GZ2:HM2" si="10">+GY2+1</f>
        <v>2205</v>
      </c>
      <c r="HA2" s="2">
        <f t="shared" si="10"/>
        <v>2206</v>
      </c>
      <c r="HB2" s="2">
        <f t="shared" si="10"/>
        <v>2207</v>
      </c>
      <c r="HC2" s="2">
        <f t="shared" si="10"/>
        <v>2208</v>
      </c>
      <c r="HD2" s="2">
        <f t="shared" si="10"/>
        <v>2209</v>
      </c>
      <c r="HE2" s="2">
        <f t="shared" si="10"/>
        <v>2210</v>
      </c>
      <c r="HF2" s="2">
        <f t="shared" si="10"/>
        <v>2211</v>
      </c>
      <c r="HG2" s="2">
        <f t="shared" si="10"/>
        <v>2212</v>
      </c>
      <c r="HH2" s="2">
        <f t="shared" si="10"/>
        <v>2213</v>
      </c>
      <c r="HI2" s="2">
        <f t="shared" si="10"/>
        <v>2214</v>
      </c>
      <c r="HJ2" s="2">
        <f t="shared" si="10"/>
        <v>2215</v>
      </c>
      <c r="HK2" s="2">
        <f t="shared" si="10"/>
        <v>2216</v>
      </c>
      <c r="HL2" s="2">
        <f t="shared" si="10"/>
        <v>2217</v>
      </c>
      <c r="HM2" s="2">
        <f t="shared" si="10"/>
        <v>2218</v>
      </c>
      <c r="HN2" s="2">
        <f t="shared" ref="HN2:HU2" si="11">+HM2+1</f>
        <v>2219</v>
      </c>
      <c r="HO2" s="2">
        <f t="shared" si="11"/>
        <v>2220</v>
      </c>
      <c r="HP2" s="2">
        <f t="shared" si="11"/>
        <v>2221</v>
      </c>
      <c r="HQ2" s="2">
        <f t="shared" si="11"/>
        <v>2222</v>
      </c>
      <c r="HR2" s="2">
        <f t="shared" si="11"/>
        <v>2223</v>
      </c>
      <c r="HS2" s="2">
        <f t="shared" si="11"/>
        <v>2224</v>
      </c>
      <c r="HT2" s="2">
        <f t="shared" si="11"/>
        <v>2225</v>
      </c>
      <c r="HU2" s="2">
        <f t="shared" si="11"/>
        <v>2226</v>
      </c>
      <c r="HV2" s="2">
        <f t="shared" ref="HV2:HX2" si="12">+HU2+1</f>
        <v>2227</v>
      </c>
      <c r="HW2" s="2">
        <f t="shared" si="12"/>
        <v>2228</v>
      </c>
      <c r="HX2" s="2">
        <f t="shared" si="12"/>
        <v>2229</v>
      </c>
      <c r="HY2" s="2">
        <f t="shared" ref="HY2:IA2" si="13">+HX2+1</f>
        <v>2230</v>
      </c>
      <c r="HZ2" s="2">
        <f t="shared" si="13"/>
        <v>2231</v>
      </c>
      <c r="IA2" s="2">
        <f t="shared" si="13"/>
        <v>2232</v>
      </c>
      <c r="IB2" s="2">
        <f t="shared" ref="IB2" si="14">+IA2+1</f>
        <v>2233</v>
      </c>
    </row>
    <row r="3" spans="1:236">
      <c r="B3" s="4" t="s">
        <v>35</v>
      </c>
      <c r="G3" s="1">
        <v>158</v>
      </c>
      <c r="H3" s="1">
        <v>166</v>
      </c>
      <c r="I3" s="1">
        <v>176</v>
      </c>
      <c r="J3" s="1">
        <v>186</v>
      </c>
      <c r="K3" s="1">
        <v>195</v>
      </c>
      <c r="L3" s="1">
        <v>205</v>
      </c>
      <c r="M3" s="1">
        <v>220</v>
      </c>
      <c r="N3" s="1">
        <f>+Z3</f>
        <v>221</v>
      </c>
      <c r="O3" s="1">
        <v>227</v>
      </c>
      <c r="X3" s="1">
        <v>150</v>
      </c>
      <c r="Y3" s="1">
        <f>+J3</f>
        <v>186</v>
      </c>
      <c r="Z3" s="1">
        <f>+Y3+35</f>
        <v>221</v>
      </c>
      <c r="AA3" s="1">
        <f>+Z3+24</f>
        <v>245</v>
      </c>
      <c r="AB3" s="1">
        <f t="shared" ref="AB3:AJ3" si="15">+AA3+24</f>
        <v>269</v>
      </c>
      <c r="AC3" s="1">
        <f t="shared" si="15"/>
        <v>293</v>
      </c>
      <c r="AD3" s="1">
        <f t="shared" si="15"/>
        <v>317</v>
      </c>
      <c r="AE3" s="1">
        <f t="shared" si="15"/>
        <v>341</v>
      </c>
      <c r="AF3" s="1">
        <f t="shared" si="15"/>
        <v>365</v>
      </c>
      <c r="AG3" s="1">
        <f t="shared" si="15"/>
        <v>389</v>
      </c>
      <c r="AH3" s="1">
        <f t="shared" si="15"/>
        <v>413</v>
      </c>
      <c r="AI3" s="1">
        <f t="shared" si="15"/>
        <v>437</v>
      </c>
      <c r="AJ3" s="1">
        <f t="shared" si="15"/>
        <v>461</v>
      </c>
    </row>
    <row r="4" spans="1:236">
      <c r="B4" s="1" t="s">
        <v>36</v>
      </c>
      <c r="G4" s="1">
        <f>+G7/G3</f>
        <v>649.31012658227849</v>
      </c>
      <c r="H4" s="1">
        <f t="shared" ref="H4:O4" si="16">+H7/H3</f>
        <v>752.51807228915663</v>
      </c>
      <c r="I4" s="1">
        <f t="shared" si="16"/>
        <v>704.69318181818187</v>
      </c>
      <c r="J4" s="1">
        <f t="shared" si="16"/>
        <v>637.47311827956992</v>
      </c>
      <c r="K4" s="1">
        <f t="shared" si="16"/>
        <v>641.34358974358975</v>
      </c>
      <c r="L4" s="1">
        <f t="shared" si="16"/>
        <v>744.02439024390242</v>
      </c>
      <c r="M4" s="1">
        <f t="shared" si="16"/>
        <v>697.4</v>
      </c>
      <c r="N4" s="1">
        <f t="shared" si="16"/>
        <v>692.4253393665158</v>
      </c>
      <c r="O4" s="1">
        <f t="shared" si="16"/>
        <v>695.3744493392071</v>
      </c>
      <c r="X4" s="1">
        <f t="shared" ref="X4" si="17">+X7/X3</f>
        <v>2265.8266666666668</v>
      </c>
      <c r="Y4" s="1">
        <f t="shared" ref="Y4:AA4" si="18">+Y7/Y3</f>
        <v>2527.4462365591398</v>
      </c>
      <c r="Z4" s="1">
        <f t="shared" si="18"/>
        <v>2642.7194570135748</v>
      </c>
      <c r="AA4" s="1">
        <f>+Z4*1.05</f>
        <v>2774.8554298642539</v>
      </c>
      <c r="AB4" s="1">
        <f t="shared" ref="AB4:AJ4" si="19">+AA4*1.05</f>
        <v>2913.5982013574667</v>
      </c>
      <c r="AC4" s="1">
        <f t="shared" si="19"/>
        <v>3059.2781114253403</v>
      </c>
      <c r="AD4" s="1">
        <f t="shared" si="19"/>
        <v>3212.2420169966076</v>
      </c>
      <c r="AE4" s="1">
        <f t="shared" si="19"/>
        <v>3372.8541178464379</v>
      </c>
      <c r="AF4" s="1">
        <f t="shared" si="19"/>
        <v>3541.4968237387598</v>
      </c>
      <c r="AG4" s="1">
        <f t="shared" si="19"/>
        <v>3718.5716649256979</v>
      </c>
      <c r="AH4" s="1">
        <f t="shared" si="19"/>
        <v>3904.500248171983</v>
      </c>
      <c r="AI4" s="1">
        <f t="shared" si="19"/>
        <v>4099.7252605805825</v>
      </c>
      <c r="AJ4" s="1">
        <f t="shared" si="19"/>
        <v>4304.7115236096115</v>
      </c>
    </row>
    <row r="5" spans="1:236">
      <c r="Z5" s="3">
        <f>+Z4/Y4-1</f>
        <v>4.5608574689749881E-2</v>
      </c>
      <c r="AA5" s="60" t="s">
        <v>105</v>
      </c>
      <c r="AB5" s="60"/>
      <c r="AC5" s="60"/>
      <c r="AD5" s="60"/>
      <c r="AE5" s="60"/>
      <c r="AF5" s="60"/>
      <c r="AG5" s="60"/>
      <c r="AH5" s="60"/>
      <c r="AI5" s="60"/>
      <c r="AJ5" s="60"/>
    </row>
    <row r="6" spans="1:236" s="34" customFormat="1">
      <c r="B6" s="34" t="s">
        <v>65</v>
      </c>
      <c r="K6" s="34">
        <v>0.05</v>
      </c>
      <c r="O6" s="34">
        <v>0.05</v>
      </c>
    </row>
    <row r="7" spans="1:236">
      <c r="B7" s="1" t="s">
        <v>14</v>
      </c>
      <c r="C7" s="1">
        <v>61392</v>
      </c>
      <c r="D7" s="1">
        <v>86212</v>
      </c>
      <c r="E7" s="1">
        <v>95844</v>
      </c>
      <c r="F7" s="1">
        <v>96426</v>
      </c>
      <c r="G7" s="1">
        <v>102591</v>
      </c>
      <c r="H7" s="1">
        <v>124918</v>
      </c>
      <c r="I7" s="1">
        <v>124026</v>
      </c>
      <c r="J7" s="1">
        <v>118570</v>
      </c>
      <c r="K7" s="1">
        <v>125062</v>
      </c>
      <c r="L7" s="1">
        <v>152525</v>
      </c>
      <c r="M7" s="1">
        <v>153428</v>
      </c>
      <c r="N7" s="1">
        <f>+Z7-SUM(K7:M7)</f>
        <v>153026</v>
      </c>
      <c r="O7" s="1">
        <v>157850</v>
      </c>
      <c r="W7" s="1">
        <v>220615</v>
      </c>
      <c r="X7" s="1">
        <f>SUM(C7:F7)</f>
        <v>339874</v>
      </c>
      <c r="Y7" s="1">
        <f>SUM(G7:J7)</f>
        <v>470105</v>
      </c>
      <c r="Z7" s="1">
        <v>584041</v>
      </c>
      <c r="AA7" s="1">
        <f>+AA3*AA4</f>
        <v>679839.58031674218</v>
      </c>
      <c r="AB7" s="1">
        <f t="shared" ref="AB7:AJ7" si="20">+AB3*AB4</f>
        <v>783757.9161651585</v>
      </c>
      <c r="AC7" s="1">
        <f t="shared" si="20"/>
        <v>896368.48664762476</v>
      </c>
      <c r="AD7" s="1">
        <f t="shared" si="20"/>
        <v>1018280.7193879246</v>
      </c>
      <c r="AE7" s="1">
        <f t="shared" si="20"/>
        <v>1150143.2541856354</v>
      </c>
      <c r="AF7" s="1">
        <f t="shared" si="20"/>
        <v>1292646.3406646473</v>
      </c>
      <c r="AG7" s="1">
        <f t="shared" si="20"/>
        <v>1446524.3776560964</v>
      </c>
      <c r="AH7" s="1">
        <f t="shared" si="20"/>
        <v>1612558.6024950289</v>
      </c>
      <c r="AI7" s="1">
        <f t="shared" si="20"/>
        <v>1791579.9388737145</v>
      </c>
      <c r="AJ7" s="1">
        <f t="shared" si="20"/>
        <v>1984472.012384031</v>
      </c>
    </row>
    <row r="8" spans="1:236">
      <c r="B8" s="1" t="s">
        <v>15</v>
      </c>
      <c r="C8" s="1">
        <v>17268</v>
      </c>
      <c r="D8" s="1">
        <v>23156</v>
      </c>
      <c r="E8" s="1">
        <v>26701</v>
      </c>
      <c r="F8" s="1">
        <v>26574</v>
      </c>
      <c r="G8" s="1">
        <v>27106</v>
      </c>
      <c r="H8" s="1">
        <v>33897</v>
      </c>
      <c r="I8" s="1">
        <v>34474</v>
      </c>
      <c r="J8" s="1">
        <v>34659</v>
      </c>
      <c r="K8" s="1">
        <v>35587</v>
      </c>
      <c r="L8" s="1">
        <v>40992</v>
      </c>
      <c r="M8" s="1">
        <v>41754</v>
      </c>
      <c r="N8" s="1">
        <f t="shared" ref="N8:N20" si="21">+Z8-SUM(K8:M8)</f>
        <v>43392</v>
      </c>
      <c r="O8" s="1">
        <v>43718</v>
      </c>
      <c r="W8" s="1">
        <v>66154</v>
      </c>
      <c r="X8" s="1">
        <f t="shared" ref="X8:X23" si="22">SUM(C8:F8)</f>
        <v>93699</v>
      </c>
      <c r="Y8" s="1">
        <f t="shared" ref="Y8:Z23" si="23">SUM(G8:J8)</f>
        <v>130136</v>
      </c>
      <c r="Z8" s="1">
        <v>161725</v>
      </c>
      <c r="AA8" s="1">
        <f>+AA7*'cmg baseline model'!C4</f>
        <v>200582.12031299449</v>
      </c>
      <c r="AB8" s="1">
        <f>+AB$7*(AA8/AA$7)</f>
        <v>231242.53013226652</v>
      </c>
      <c r="AC8" s="1">
        <f t="shared" ref="AC8:AJ8" si="24">+AC$7*(AB8/AB$7)</f>
        <v>264467.5256326833</v>
      </c>
      <c r="AD8" s="1">
        <f t="shared" si="24"/>
        <v>300436.9143578111</v>
      </c>
      <c r="AE8" s="1">
        <f t="shared" si="24"/>
        <v>339342.07314136991</v>
      </c>
      <c r="AF8" s="1">
        <f t="shared" si="24"/>
        <v>381386.65551739</v>
      </c>
      <c r="AG8" s="1">
        <f t="shared" si="24"/>
        <v>426787.34094815876</v>
      </c>
      <c r="AH8" s="1">
        <f t="shared" si="24"/>
        <v>475774.62828321097</v>
      </c>
      <c r="AI8" s="1">
        <f t="shared" si="24"/>
        <v>528593.67599939799</v>
      </c>
      <c r="AJ8" s="1">
        <f t="shared" si="24"/>
        <v>585505.19191649568</v>
      </c>
    </row>
    <row r="9" spans="1:236">
      <c r="B9" s="1" t="s">
        <v>16</v>
      </c>
      <c r="C9" s="1">
        <v>22292</v>
      </c>
      <c r="D9" s="1">
        <v>26735</v>
      </c>
      <c r="E9" s="1">
        <v>30316</v>
      </c>
      <c r="F9" s="1">
        <v>31025</v>
      </c>
      <c r="G9" s="1">
        <v>34302</v>
      </c>
      <c r="H9" s="1">
        <v>37013</v>
      </c>
      <c r="I9" s="1">
        <v>38006</v>
      </c>
      <c r="J9" s="1">
        <v>38153</v>
      </c>
      <c r="K9" s="1">
        <v>39243</v>
      </c>
      <c r="L9" s="1">
        <v>43513</v>
      </c>
      <c r="M9" s="1">
        <v>43750</v>
      </c>
      <c r="N9" s="1">
        <f t="shared" si="21"/>
        <v>44800</v>
      </c>
      <c r="O9" s="1">
        <v>45766</v>
      </c>
      <c r="W9" s="1">
        <v>83691</v>
      </c>
      <c r="X9" s="1">
        <f t="shared" si="22"/>
        <v>110368</v>
      </c>
      <c r="Y9" s="1">
        <f t="shared" si="23"/>
        <v>147474</v>
      </c>
      <c r="Z9" s="1">
        <v>171306</v>
      </c>
      <c r="AA9" s="1">
        <f>+AA7*'cmg baseline model'!C5</f>
        <v>168105.26574037649</v>
      </c>
      <c r="AB9" s="1">
        <f t="shared" ref="AB9:AJ14" si="25">+AB$7*(AA9/AA$7)</f>
        <v>193801.35636069116</v>
      </c>
      <c r="AC9" s="1">
        <f t="shared" si="25"/>
        <v>221646.79287868642</v>
      </c>
      <c r="AD9" s="1">
        <f t="shared" si="25"/>
        <v>251792.26965757945</v>
      </c>
      <c r="AE9" s="1">
        <f t="shared" si="25"/>
        <v>284398.17713216506</v>
      </c>
      <c r="AF9" s="1">
        <f t="shared" si="25"/>
        <v>319635.19468006527</v>
      </c>
      <c r="AG9" s="1">
        <f t="shared" si="25"/>
        <v>357684.91853992507</v>
      </c>
      <c r="AH9" s="1">
        <f t="shared" si="25"/>
        <v>398740.52679907077</v>
      </c>
      <c r="AI9" s="1">
        <f t="shared" si="25"/>
        <v>443007.4835877812</v>
      </c>
      <c r="AJ9" s="1">
        <f t="shared" si="25"/>
        <v>490704.28473836498</v>
      </c>
    </row>
    <row r="10" spans="1:236">
      <c r="B10" s="1" t="s">
        <v>17</v>
      </c>
      <c r="C10" s="1">
        <v>10049</v>
      </c>
      <c r="D10" s="1">
        <v>11817</v>
      </c>
      <c r="E10" s="1">
        <v>14053</v>
      </c>
      <c r="F10" s="1">
        <v>10129</v>
      </c>
      <c r="G10" s="1">
        <v>10517</v>
      </c>
      <c r="H10" s="1">
        <v>11150</v>
      </c>
      <c r="I10" s="1">
        <v>11504</v>
      </c>
      <c r="J10" s="1">
        <v>12067</v>
      </c>
      <c r="K10" s="1">
        <v>12630</v>
      </c>
      <c r="L10" s="1">
        <v>13526</v>
      </c>
      <c r="M10" s="1">
        <v>13961</v>
      </c>
      <c r="N10" s="1">
        <f t="shared" si="21"/>
        <v>14164</v>
      </c>
      <c r="O10" s="1">
        <v>14448</v>
      </c>
      <c r="W10" s="1">
        <v>32308</v>
      </c>
      <c r="X10" s="1">
        <f t="shared" si="22"/>
        <v>46048</v>
      </c>
      <c r="Y10" s="1">
        <f t="shared" si="23"/>
        <v>45238</v>
      </c>
      <c r="Z10" s="1">
        <v>54281</v>
      </c>
      <c r="AA10" s="1">
        <f>+AA7*'cmg baseline model'!C6</f>
        <v>34658.726880232971</v>
      </c>
      <c r="AB10" s="1">
        <f t="shared" si="25"/>
        <v>39956.56084621144</v>
      </c>
      <c r="AC10" s="1">
        <f t="shared" si="25"/>
        <v>45697.531391587181</v>
      </c>
      <c r="AD10" s="1">
        <f t="shared" si="25"/>
        <v>51912.707589384961</v>
      </c>
      <c r="AE10" s="1">
        <f t="shared" si="25"/>
        <v>58635.157578483544</v>
      </c>
      <c r="AF10" s="1">
        <f t="shared" si="25"/>
        <v>65900.070797518521</v>
      </c>
      <c r="AG10" s="1">
        <f t="shared" si="25"/>
        <v>73744.887444510794</v>
      </c>
      <c r="AH10" s="1">
        <f t="shared" si="25"/>
        <v>82209.435579208512</v>
      </c>
      <c r="AI10" s="1">
        <f t="shared" si="25"/>
        <v>91336.076308764721</v>
      </c>
      <c r="AJ10" s="1">
        <f t="shared" si="25"/>
        <v>101169.85752232852</v>
      </c>
    </row>
    <row r="11" spans="1:236">
      <c r="B11" s="1" t="s">
        <v>18</v>
      </c>
      <c r="C11" s="1">
        <v>9681</v>
      </c>
      <c r="D11" s="1">
        <v>11669</v>
      </c>
      <c r="E11" s="1">
        <v>11640</v>
      </c>
      <c r="F11" s="1">
        <v>16353</v>
      </c>
      <c r="G11" s="1">
        <v>17275</v>
      </c>
      <c r="H11" s="1">
        <v>19715</v>
      </c>
      <c r="I11" s="1">
        <v>20113</v>
      </c>
      <c r="J11" s="1">
        <v>20868</v>
      </c>
      <c r="K11" s="1">
        <v>20665</v>
      </c>
      <c r="L11" s="1">
        <v>23405</v>
      </c>
      <c r="M11" s="1">
        <v>24850</v>
      </c>
      <c r="N11" s="1">
        <f t="shared" si="21"/>
        <v>25889</v>
      </c>
      <c r="O11" s="1">
        <v>25381</v>
      </c>
      <c r="W11" s="1">
        <v>47164</v>
      </c>
      <c r="X11" s="1">
        <f t="shared" si="22"/>
        <v>49343</v>
      </c>
      <c r="Y11" s="1">
        <f t="shared" si="23"/>
        <v>77971</v>
      </c>
      <c r="Z11" s="1">
        <v>94809</v>
      </c>
      <c r="AA11" s="1">
        <f>+AA7*'cmg baseline model'!C7</f>
        <v>98394.782964710801</v>
      </c>
      <c r="AB11" s="1">
        <f t="shared" si="25"/>
        <v>113435.12836074518</v>
      </c>
      <c r="AC11" s="1">
        <f t="shared" si="25"/>
        <v>129733.52133897123</v>
      </c>
      <c r="AD11" s="1">
        <f t="shared" si="25"/>
        <v>147378.16579411802</v>
      </c>
      <c r="AE11" s="1">
        <f t="shared" si="25"/>
        <v>166462.94089143202</v>
      </c>
      <c r="AF11" s="1">
        <f t="shared" si="25"/>
        <v>187087.74808399213</v>
      </c>
      <c r="AG11" s="1">
        <f t="shared" si="25"/>
        <v>209358.87864357969</v>
      </c>
      <c r="AH11" s="1">
        <f t="shared" si="25"/>
        <v>233389.40288891603</v>
      </c>
      <c r="AI11" s="1">
        <f t="shared" si="25"/>
        <v>259299.58236217708</v>
      </c>
      <c r="AJ11" s="1">
        <f t="shared" si="25"/>
        <v>287217.30627554195</v>
      </c>
    </row>
    <row r="12" spans="1:236">
      <c r="B12" s="1" t="s">
        <v>19</v>
      </c>
      <c r="C12" s="1">
        <v>23380</v>
      </c>
      <c r="D12" s="1">
        <v>26081</v>
      </c>
      <c r="E12" s="1">
        <v>28944</v>
      </c>
      <c r="F12" s="1">
        <v>46645</v>
      </c>
      <c r="G12" s="1">
        <v>50199</v>
      </c>
      <c r="H12" s="1">
        <v>51798</v>
      </c>
      <c r="I12" s="1">
        <v>41903</v>
      </c>
      <c r="J12" s="1">
        <v>43467</v>
      </c>
      <c r="K12" s="1">
        <v>34907</v>
      </c>
      <c r="L12" s="1">
        <v>40350</v>
      </c>
      <c r="M12" s="1">
        <v>35963</v>
      </c>
      <c r="N12" s="1">
        <f t="shared" si="21"/>
        <v>35542</v>
      </c>
      <c r="O12" s="1">
        <v>36865</v>
      </c>
      <c r="W12" s="1">
        <v>99142</v>
      </c>
      <c r="X12" s="1">
        <f t="shared" si="22"/>
        <v>125050</v>
      </c>
      <c r="Y12" s="1">
        <f t="shared" si="23"/>
        <v>187367</v>
      </c>
      <c r="Z12" s="1">
        <v>146762</v>
      </c>
      <c r="AA12" s="1">
        <f>+AA7*'cmg baseline model'!C8</f>
        <v>43633.589550783538</v>
      </c>
      <c r="AB12" s="1">
        <f t="shared" si="25"/>
        <v>50303.295382117598</v>
      </c>
      <c r="AC12" s="1">
        <f t="shared" si="25"/>
        <v>57530.887822708108</v>
      </c>
      <c r="AD12" s="1">
        <f t="shared" si="25"/>
        <v>65355.481268902375</v>
      </c>
      <c r="AE12" s="1">
        <f t="shared" si="25"/>
        <v>73818.706840159284</v>
      </c>
      <c r="AF12" s="1">
        <f t="shared" si="25"/>
        <v>82964.866265369637</v>
      </c>
      <c r="AG12" s="1">
        <f t="shared" si="25"/>
        <v>92841.094866000625</v>
      </c>
      <c r="AH12" s="1">
        <f t="shared" si="25"/>
        <v>103497.53416103129</v>
      </c>
      <c r="AI12" s="1">
        <f t="shared" si="25"/>
        <v>114987.51464840004</v>
      </c>
      <c r="AJ12" s="1">
        <f t="shared" si="25"/>
        <v>127367.74934910306</v>
      </c>
    </row>
    <row r="13" spans="1:236">
      <c r="B13" s="1" t="s">
        <v>20</v>
      </c>
      <c r="C13" s="1">
        <v>7847</v>
      </c>
      <c r="D13" s="1">
        <v>8408</v>
      </c>
      <c r="E13" s="1">
        <v>9303</v>
      </c>
      <c r="F13" s="1">
        <v>9991</v>
      </c>
      <c r="G13" s="1">
        <v>10677</v>
      </c>
      <c r="H13" s="1">
        <v>11305</v>
      </c>
      <c r="I13" s="1">
        <v>11887</v>
      </c>
      <c r="J13" s="1">
        <v>12602</v>
      </c>
      <c r="K13" s="1">
        <v>13110</v>
      </c>
      <c r="L13" s="1">
        <v>14518</v>
      </c>
      <c r="M13" s="1">
        <v>15682</v>
      </c>
      <c r="N13" s="1">
        <f t="shared" si="21"/>
        <v>16181</v>
      </c>
      <c r="O13" s="1">
        <v>16427</v>
      </c>
      <c r="W13" s="1">
        <v>26851</v>
      </c>
      <c r="X13" s="1">
        <f t="shared" si="22"/>
        <v>35549</v>
      </c>
      <c r="Y13" s="1">
        <f t="shared" si="23"/>
        <v>46471</v>
      </c>
      <c r="Z13" s="1">
        <v>59491</v>
      </c>
      <c r="AA13" s="1">
        <f>+AA7*'cmg baseline model'!C9</f>
        <v>21995.989010112247</v>
      </c>
      <c r="AB13" s="1">
        <f t="shared" si="25"/>
        <v>25358.23304451512</v>
      </c>
      <c r="AC13" s="1">
        <f t="shared" si="25"/>
        <v>29001.711509833003</v>
      </c>
      <c r="AD13" s="1">
        <f t="shared" si="25"/>
        <v>32946.142239071385</v>
      </c>
      <c r="AE13" s="1">
        <f t="shared" si="25"/>
        <v>37212.51176245902</v>
      </c>
      <c r="AF13" s="1">
        <f t="shared" si="25"/>
        <v>41823.152882587739</v>
      </c>
      <c r="AG13" s="1">
        <f t="shared" si="25"/>
        <v>46801.826835323183</v>
      </c>
      <c r="AH13" s="1">
        <f t="shared" si="25"/>
        <v>52173.810301125704</v>
      </c>
      <c r="AI13" s="1">
        <f t="shared" si="25"/>
        <v>57965.987546420176</v>
      </c>
      <c r="AJ13" s="1">
        <f t="shared" si="25"/>
        <v>64206.947990491273</v>
      </c>
    </row>
    <row r="14" spans="1:236">
      <c r="B14" s="1" t="s">
        <v>21</v>
      </c>
      <c r="C14" s="1">
        <v>961</v>
      </c>
      <c r="D14" s="1">
        <v>2506</v>
      </c>
      <c r="E14" s="1">
        <v>2789</v>
      </c>
      <c r="F14" s="1">
        <v>2937</v>
      </c>
      <c r="G14" s="1">
        <v>2512</v>
      </c>
      <c r="H14" s="1">
        <v>2520</v>
      </c>
      <c r="I14" s="1">
        <v>3061</v>
      </c>
      <c r="J14" s="1">
        <v>3430</v>
      </c>
      <c r="K14" s="1">
        <v>3366</v>
      </c>
      <c r="L14" s="1">
        <v>2302</v>
      </c>
      <c r="M14" s="1">
        <v>2522</v>
      </c>
      <c r="N14" s="1">
        <f t="shared" si="21"/>
        <v>1073</v>
      </c>
      <c r="O14" s="1">
        <v>1432</v>
      </c>
      <c r="W14" s="1">
        <v>4551</v>
      </c>
      <c r="X14" s="1">
        <f t="shared" si="22"/>
        <v>9193</v>
      </c>
      <c r="Y14" s="1">
        <f t="shared" si="23"/>
        <v>11523</v>
      </c>
      <c r="Z14" s="1">
        <v>9263</v>
      </c>
      <c r="AA14" s="1">
        <f>+AA7*'cmg baseline model'!C10</f>
        <v>2543.3598318454806</v>
      </c>
      <c r="AB14" s="1">
        <f t="shared" si="25"/>
        <v>2932.1305489990041</v>
      </c>
      <c r="AC14" s="1">
        <f t="shared" si="25"/>
        <v>3353.4199382882666</v>
      </c>
      <c r="AD14" s="1">
        <f t="shared" si="25"/>
        <v>3809.5079401339581</v>
      </c>
      <c r="AE14" s="1">
        <f t="shared" si="25"/>
        <v>4302.8211923184972</v>
      </c>
      <c r="AF14" s="1">
        <f t="shared" si="25"/>
        <v>4835.9419998711555</v>
      </c>
      <c r="AG14" s="1">
        <f t="shared" si="25"/>
        <v>5411.6178351982835</v>
      </c>
      <c r="AH14" s="1">
        <f t="shared" si="25"/>
        <v>6032.7713990584471</v>
      </c>
      <c r="AI14" s="1">
        <f t="shared" si="25"/>
        <v>6702.5112747166313</v>
      </c>
      <c r="AJ14" s="1">
        <f t="shared" si="25"/>
        <v>7424.1432094429874</v>
      </c>
    </row>
    <row r="15" spans="1:236">
      <c r="B15" s="1" t="s">
        <v>22</v>
      </c>
      <c r="C15" s="1">
        <f t="shared" ref="C15:O15" si="26">+C7-SUM(C8:C14)</f>
        <v>-30086</v>
      </c>
      <c r="D15" s="1">
        <f t="shared" si="26"/>
        <v>-24160</v>
      </c>
      <c r="E15" s="1">
        <f t="shared" si="26"/>
        <v>-27902</v>
      </c>
      <c r="F15" s="1">
        <f t="shared" si="26"/>
        <v>-47228</v>
      </c>
      <c r="G15" s="1">
        <f t="shared" si="26"/>
        <v>-49997</v>
      </c>
      <c r="H15" s="1">
        <f t="shared" si="26"/>
        <v>-42480</v>
      </c>
      <c r="I15" s="1">
        <f t="shared" si="26"/>
        <v>-36922</v>
      </c>
      <c r="J15" s="1">
        <f t="shared" si="26"/>
        <v>-46676</v>
      </c>
      <c r="K15" s="1">
        <f t="shared" si="26"/>
        <v>-34446</v>
      </c>
      <c r="L15" s="1">
        <f t="shared" si="26"/>
        <v>-26081</v>
      </c>
      <c r="M15" s="1">
        <f t="shared" si="26"/>
        <v>-25054</v>
      </c>
      <c r="N15" s="1">
        <f t="shared" si="26"/>
        <v>-28015</v>
      </c>
      <c r="O15" s="1">
        <f t="shared" si="26"/>
        <v>-26187</v>
      </c>
      <c r="W15" s="1">
        <f>+W7-SUM(W8:W14)</f>
        <v>-139246</v>
      </c>
      <c r="X15" s="1">
        <f t="shared" si="22"/>
        <v>-129376</v>
      </c>
      <c r="Y15" s="1">
        <f t="shared" si="23"/>
        <v>-176075</v>
      </c>
      <c r="Z15" s="1">
        <f t="shared" si="23"/>
        <v>-160524</v>
      </c>
      <c r="AA15" s="1">
        <f>+AA7-SUM(AA8:AA14)</f>
        <v>109925.74602568615</v>
      </c>
      <c r="AB15" s="1">
        <f t="shared" ref="AB15:AJ15" si="27">+AB7-SUM(AB8:AB14)</f>
        <v>126728.68148961244</v>
      </c>
      <c r="AC15" s="1">
        <f t="shared" si="27"/>
        <v>144937.09613486717</v>
      </c>
      <c r="AD15" s="1">
        <f t="shared" si="27"/>
        <v>164649.53054092324</v>
      </c>
      <c r="AE15" s="1">
        <f t="shared" si="27"/>
        <v>185970.86564724799</v>
      </c>
      <c r="AF15" s="1">
        <f t="shared" si="27"/>
        <v>209012.71043785312</v>
      </c>
      <c r="AG15" s="1">
        <f t="shared" si="27"/>
        <v>233893.81254339986</v>
      </c>
      <c r="AH15" s="1">
        <f t="shared" si="27"/>
        <v>260740.49308340717</v>
      </c>
      <c r="AI15" s="1">
        <f t="shared" si="27"/>
        <v>289687.10714605683</v>
      </c>
      <c r="AJ15" s="1">
        <f t="shared" si="27"/>
        <v>320876.53138226247</v>
      </c>
    </row>
    <row r="16" spans="1:236">
      <c r="B16" s="1" t="s">
        <v>23</v>
      </c>
      <c r="C16" s="1">
        <v>-112</v>
      </c>
      <c r="D16" s="1">
        <v>-109</v>
      </c>
      <c r="E16" s="1">
        <v>-78</v>
      </c>
      <c r="F16" s="1">
        <v>-151</v>
      </c>
      <c r="G16" s="1">
        <v>-168</v>
      </c>
      <c r="H16" s="1">
        <v>-593</v>
      </c>
      <c r="I16" s="1">
        <v>-1644</v>
      </c>
      <c r="J16" s="1">
        <v>-2738</v>
      </c>
      <c r="K16" s="1">
        <v>-3062</v>
      </c>
      <c r="L16" s="1">
        <v>-3251</v>
      </c>
      <c r="M16" s="1">
        <v>-3381</v>
      </c>
      <c r="N16" s="1">
        <f t="shared" si="21"/>
        <v>-3248</v>
      </c>
      <c r="O16" s="1">
        <v>-3016</v>
      </c>
      <c r="W16" s="1">
        <v>-1018</v>
      </c>
      <c r="X16" s="1">
        <f t="shared" si="22"/>
        <v>-450</v>
      </c>
      <c r="Y16" s="1">
        <f t="shared" si="23"/>
        <v>-5143</v>
      </c>
      <c r="Z16" s="1">
        <v>-12942</v>
      </c>
      <c r="AA16" s="1">
        <f>+AA15*(Z16/Z15)</f>
        <v>8862.5937870002617</v>
      </c>
      <c r="AB16" s="1">
        <f t="shared" ref="AB16:AJ16" si="28">+AB15*(AA16/AA15)</f>
        <v>10217.304551584586</v>
      </c>
      <c r="AC16" s="1">
        <f t="shared" si="28"/>
        <v>11685.329908159843</v>
      </c>
      <c r="AD16" s="1">
        <f t="shared" si="28"/>
        <v>13274.614539013659</v>
      </c>
      <c r="AE16" s="1">
        <f t="shared" si="28"/>
        <v>14993.614308182474</v>
      </c>
      <c r="AF16" s="1">
        <f t="shared" si="28"/>
        <v>16851.327517920654</v>
      </c>
      <c r="AG16" s="1">
        <f t="shared" si="28"/>
        <v>18857.328012862134</v>
      </c>
      <c r="AH16" s="1">
        <f t="shared" si="28"/>
        <v>21021.800238502998</v>
      </c>
      <c r="AI16" s="1">
        <f t="shared" si="28"/>
        <v>23355.576366675807</v>
      </c>
      <c r="AJ16" s="1">
        <f t="shared" si="28"/>
        <v>25870.175607069603</v>
      </c>
    </row>
    <row r="17" spans="2:236">
      <c r="B17" s="1" t="s">
        <v>24</v>
      </c>
      <c r="C17" s="1">
        <v>20</v>
      </c>
      <c r="D17" s="1">
        <v>23</v>
      </c>
      <c r="E17" s="1">
        <v>23</v>
      </c>
      <c r="F17" s="1">
        <v>22</v>
      </c>
      <c r="G17" s="1">
        <v>23</v>
      </c>
      <c r="H17" s="1">
        <v>22</v>
      </c>
      <c r="I17" s="1">
        <v>23</v>
      </c>
      <c r="J17" s="1">
        <v>15</v>
      </c>
      <c r="K17" s="1">
        <v>21</v>
      </c>
      <c r="L17" s="1">
        <v>18</v>
      </c>
      <c r="M17" s="1">
        <v>19</v>
      </c>
      <c r="N17" s="1">
        <f t="shared" si="21"/>
        <v>70</v>
      </c>
      <c r="O17" s="1">
        <v>19</v>
      </c>
      <c r="W17" s="1">
        <v>404</v>
      </c>
      <c r="X17" s="1">
        <f t="shared" si="22"/>
        <v>88</v>
      </c>
      <c r="Y17" s="1">
        <f t="shared" si="23"/>
        <v>83</v>
      </c>
      <c r="Z17" s="1">
        <v>128</v>
      </c>
      <c r="AA17" s="1">
        <f>+AA15*(Z17/Z15)</f>
        <v>-87.653531504870472</v>
      </c>
      <c r="AB17" s="1">
        <f t="shared" ref="AB17:AJ17" si="29">+AB15*(AA17/AA15)</f>
        <v>-101.05199989204351</v>
      </c>
      <c r="AC17" s="1">
        <f t="shared" si="29"/>
        <v>-115.5711812891717</v>
      </c>
      <c r="AD17" s="1">
        <f t="shared" si="29"/>
        <v>-131.28965082628253</v>
      </c>
      <c r="AE17" s="1">
        <f t="shared" si="29"/>
        <v>-148.29103936388168</v>
      </c>
      <c r="AF17" s="1">
        <f t="shared" si="29"/>
        <v>-166.66434262817523</v>
      </c>
      <c r="AG17" s="1">
        <f t="shared" si="29"/>
        <v>-186.5042486204878</v>
      </c>
      <c r="AH17" s="1">
        <f t="shared" si="29"/>
        <v>-207.9114843554616</v>
      </c>
      <c r="AI17" s="1">
        <f t="shared" si="29"/>
        <v>-230.99318304238167</v>
      </c>
      <c r="AJ17" s="1">
        <f t="shared" si="29"/>
        <v>-255.86327288710473</v>
      </c>
    </row>
    <row r="18" spans="2:236">
      <c r="B18" s="1" t="s">
        <v>18</v>
      </c>
      <c r="C18" s="1">
        <v>0</v>
      </c>
      <c r="D18" s="1">
        <v>2804</v>
      </c>
      <c r="E18" s="1">
        <v>-2196</v>
      </c>
      <c r="F18" s="1">
        <v>18384</v>
      </c>
      <c r="G18" s="1">
        <v>-245</v>
      </c>
      <c r="H18" s="1">
        <v>-1618</v>
      </c>
      <c r="I18" s="1">
        <v>-303</v>
      </c>
      <c r="J18" s="1">
        <v>2985</v>
      </c>
      <c r="K18" s="1">
        <v>1058</v>
      </c>
      <c r="L18" s="1">
        <v>-1073</v>
      </c>
      <c r="M18" s="1">
        <v>1612</v>
      </c>
      <c r="N18" s="1">
        <f t="shared" si="21"/>
        <v>1878</v>
      </c>
      <c r="O18" s="1">
        <v>2059</v>
      </c>
      <c r="W18" s="1">
        <v>245</v>
      </c>
      <c r="X18" s="1">
        <f t="shared" si="22"/>
        <v>18992</v>
      </c>
      <c r="Y18" s="1">
        <f t="shared" si="23"/>
        <v>819</v>
      </c>
      <c r="Z18" s="1">
        <v>3475</v>
      </c>
      <c r="AA18" s="1">
        <f>+AA15*(Z18/Z15)</f>
        <v>-2379.6564217142568</v>
      </c>
      <c r="AB18" s="1">
        <f t="shared" ref="AB18:AJ18" si="30">+AB15*(AA18/AA15)</f>
        <v>-2743.4039033191502</v>
      </c>
      <c r="AC18" s="1">
        <f t="shared" si="30"/>
        <v>-3137.5769920302473</v>
      </c>
      <c r="AD18" s="1">
        <f t="shared" si="30"/>
        <v>-3564.3088798541544</v>
      </c>
      <c r="AE18" s="1">
        <f t="shared" si="30"/>
        <v>-4025.8700139803818</v>
      </c>
      <c r="AF18" s="1">
        <f t="shared" si="30"/>
        <v>-4524.6764893196005</v>
      </c>
      <c r="AG18" s="1">
        <f t="shared" si="30"/>
        <v>-5063.2989371577733</v>
      </c>
      <c r="AH18" s="1">
        <f t="shared" si="30"/>
        <v>-5644.4719385564758</v>
      </c>
      <c r="AI18" s="1">
        <f t="shared" si="30"/>
        <v>-6271.1039927521579</v>
      </c>
      <c r="AJ18" s="1">
        <f t="shared" si="30"/>
        <v>-6946.2880725210061</v>
      </c>
    </row>
    <row r="19" spans="2:236">
      <c r="B19" s="1" t="s">
        <v>25</v>
      </c>
      <c r="C19" s="1">
        <f t="shared" ref="C19:O19" si="31">+C15-SUM(C16:C18)</f>
        <v>-29994</v>
      </c>
      <c r="D19" s="1">
        <f t="shared" si="31"/>
        <v>-26878</v>
      </c>
      <c r="E19" s="1">
        <f t="shared" si="31"/>
        <v>-25651</v>
      </c>
      <c r="F19" s="1">
        <f t="shared" si="31"/>
        <v>-65483</v>
      </c>
      <c r="G19" s="1">
        <f t="shared" si="31"/>
        <v>-49607</v>
      </c>
      <c r="H19" s="1">
        <f t="shared" si="31"/>
        <v>-40291</v>
      </c>
      <c r="I19" s="1">
        <f t="shared" si="31"/>
        <v>-34998</v>
      </c>
      <c r="J19" s="1">
        <f t="shared" si="31"/>
        <v>-46938</v>
      </c>
      <c r="K19" s="1">
        <f t="shared" si="31"/>
        <v>-32463</v>
      </c>
      <c r="L19" s="1">
        <f t="shared" si="31"/>
        <v>-21775</v>
      </c>
      <c r="M19" s="1">
        <f t="shared" si="31"/>
        <v>-23304</v>
      </c>
      <c r="N19" s="1">
        <f t="shared" si="31"/>
        <v>-26715</v>
      </c>
      <c r="O19" s="1">
        <f t="shared" si="31"/>
        <v>-25249</v>
      </c>
      <c r="W19" s="1">
        <f>+W15-SUM(W16:W18)</f>
        <v>-138877</v>
      </c>
      <c r="X19" s="1">
        <f t="shared" si="22"/>
        <v>-148006</v>
      </c>
      <c r="Y19" s="1">
        <f t="shared" si="23"/>
        <v>-171834</v>
      </c>
      <c r="Z19" s="1">
        <f t="shared" si="23"/>
        <v>-154690</v>
      </c>
      <c r="AA19" s="1">
        <f>+AA15-SUM(AA16:AA18)</f>
        <v>103530.46219190501</v>
      </c>
      <c r="AB19" s="1">
        <f t="shared" ref="AB19:AJ19" si="32">+AB15-SUM(AB16:AB18)</f>
        <v>119355.83284123905</v>
      </c>
      <c r="AC19" s="1">
        <f t="shared" si="32"/>
        <v>136504.91440002676</v>
      </c>
      <c r="AD19" s="1">
        <f t="shared" si="32"/>
        <v>155070.51453259002</v>
      </c>
      <c r="AE19" s="1">
        <f t="shared" si="32"/>
        <v>175151.41239240978</v>
      </c>
      <c r="AF19" s="1">
        <f t="shared" si="32"/>
        <v>196852.72375188023</v>
      </c>
      <c r="AG19" s="1">
        <f t="shared" si="32"/>
        <v>220286.287716316</v>
      </c>
      <c r="AH19" s="1">
        <f t="shared" si="32"/>
        <v>245571.0762678161</v>
      </c>
      <c r="AI19" s="1">
        <f t="shared" si="32"/>
        <v>272833.62795517559</v>
      </c>
      <c r="AJ19" s="1">
        <f t="shared" si="32"/>
        <v>302208.50712060096</v>
      </c>
    </row>
    <row r="20" spans="2:236">
      <c r="B20" s="1" t="s">
        <v>26</v>
      </c>
      <c r="C20" s="1">
        <v>0</v>
      </c>
      <c r="D20" s="1">
        <v>0</v>
      </c>
      <c r="E20" s="1">
        <v>0</v>
      </c>
      <c r="F20" s="1">
        <v>147</v>
      </c>
      <c r="G20" s="1">
        <v>20</v>
      </c>
      <c r="H20" s="1">
        <v>20</v>
      </c>
      <c r="I20" s="1">
        <v>20</v>
      </c>
      <c r="J20" s="1">
        <v>1285</v>
      </c>
      <c r="K20" s="1">
        <v>318</v>
      </c>
      <c r="L20" s="1">
        <v>318</v>
      </c>
      <c r="M20" s="1">
        <v>318</v>
      </c>
      <c r="N20" s="1">
        <f t="shared" si="21"/>
        <v>-575</v>
      </c>
      <c r="O20" s="1">
        <v>90</v>
      </c>
      <c r="W20" s="1">
        <v>0</v>
      </c>
      <c r="X20" s="1">
        <f t="shared" si="22"/>
        <v>147</v>
      </c>
      <c r="Y20" s="1">
        <f t="shared" si="23"/>
        <v>1345</v>
      </c>
      <c r="Z20" s="1">
        <v>379</v>
      </c>
      <c r="AA20" s="1">
        <f>+AA19*(Z20/Z19)</f>
        <v>-253.65599050185531</v>
      </c>
      <c r="AB20" s="1">
        <f t="shared" ref="AB20:AJ20" si="33">+AB19*(AA20/AA19)</f>
        <v>-292.42912047856748</v>
      </c>
      <c r="AC20" s="1">
        <f t="shared" si="33"/>
        <v>-334.44542347669631</v>
      </c>
      <c r="AD20" s="1">
        <f t="shared" si="33"/>
        <v>-379.93228397344126</v>
      </c>
      <c r="AE20" s="1">
        <f t="shared" si="33"/>
        <v>-429.13171696116956</v>
      </c>
      <c r="AF20" s="1">
        <f t="shared" si="33"/>
        <v>-482.3012625377375</v>
      </c>
      <c r="AG20" s="1">
        <f t="shared" si="33"/>
        <v>-539.71493337955769</v>
      </c>
      <c r="AH20" s="1">
        <f t="shared" si="33"/>
        <v>-601.66421814921659</v>
      </c>
      <c r="AI20" s="1">
        <f t="shared" si="33"/>
        <v>-668.45914406239297</v>
      </c>
      <c r="AJ20" s="1">
        <f t="shared" si="33"/>
        <v>-740.4294020215126</v>
      </c>
    </row>
    <row r="21" spans="2:236">
      <c r="B21" s="1" t="s">
        <v>27</v>
      </c>
      <c r="C21" s="1">
        <f t="shared" ref="C21:O21" si="34">+C19-C20</f>
        <v>-29994</v>
      </c>
      <c r="D21" s="1">
        <f t="shared" si="34"/>
        <v>-26878</v>
      </c>
      <c r="E21" s="1">
        <f t="shared" si="34"/>
        <v>-25651</v>
      </c>
      <c r="F21" s="1">
        <f t="shared" si="34"/>
        <v>-65630</v>
      </c>
      <c r="G21" s="1">
        <f t="shared" si="34"/>
        <v>-49627</v>
      </c>
      <c r="H21" s="1">
        <f t="shared" si="34"/>
        <v>-40311</v>
      </c>
      <c r="I21" s="1">
        <f t="shared" si="34"/>
        <v>-35018</v>
      </c>
      <c r="J21" s="1">
        <f t="shared" si="34"/>
        <v>-48223</v>
      </c>
      <c r="K21" s="1">
        <f t="shared" si="34"/>
        <v>-32781</v>
      </c>
      <c r="L21" s="1">
        <f t="shared" si="34"/>
        <v>-22093</v>
      </c>
      <c r="M21" s="1">
        <f t="shared" si="34"/>
        <v>-23622</v>
      </c>
      <c r="N21" s="1">
        <f t="shared" si="34"/>
        <v>-26140</v>
      </c>
      <c r="O21" s="1">
        <f t="shared" si="34"/>
        <v>-25339</v>
      </c>
      <c r="W21" s="1">
        <f>+W19-W20</f>
        <v>-138877</v>
      </c>
      <c r="X21" s="1">
        <f t="shared" si="22"/>
        <v>-148153</v>
      </c>
      <c r="Y21" s="1">
        <f t="shared" si="23"/>
        <v>-173179</v>
      </c>
      <c r="Z21" s="1">
        <f t="shared" si="23"/>
        <v>-156333</v>
      </c>
      <c r="AA21" s="1">
        <f>+AA19-AA20</f>
        <v>103784.11818240686</v>
      </c>
      <c r="AB21" s="1">
        <f t="shared" ref="AB21:AJ21" si="35">+AB19-AB20</f>
        <v>119648.26196171762</v>
      </c>
      <c r="AC21" s="1">
        <f t="shared" si="35"/>
        <v>136839.35982350344</v>
      </c>
      <c r="AD21" s="1">
        <f t="shared" si="35"/>
        <v>155450.44681656346</v>
      </c>
      <c r="AE21" s="1">
        <f t="shared" si="35"/>
        <v>175580.54410937094</v>
      </c>
      <c r="AF21" s="1">
        <f t="shared" si="35"/>
        <v>197335.02501441797</v>
      </c>
      <c r="AG21" s="1">
        <f t="shared" si="35"/>
        <v>220826.00264969555</v>
      </c>
      <c r="AH21" s="1">
        <f t="shared" si="35"/>
        <v>246172.7404859653</v>
      </c>
      <c r="AI21" s="1">
        <f t="shared" si="35"/>
        <v>273502.08709923801</v>
      </c>
      <c r="AJ21" s="1">
        <f t="shared" si="35"/>
        <v>302948.93652262248</v>
      </c>
      <c r="AK21" s="1">
        <f>+AJ21*(1+$AN$25)</f>
        <v>305978.42588784872</v>
      </c>
      <c r="AL21" s="1">
        <f t="shared" ref="AL21:CW21" si="36">+AK21*(1+$AN$25)</f>
        <v>309038.21014672722</v>
      </c>
      <c r="AM21" s="1">
        <f t="shared" si="36"/>
        <v>312128.5922481945</v>
      </c>
      <c r="AN21" s="1">
        <f t="shared" si="36"/>
        <v>315249.87817067647</v>
      </c>
      <c r="AO21" s="1">
        <f t="shared" si="36"/>
        <v>318402.37695238326</v>
      </c>
      <c r="AP21" s="1">
        <f t="shared" si="36"/>
        <v>321586.40072190709</v>
      </c>
      <c r="AQ21" s="1">
        <f t="shared" si="36"/>
        <v>324802.26472912618</v>
      </c>
      <c r="AR21" s="1">
        <f t="shared" si="36"/>
        <v>328050.28737641743</v>
      </c>
      <c r="AS21" s="1">
        <f t="shared" si="36"/>
        <v>331330.79025018163</v>
      </c>
      <c r="AT21" s="1">
        <f t="shared" si="36"/>
        <v>334644.09815268347</v>
      </c>
      <c r="AU21" s="1">
        <f t="shared" si="36"/>
        <v>337990.53913421032</v>
      </c>
      <c r="AV21" s="1">
        <f t="shared" si="36"/>
        <v>341370.44452555245</v>
      </c>
      <c r="AW21" s="1">
        <f t="shared" si="36"/>
        <v>344784.14897080796</v>
      </c>
      <c r="AX21" s="1">
        <f t="shared" si="36"/>
        <v>348231.99046051607</v>
      </c>
      <c r="AY21" s="1">
        <f t="shared" si="36"/>
        <v>351714.31036512123</v>
      </c>
      <c r="AZ21" s="1">
        <f t="shared" si="36"/>
        <v>355231.45346877247</v>
      </c>
      <c r="BA21" s="1">
        <f t="shared" si="36"/>
        <v>358783.76800346019</v>
      </c>
      <c r="BB21" s="1">
        <f t="shared" si="36"/>
        <v>362371.60568349482</v>
      </c>
      <c r="BC21" s="1">
        <f t="shared" si="36"/>
        <v>365995.32174032979</v>
      </c>
      <c r="BD21" s="1">
        <f t="shared" si="36"/>
        <v>369655.27495773311</v>
      </c>
      <c r="BE21" s="1">
        <f t="shared" si="36"/>
        <v>373351.82770731044</v>
      </c>
      <c r="BF21" s="1">
        <f t="shared" si="36"/>
        <v>377085.34598438354</v>
      </c>
      <c r="BG21" s="1">
        <f t="shared" si="36"/>
        <v>380856.19944422739</v>
      </c>
      <c r="BH21" s="1">
        <f t="shared" si="36"/>
        <v>384664.76143866964</v>
      </c>
      <c r="BI21" s="1">
        <f t="shared" si="36"/>
        <v>388511.40905305633</v>
      </c>
      <c r="BJ21" s="1">
        <f t="shared" si="36"/>
        <v>392396.52314358688</v>
      </c>
      <c r="BK21" s="1">
        <f t="shared" si="36"/>
        <v>396320.48837502277</v>
      </c>
      <c r="BL21" s="1">
        <f t="shared" si="36"/>
        <v>400283.69325877301</v>
      </c>
      <c r="BM21" s="1">
        <f t="shared" si="36"/>
        <v>404286.53019136074</v>
      </c>
      <c r="BN21" s="1">
        <f t="shared" si="36"/>
        <v>408329.39549327438</v>
      </c>
      <c r="BO21" s="1">
        <f t="shared" si="36"/>
        <v>412412.68944820715</v>
      </c>
      <c r="BP21" s="1">
        <f t="shared" si="36"/>
        <v>416536.81634268921</v>
      </c>
      <c r="BQ21" s="1">
        <f t="shared" si="36"/>
        <v>420702.18450611609</v>
      </c>
      <c r="BR21" s="1">
        <f t="shared" si="36"/>
        <v>424909.20635117724</v>
      </c>
      <c r="BS21" s="1">
        <f t="shared" si="36"/>
        <v>429158.29841468902</v>
      </c>
      <c r="BT21" s="1">
        <f t="shared" si="36"/>
        <v>433449.88139883592</v>
      </c>
      <c r="BU21" s="1">
        <f t="shared" si="36"/>
        <v>437784.38021282427</v>
      </c>
      <c r="BV21" s="1">
        <f t="shared" si="36"/>
        <v>442162.22401495249</v>
      </c>
      <c r="BW21" s="1">
        <f t="shared" si="36"/>
        <v>446583.84625510202</v>
      </c>
      <c r="BX21" s="1">
        <f t="shared" si="36"/>
        <v>451049.68471765303</v>
      </c>
      <c r="BY21" s="1">
        <f t="shared" si="36"/>
        <v>455560.18156482955</v>
      </c>
      <c r="BZ21" s="1">
        <f t="shared" si="36"/>
        <v>460115.78338047786</v>
      </c>
      <c r="CA21" s="1">
        <f t="shared" si="36"/>
        <v>464716.94121428265</v>
      </c>
      <c r="CB21" s="1">
        <f t="shared" si="36"/>
        <v>469364.11062642548</v>
      </c>
      <c r="CC21" s="1">
        <f t="shared" si="36"/>
        <v>474057.75173268974</v>
      </c>
      <c r="CD21" s="1">
        <f t="shared" si="36"/>
        <v>478798.32925001666</v>
      </c>
      <c r="CE21" s="1">
        <f t="shared" si="36"/>
        <v>483586.31254251685</v>
      </c>
      <c r="CF21" s="1">
        <f t="shared" si="36"/>
        <v>488422.17566794204</v>
      </c>
      <c r="CG21" s="1">
        <f t="shared" si="36"/>
        <v>493306.39742462145</v>
      </c>
      <c r="CH21" s="1">
        <f t="shared" si="36"/>
        <v>498239.46139886766</v>
      </c>
      <c r="CI21" s="1">
        <f t="shared" si="36"/>
        <v>503221.85601285635</v>
      </c>
      <c r="CJ21" s="1">
        <f t="shared" si="36"/>
        <v>508254.07457298494</v>
      </c>
      <c r="CK21" s="1">
        <f t="shared" si="36"/>
        <v>513336.61531871482</v>
      </c>
      <c r="CL21" s="1">
        <f t="shared" si="36"/>
        <v>518469.98147190199</v>
      </c>
      <c r="CM21" s="1">
        <f t="shared" si="36"/>
        <v>523654.68128662102</v>
      </c>
      <c r="CN21" s="1">
        <f t="shared" si="36"/>
        <v>528891.22809948726</v>
      </c>
      <c r="CO21" s="1">
        <f t="shared" si="36"/>
        <v>534180.14038048219</v>
      </c>
      <c r="CP21" s="1">
        <f t="shared" si="36"/>
        <v>539521.94178428699</v>
      </c>
      <c r="CQ21" s="1">
        <f t="shared" si="36"/>
        <v>544917.16120212991</v>
      </c>
      <c r="CR21" s="1">
        <f t="shared" si="36"/>
        <v>550366.33281415119</v>
      </c>
      <c r="CS21" s="1">
        <f t="shared" si="36"/>
        <v>555869.99614229274</v>
      </c>
      <c r="CT21" s="1">
        <f t="shared" si="36"/>
        <v>561428.69610371569</v>
      </c>
      <c r="CU21" s="1">
        <f t="shared" si="36"/>
        <v>567042.98306475289</v>
      </c>
      <c r="CV21" s="1">
        <f t="shared" si="36"/>
        <v>572713.41289540043</v>
      </c>
      <c r="CW21" s="1">
        <f t="shared" si="36"/>
        <v>578440.54702435446</v>
      </c>
      <c r="CX21" s="1">
        <f t="shared" ref="CX21:CY21" si="37">+CW21*(1+$AN$25)</f>
        <v>584224.95249459799</v>
      </c>
      <c r="CY21" s="1">
        <f t="shared" si="37"/>
        <v>590067.20201954397</v>
      </c>
      <c r="CZ21" s="1">
        <f t="shared" ref="CZ21:DV21" si="38">+CY21*(1+$AN$25)</f>
        <v>595967.87403973937</v>
      </c>
      <c r="DA21" s="1">
        <f t="shared" si="38"/>
        <v>601927.55278013682</v>
      </c>
      <c r="DB21" s="1">
        <f t="shared" si="38"/>
        <v>607946.82830793818</v>
      </c>
      <c r="DC21" s="1">
        <f t="shared" si="38"/>
        <v>614026.29659101751</v>
      </c>
      <c r="DD21" s="1">
        <f t="shared" si="38"/>
        <v>620166.55955692765</v>
      </c>
      <c r="DE21" s="1">
        <f t="shared" si="38"/>
        <v>626368.22515249695</v>
      </c>
      <c r="DF21" s="1">
        <f t="shared" si="38"/>
        <v>632631.90740402194</v>
      </c>
      <c r="DG21" s="1">
        <f t="shared" si="38"/>
        <v>638958.22647806222</v>
      </c>
      <c r="DH21" s="1">
        <f t="shared" si="38"/>
        <v>645347.80874284287</v>
      </c>
      <c r="DI21" s="1">
        <f t="shared" si="38"/>
        <v>651801.28683027136</v>
      </c>
      <c r="DJ21" s="1">
        <f t="shared" si="38"/>
        <v>658319.29969857412</v>
      </c>
      <c r="DK21" s="1">
        <f t="shared" si="38"/>
        <v>664902.49269555986</v>
      </c>
      <c r="DL21" s="1">
        <f t="shared" si="38"/>
        <v>671551.51762251544</v>
      </c>
      <c r="DM21" s="1">
        <f t="shared" si="38"/>
        <v>678267.03279874055</v>
      </c>
      <c r="DN21" s="1">
        <f t="shared" si="38"/>
        <v>685049.70312672795</v>
      </c>
      <c r="DO21" s="1">
        <f t="shared" si="38"/>
        <v>691900.20015799522</v>
      </c>
      <c r="DP21" s="1">
        <f t="shared" si="38"/>
        <v>698819.20215957519</v>
      </c>
      <c r="DQ21" s="1">
        <f t="shared" si="38"/>
        <v>705807.39418117097</v>
      </c>
      <c r="DR21" s="1">
        <f t="shared" si="38"/>
        <v>712865.46812298265</v>
      </c>
      <c r="DS21" s="1">
        <f t="shared" si="38"/>
        <v>719994.1228042125</v>
      </c>
      <c r="DT21" s="1">
        <f t="shared" si="38"/>
        <v>727194.06403225462</v>
      </c>
      <c r="DU21" s="1">
        <f t="shared" si="38"/>
        <v>734466.00467257714</v>
      </c>
      <c r="DV21" s="1">
        <f t="shared" si="38"/>
        <v>741810.66471930291</v>
      </c>
      <c r="DW21" s="1">
        <f t="shared" ref="DW21:EU21" si="39">+DV21*(1+$AN$25)</f>
        <v>749228.77136649599</v>
      </c>
      <c r="DX21" s="1">
        <f t="shared" si="39"/>
        <v>756721.05908016092</v>
      </c>
      <c r="DY21" s="1">
        <f t="shared" si="39"/>
        <v>764288.26967096259</v>
      </c>
      <c r="DZ21" s="1">
        <f t="shared" si="39"/>
        <v>771931.15236767218</v>
      </c>
      <c r="EA21" s="1">
        <f t="shared" si="39"/>
        <v>779650.46389134892</v>
      </c>
      <c r="EB21" s="1">
        <f t="shared" si="39"/>
        <v>787446.96853026247</v>
      </c>
      <c r="EC21" s="1">
        <f t="shared" si="39"/>
        <v>795321.43821556505</v>
      </c>
      <c r="ED21" s="1">
        <f t="shared" si="39"/>
        <v>803274.65259772073</v>
      </c>
      <c r="EE21" s="1">
        <f t="shared" si="39"/>
        <v>811307.39912369801</v>
      </c>
      <c r="EF21" s="1">
        <f t="shared" si="39"/>
        <v>819420.47311493498</v>
      </c>
      <c r="EG21" s="1">
        <f t="shared" si="39"/>
        <v>827614.67784608435</v>
      </c>
      <c r="EH21" s="1">
        <f t="shared" si="39"/>
        <v>835890.82462454517</v>
      </c>
      <c r="EI21" s="1">
        <f t="shared" si="39"/>
        <v>844249.73287079064</v>
      </c>
      <c r="EJ21" s="1">
        <f t="shared" si="39"/>
        <v>852692.23019949859</v>
      </c>
      <c r="EK21" s="1">
        <f t="shared" si="39"/>
        <v>861219.15250149358</v>
      </c>
      <c r="EL21" s="1">
        <f t="shared" si="39"/>
        <v>869831.34402650851</v>
      </c>
      <c r="EM21" s="1">
        <f t="shared" si="39"/>
        <v>878529.65746677364</v>
      </c>
      <c r="EN21" s="1">
        <f t="shared" si="39"/>
        <v>887314.95404144144</v>
      </c>
      <c r="EO21" s="1">
        <f t="shared" si="39"/>
        <v>896188.10358185589</v>
      </c>
      <c r="EP21" s="1">
        <f t="shared" si="39"/>
        <v>905149.98461767449</v>
      </c>
      <c r="EQ21" s="1">
        <f t="shared" si="39"/>
        <v>914201.4844638512</v>
      </c>
      <c r="ER21" s="1">
        <f t="shared" si="39"/>
        <v>923343.49930848973</v>
      </c>
      <c r="ES21" s="1">
        <f t="shared" si="39"/>
        <v>932576.9343015746</v>
      </c>
      <c r="ET21" s="1">
        <f t="shared" si="39"/>
        <v>941902.70364459034</v>
      </c>
      <c r="EU21" s="1">
        <f t="shared" si="39"/>
        <v>951321.73068103625</v>
      </c>
      <c r="EV21" s="1">
        <f t="shared" ref="EV21:FP21" si="40">+EU21*(1+$AN$25)</f>
        <v>960834.94798784656</v>
      </c>
      <c r="EW21" s="1">
        <f t="shared" si="40"/>
        <v>970443.297467725</v>
      </c>
      <c r="EX21" s="1">
        <f t="shared" si="40"/>
        <v>980147.7304424023</v>
      </c>
      <c r="EY21" s="1">
        <f t="shared" si="40"/>
        <v>989949.20774682635</v>
      </c>
      <c r="EZ21" s="1">
        <f t="shared" si="40"/>
        <v>999848.69982429466</v>
      </c>
      <c r="FA21" s="1">
        <f t="shared" si="40"/>
        <v>1009847.1868225376</v>
      </c>
      <c r="FB21" s="1">
        <f t="shared" si="40"/>
        <v>1019945.6586907629</v>
      </c>
      <c r="FC21" s="1">
        <f t="shared" si="40"/>
        <v>1030145.1152776706</v>
      </c>
      <c r="FD21" s="1">
        <f t="shared" si="40"/>
        <v>1040446.5664304473</v>
      </c>
      <c r="FE21" s="1">
        <f t="shared" si="40"/>
        <v>1050851.0320947517</v>
      </c>
      <c r="FF21" s="1">
        <f t="shared" si="40"/>
        <v>1061359.5424156992</v>
      </c>
      <c r="FG21" s="1">
        <f t="shared" si="40"/>
        <v>1071973.1378398563</v>
      </c>
      <c r="FH21" s="1">
        <f t="shared" si="40"/>
        <v>1082692.8692182549</v>
      </c>
      <c r="FI21" s="1">
        <f t="shared" si="40"/>
        <v>1093519.7979104375</v>
      </c>
      <c r="FJ21" s="1">
        <f t="shared" si="40"/>
        <v>1104454.9958895419</v>
      </c>
      <c r="FK21" s="1">
        <f t="shared" si="40"/>
        <v>1115499.5458484374</v>
      </c>
      <c r="FL21" s="1">
        <f t="shared" si="40"/>
        <v>1126654.5413069217</v>
      </c>
      <c r="FM21" s="1">
        <f t="shared" si="40"/>
        <v>1137921.0867199909</v>
      </c>
      <c r="FN21" s="1">
        <f t="shared" si="40"/>
        <v>1149300.2975871908</v>
      </c>
      <c r="FO21" s="1">
        <f t="shared" si="40"/>
        <v>1160793.3005630628</v>
      </c>
      <c r="FP21" s="1">
        <f t="shared" si="40"/>
        <v>1172401.2335686935</v>
      </c>
      <c r="FQ21" s="1">
        <f t="shared" ref="FQ21:GD21" si="41">+FP21*(1+$AN$25)</f>
        <v>1184125.2459043805</v>
      </c>
      <c r="FR21" s="1">
        <f t="shared" si="41"/>
        <v>1195966.4983634243</v>
      </c>
      <c r="FS21" s="1">
        <f t="shared" si="41"/>
        <v>1207926.1633470585</v>
      </c>
      <c r="FT21" s="1">
        <f t="shared" si="41"/>
        <v>1220005.4249805291</v>
      </c>
      <c r="FU21" s="1">
        <f t="shared" si="41"/>
        <v>1232205.4792303345</v>
      </c>
      <c r="FV21" s="1">
        <f t="shared" si="41"/>
        <v>1244527.5340226379</v>
      </c>
      <c r="FW21" s="1">
        <f t="shared" si="41"/>
        <v>1256972.8093628644</v>
      </c>
      <c r="FX21" s="1">
        <f t="shared" si="41"/>
        <v>1269542.5374564929</v>
      </c>
      <c r="FY21" s="1">
        <f t="shared" si="41"/>
        <v>1282237.9628310578</v>
      </c>
      <c r="FZ21" s="1">
        <f t="shared" si="41"/>
        <v>1295060.3424593685</v>
      </c>
      <c r="GA21" s="1">
        <f t="shared" si="41"/>
        <v>1308010.9458839623</v>
      </c>
      <c r="GB21" s="1">
        <f t="shared" si="41"/>
        <v>1321091.0553428018</v>
      </c>
      <c r="GC21" s="1">
        <f t="shared" si="41"/>
        <v>1334301.96589623</v>
      </c>
      <c r="GD21" s="1">
        <f t="shared" si="41"/>
        <v>1347644.9855551922</v>
      </c>
      <c r="GE21" s="1">
        <f t="shared" ref="GE21:GY21" si="42">+GD21*(1+$AN$25)</f>
        <v>1361121.435410744</v>
      </c>
      <c r="GF21" s="1">
        <f t="shared" si="42"/>
        <v>1374732.6497648514</v>
      </c>
      <c r="GG21" s="1">
        <f t="shared" si="42"/>
        <v>1388479.9762625</v>
      </c>
      <c r="GH21" s="1">
        <f t="shared" si="42"/>
        <v>1402364.7760251251</v>
      </c>
      <c r="GI21" s="1">
        <f t="shared" si="42"/>
        <v>1416388.4237853764</v>
      </c>
      <c r="GJ21" s="1">
        <f t="shared" si="42"/>
        <v>1430552.3080232302</v>
      </c>
      <c r="GK21" s="1">
        <f t="shared" si="42"/>
        <v>1444857.8311034625</v>
      </c>
      <c r="GL21" s="1">
        <f t="shared" si="42"/>
        <v>1459306.4094144972</v>
      </c>
      <c r="GM21" s="1">
        <f t="shared" si="42"/>
        <v>1473899.4735086423</v>
      </c>
      <c r="GN21" s="1">
        <f t="shared" si="42"/>
        <v>1488638.4682437286</v>
      </c>
      <c r="GO21" s="1">
        <f t="shared" si="42"/>
        <v>1503524.852926166</v>
      </c>
      <c r="GP21" s="1">
        <f t="shared" si="42"/>
        <v>1518560.1014554277</v>
      </c>
      <c r="GQ21" s="1">
        <f t="shared" si="42"/>
        <v>1533745.702469982</v>
      </c>
      <c r="GR21" s="1">
        <f t="shared" si="42"/>
        <v>1549083.1594946817</v>
      </c>
      <c r="GS21" s="1">
        <f t="shared" si="42"/>
        <v>1564573.9910896285</v>
      </c>
      <c r="GT21" s="1">
        <f t="shared" si="42"/>
        <v>1580219.7310005249</v>
      </c>
      <c r="GU21" s="1">
        <f t="shared" si="42"/>
        <v>1596021.9283105303</v>
      </c>
      <c r="GV21" s="1">
        <f t="shared" si="42"/>
        <v>1611982.1475936356</v>
      </c>
      <c r="GW21" s="1">
        <f t="shared" si="42"/>
        <v>1628101.9690695719</v>
      </c>
      <c r="GX21" s="1">
        <f t="shared" si="42"/>
        <v>1644382.9887602676</v>
      </c>
      <c r="GY21" s="1">
        <f t="shared" si="42"/>
        <v>1660826.8186478703</v>
      </c>
      <c r="GZ21" s="1">
        <f t="shared" ref="GZ21:HM21" si="43">+GY21*(1+$AN$25)</f>
        <v>1677435.086834349</v>
      </c>
      <c r="HA21" s="1">
        <f t="shared" si="43"/>
        <v>1694209.4377026926</v>
      </c>
      <c r="HB21" s="1">
        <f t="shared" si="43"/>
        <v>1711151.5320797195</v>
      </c>
      <c r="HC21" s="1">
        <f t="shared" si="43"/>
        <v>1728263.0474005167</v>
      </c>
      <c r="HD21" s="1">
        <f t="shared" si="43"/>
        <v>1745545.6778745218</v>
      </c>
      <c r="HE21" s="1">
        <f t="shared" si="43"/>
        <v>1763001.134653267</v>
      </c>
      <c r="HF21" s="1">
        <f t="shared" si="43"/>
        <v>1780631.1459997997</v>
      </c>
      <c r="HG21" s="1">
        <f t="shared" si="43"/>
        <v>1798437.4574597976</v>
      </c>
      <c r="HH21" s="1">
        <f t="shared" si="43"/>
        <v>1816421.8320343955</v>
      </c>
      <c r="HI21" s="1">
        <f t="shared" si="43"/>
        <v>1834586.0503547394</v>
      </c>
      <c r="HJ21" s="1">
        <f t="shared" si="43"/>
        <v>1852931.9108582868</v>
      </c>
      <c r="HK21" s="1">
        <f t="shared" si="43"/>
        <v>1871461.2299668696</v>
      </c>
      <c r="HL21" s="1">
        <f t="shared" si="43"/>
        <v>1890175.8422665382</v>
      </c>
      <c r="HM21" s="1">
        <f t="shared" si="43"/>
        <v>1909077.6006892035</v>
      </c>
      <c r="HN21" s="1">
        <f t="shared" ref="HN21:HU21" si="44">+HM21*(1+$AN$25)</f>
        <v>1928168.3766960956</v>
      </c>
      <c r="HO21" s="1">
        <f t="shared" si="44"/>
        <v>1947450.0604630564</v>
      </c>
      <c r="HP21" s="1">
        <f t="shared" si="44"/>
        <v>1966924.5610676871</v>
      </c>
      <c r="HQ21" s="1">
        <f t="shared" si="44"/>
        <v>1986593.8066783641</v>
      </c>
      <c r="HR21" s="1">
        <f t="shared" si="44"/>
        <v>2006459.7447451476</v>
      </c>
      <c r="HS21" s="1">
        <f t="shared" si="44"/>
        <v>2026524.3421925991</v>
      </c>
      <c r="HT21" s="1">
        <f t="shared" si="44"/>
        <v>2046789.585614525</v>
      </c>
      <c r="HU21" s="1">
        <f t="shared" si="44"/>
        <v>2067257.4814706703</v>
      </c>
      <c r="HV21" s="1">
        <f t="shared" ref="HV21:HX21" si="45">+HU21*(1+$AN$25)</f>
        <v>2087930.0562853771</v>
      </c>
      <c r="HW21" s="1">
        <f t="shared" si="45"/>
        <v>2108809.3568482311</v>
      </c>
      <c r="HX21" s="1">
        <f t="shared" si="45"/>
        <v>2129897.4504167135</v>
      </c>
      <c r="HY21" s="1">
        <f t="shared" ref="HY21:IA21" si="46">+HX21*(1+$AN$25)</f>
        <v>2151196.4249208807</v>
      </c>
      <c r="HZ21" s="1">
        <f t="shared" si="46"/>
        <v>2172708.3891700897</v>
      </c>
      <c r="IA21" s="1">
        <f t="shared" si="46"/>
        <v>2194435.4730617907</v>
      </c>
      <c r="IB21" s="1">
        <f t="shared" ref="IB21" si="47">+IA21*(1+$AN$25)</f>
        <v>2216379.8277924084</v>
      </c>
    </row>
    <row r="22" spans="2:236">
      <c r="B22" s="1" t="s">
        <v>28</v>
      </c>
      <c r="C22" s="1">
        <v>16962.694</v>
      </c>
      <c r="D22" s="1">
        <v>17359.717000000001</v>
      </c>
      <c r="E22" s="1">
        <v>19084.124</v>
      </c>
      <c r="F22" s="1">
        <v>57905.7</v>
      </c>
      <c r="G22" s="1">
        <v>109472.05</v>
      </c>
      <c r="H22" s="1">
        <v>109679.467</v>
      </c>
      <c r="I22" s="1">
        <v>110375.126</v>
      </c>
      <c r="J22" s="1">
        <v>110934.44500000001</v>
      </c>
      <c r="K22" s="1">
        <v>111297.064</v>
      </c>
      <c r="L22" s="1">
        <v>111585.28200000001</v>
      </c>
      <c r="M22" s="1">
        <v>112179.72199999999</v>
      </c>
      <c r="N22" s="1">
        <f>+N21/N23</f>
        <v>36768.666614000816</v>
      </c>
      <c r="O22" s="1">
        <v>117772.776</v>
      </c>
      <c r="W22" s="1">
        <v>16051.96</v>
      </c>
      <c r="X22" s="1">
        <f>+X21/X23</f>
        <v>25569.956025843658</v>
      </c>
      <c r="Y22" s="1">
        <f>+Y21/Y23</f>
        <v>110106.86022486637</v>
      </c>
      <c r="Z22" s="1">
        <v>111907.675</v>
      </c>
      <c r="AA22" s="1">
        <f>+Z22</f>
        <v>111907.675</v>
      </c>
      <c r="AB22" s="1">
        <f t="shared" ref="AB22:AJ22" si="48">+AA22</f>
        <v>111907.675</v>
      </c>
      <c r="AC22" s="1">
        <f t="shared" si="48"/>
        <v>111907.675</v>
      </c>
      <c r="AD22" s="1">
        <f t="shared" si="48"/>
        <v>111907.675</v>
      </c>
      <c r="AE22" s="1">
        <f t="shared" si="48"/>
        <v>111907.675</v>
      </c>
      <c r="AF22" s="1">
        <f t="shared" si="48"/>
        <v>111907.675</v>
      </c>
      <c r="AG22" s="1">
        <f t="shared" si="48"/>
        <v>111907.675</v>
      </c>
      <c r="AH22" s="1">
        <f t="shared" si="48"/>
        <v>111907.675</v>
      </c>
      <c r="AI22" s="1">
        <f t="shared" si="48"/>
        <v>111907.675</v>
      </c>
      <c r="AJ22" s="1">
        <f t="shared" si="48"/>
        <v>111907.675</v>
      </c>
    </row>
    <row r="23" spans="2:236" s="7" customFormat="1">
      <c r="B23" s="7" t="s">
        <v>29</v>
      </c>
      <c r="C23" s="7">
        <f t="shared" ref="C23:M23" si="49">+C21/C22</f>
        <v>-1.768233277096197</v>
      </c>
      <c r="D23" s="7">
        <f t="shared" si="49"/>
        <v>-1.5482971294981362</v>
      </c>
      <c r="E23" s="7">
        <f t="shared" si="49"/>
        <v>-1.3441015160035641</v>
      </c>
      <c r="F23" s="7">
        <f t="shared" si="49"/>
        <v>-1.1333944672113454</v>
      </c>
      <c r="G23" s="7">
        <f t="shared" si="49"/>
        <v>-0.45333032495509129</v>
      </c>
      <c r="H23" s="7">
        <f t="shared" si="49"/>
        <v>-0.3675346088251869</v>
      </c>
      <c r="I23" s="7">
        <f t="shared" si="49"/>
        <v>-0.31726351098344385</v>
      </c>
      <c r="J23" s="7">
        <f t="shared" si="49"/>
        <v>-0.43469816791349158</v>
      </c>
      <c r="K23" s="7">
        <f t="shared" si="49"/>
        <v>-0.29453607149960398</v>
      </c>
      <c r="L23" s="7">
        <f t="shared" si="49"/>
        <v>-0.19799206135447145</v>
      </c>
      <c r="M23" s="7">
        <f t="shared" si="49"/>
        <v>-0.21057281635980521</v>
      </c>
      <c r="N23" s="7">
        <f t="shared" ref="N23" si="50">+Z23-SUM(K23:M23)</f>
        <v>-0.71093141000784565</v>
      </c>
      <c r="O23" s="7">
        <f>+O21/O22</f>
        <v>-0.21515158987166949</v>
      </c>
      <c r="W23" s="7">
        <f>+W21/W22</f>
        <v>-8.6517160521207384</v>
      </c>
      <c r="X23" s="7">
        <f t="shared" si="22"/>
        <v>-5.7940263898092423</v>
      </c>
      <c r="Y23" s="7">
        <f t="shared" si="23"/>
        <v>-1.5728266126772137</v>
      </c>
      <c r="Z23" s="7">
        <f t="shared" si="23"/>
        <v>-1.4140323592217263</v>
      </c>
      <c r="AA23" s="7">
        <f>+AA21/AA22</f>
        <v>0.92740840324318108</v>
      </c>
      <c r="AB23" s="7">
        <f t="shared" ref="AB23:AJ23" si="51">+AB21/AB22</f>
        <v>1.0691694020246387</v>
      </c>
      <c r="AC23" s="7">
        <f t="shared" si="51"/>
        <v>1.2227879796761343</v>
      </c>
      <c r="AD23" s="7">
        <f t="shared" si="51"/>
        <v>1.3890954915877169</v>
      </c>
      <c r="AE23" s="7">
        <f t="shared" si="51"/>
        <v>1.5689767847412694</v>
      </c>
      <c r="AF23" s="7">
        <f t="shared" si="51"/>
        <v>1.7633734684812097</v>
      </c>
      <c r="AG23" s="7">
        <f t="shared" si="51"/>
        <v>1.9732873786332845</v>
      </c>
      <c r="AH23" s="7">
        <f t="shared" si="51"/>
        <v>2.1997842461293677</v>
      </c>
      <c r="AI23" s="7">
        <f t="shared" si="51"/>
        <v>2.4439975819284783</v>
      </c>
      <c r="AJ23" s="7">
        <f t="shared" si="51"/>
        <v>2.7071327906921709</v>
      </c>
    </row>
    <row r="24" spans="2:236">
      <c r="AL24" s="1">
        <f>NPV(AN26,AA21:AO21)</f>
        <v>1921808.2619177378</v>
      </c>
    </row>
    <row r="25" spans="2:236">
      <c r="B25" s="5" t="s">
        <v>37</v>
      </c>
      <c r="AM25" s="28" t="s">
        <v>74</v>
      </c>
      <c r="AN25" s="29">
        <v>0.01</v>
      </c>
    </row>
    <row r="26" spans="2:236" s="3" customFormat="1">
      <c r="B26" s="3" t="s">
        <v>30</v>
      </c>
      <c r="G26" s="3">
        <f t="shared" ref="G26:O26" si="52">+G7/C7-1</f>
        <v>0.6710809225957779</v>
      </c>
      <c r="H26" s="3">
        <f t="shared" si="52"/>
        <v>0.4489630213891338</v>
      </c>
      <c r="I26" s="3">
        <f t="shared" si="52"/>
        <v>0.29404031551270826</v>
      </c>
      <c r="J26" s="3">
        <f t="shared" si="52"/>
        <v>0.22964760541762597</v>
      </c>
      <c r="K26" s="3">
        <f t="shared" si="52"/>
        <v>0.21903480812157006</v>
      </c>
      <c r="L26" s="3">
        <f t="shared" si="52"/>
        <v>0.22100097664067619</v>
      </c>
      <c r="M26" s="3">
        <f t="shared" si="52"/>
        <v>0.23706319642655571</v>
      </c>
      <c r="N26" s="3">
        <f t="shared" si="52"/>
        <v>0.29059627224424389</v>
      </c>
      <c r="O26" s="3">
        <f t="shared" si="52"/>
        <v>0.26217396171498941</v>
      </c>
      <c r="X26" s="3">
        <f>+X7/W7-1</f>
        <v>0.54057521020782806</v>
      </c>
      <c r="Y26" s="3">
        <f>+Y7/X7-1</f>
        <v>0.38317435284840862</v>
      </c>
      <c r="Z26" s="3">
        <f>+Z7/Y7-1</f>
        <v>0.24236287637868137</v>
      </c>
      <c r="AA26" s="3">
        <f t="shared" ref="AA26:AJ26" si="53">+AA7/Z7-1</f>
        <v>0.16402714932126705</v>
      </c>
      <c r="AB26" s="3">
        <f t="shared" si="53"/>
        <v>0.1528571428571428</v>
      </c>
      <c r="AC26" s="3">
        <f t="shared" si="53"/>
        <v>0.14368029739776977</v>
      </c>
      <c r="AD26" s="3">
        <f t="shared" si="53"/>
        <v>0.13600682593856672</v>
      </c>
      <c r="AE26" s="3">
        <f t="shared" si="53"/>
        <v>0.1294952681388013</v>
      </c>
      <c r="AF26" s="3">
        <f t="shared" si="53"/>
        <v>0.12390029325513185</v>
      </c>
      <c r="AG26" s="3">
        <f t="shared" si="53"/>
        <v>0.1190410958904109</v>
      </c>
      <c r="AH26" s="3">
        <f t="shared" si="53"/>
        <v>0.11478149100257085</v>
      </c>
      <c r="AI26" s="3">
        <f t="shared" si="53"/>
        <v>0.11101694915254257</v>
      </c>
      <c r="AJ26" s="3">
        <f t="shared" si="53"/>
        <v>0.10766590389016018</v>
      </c>
      <c r="AM26" s="30" t="s">
        <v>75</v>
      </c>
      <c r="AN26" s="44">
        <v>7.0000000000000007E-2</v>
      </c>
    </row>
    <row r="27" spans="2:236">
      <c r="AM27" s="32" t="s">
        <v>71</v>
      </c>
      <c r="AN27" s="33">
        <f>NPV(AN26,AA21:IB21)</f>
        <v>3864411.5875463611</v>
      </c>
    </row>
    <row r="28" spans="2:236">
      <c r="B28" s="28" t="s">
        <v>106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9"/>
      <c r="AM28" s="32" t="s">
        <v>76</v>
      </c>
      <c r="AN28" s="33">
        <f>+O40</f>
        <v>243756</v>
      </c>
    </row>
    <row r="29" spans="2:236">
      <c r="B29" s="32" t="s">
        <v>14</v>
      </c>
      <c r="AJ29" s="33"/>
      <c r="AM29" s="32" t="s">
        <v>78</v>
      </c>
      <c r="AN29" s="33">
        <f>SUM(AN27:AN28)</f>
        <v>4108167.5875463611</v>
      </c>
    </row>
    <row r="30" spans="2:236">
      <c r="B30" s="32" t="s">
        <v>15</v>
      </c>
      <c r="C30" s="3">
        <f t="shared" ref="C30:O30" si="54">+C8/C$7</f>
        <v>0.28127443315089912</v>
      </c>
      <c r="D30" s="3">
        <f t="shared" si="54"/>
        <v>0.26859369925300425</v>
      </c>
      <c r="E30" s="3">
        <f t="shared" si="54"/>
        <v>0.27858812236551062</v>
      </c>
      <c r="F30" s="3">
        <f t="shared" si="54"/>
        <v>0.27558957127745631</v>
      </c>
      <c r="G30" s="3">
        <f t="shared" si="54"/>
        <v>0.26421420982347377</v>
      </c>
      <c r="H30" s="3">
        <f t="shared" si="54"/>
        <v>0.27135400822939848</v>
      </c>
      <c r="I30" s="3">
        <f t="shared" si="54"/>
        <v>0.27795784754809477</v>
      </c>
      <c r="J30" s="3">
        <f t="shared" si="54"/>
        <v>0.29230834106435016</v>
      </c>
      <c r="K30" s="3">
        <f t="shared" si="54"/>
        <v>0.28455486078904862</v>
      </c>
      <c r="L30" s="3">
        <f t="shared" si="54"/>
        <v>0.26875594164891004</v>
      </c>
      <c r="M30" s="3">
        <f t="shared" si="54"/>
        <v>0.2721406783637928</v>
      </c>
      <c r="N30" s="3">
        <f t="shared" si="54"/>
        <v>0.28355965652895587</v>
      </c>
      <c r="O30" s="3">
        <f t="shared" si="54"/>
        <v>0.27695913842255304</v>
      </c>
      <c r="W30" s="3">
        <f t="shared" ref="W30:AJ30" si="55">+W8/W$7</f>
        <v>0.29986175010765359</v>
      </c>
      <c r="X30" s="3">
        <f t="shared" si="55"/>
        <v>0.27568746064718103</v>
      </c>
      <c r="Y30" s="3">
        <f t="shared" si="55"/>
        <v>0.27682326288807818</v>
      </c>
      <c r="Z30" s="3">
        <f t="shared" si="55"/>
        <v>0.27690692947926598</v>
      </c>
      <c r="AA30" s="3">
        <f t="shared" si="55"/>
        <v>0.29504331039322812</v>
      </c>
      <c r="AB30" s="3">
        <f t="shared" si="55"/>
        <v>0.29504331039322812</v>
      </c>
      <c r="AC30" s="3">
        <f t="shared" si="55"/>
        <v>0.29504331039322812</v>
      </c>
      <c r="AD30" s="3">
        <f t="shared" si="55"/>
        <v>0.29504331039322812</v>
      </c>
      <c r="AE30" s="3">
        <f t="shared" si="55"/>
        <v>0.29504331039322812</v>
      </c>
      <c r="AF30" s="3">
        <f t="shared" si="55"/>
        <v>0.29504331039322812</v>
      </c>
      <c r="AG30" s="3">
        <f t="shared" si="55"/>
        <v>0.29504331039322812</v>
      </c>
      <c r="AH30" s="3">
        <f t="shared" si="55"/>
        <v>0.29504331039322812</v>
      </c>
      <c r="AI30" s="3">
        <f t="shared" si="55"/>
        <v>0.29504331039322812</v>
      </c>
      <c r="AJ30" s="31">
        <f t="shared" si="55"/>
        <v>0.29504331039322812</v>
      </c>
      <c r="AM30" s="32" t="s">
        <v>72</v>
      </c>
      <c r="AN30" s="33">
        <f>+main!K7*1000</f>
        <v>113311.11599999999</v>
      </c>
    </row>
    <row r="31" spans="2:236">
      <c r="B31" s="32" t="s">
        <v>16</v>
      </c>
      <c r="C31" s="3">
        <f t="shared" ref="C31:O31" si="56">+C9/C$7</f>
        <v>0.36310919989575191</v>
      </c>
      <c r="D31" s="3">
        <f t="shared" si="56"/>
        <v>0.31010764162761567</v>
      </c>
      <c r="E31" s="3">
        <f t="shared" si="56"/>
        <v>0.31630566336964233</v>
      </c>
      <c r="F31" s="3">
        <f t="shared" si="56"/>
        <v>0.32174932072262669</v>
      </c>
      <c r="G31" s="3">
        <f t="shared" si="56"/>
        <v>0.33435681492528585</v>
      </c>
      <c r="H31" s="3">
        <f t="shared" si="56"/>
        <v>0.29629837173185608</v>
      </c>
      <c r="I31" s="3">
        <f t="shared" si="56"/>
        <v>0.30643574734329898</v>
      </c>
      <c r="J31" s="3">
        <f t="shared" si="56"/>
        <v>0.32177616597790337</v>
      </c>
      <c r="K31" s="3">
        <f t="shared" si="56"/>
        <v>0.31378836097295743</v>
      </c>
      <c r="L31" s="3">
        <f t="shared" si="56"/>
        <v>0.2852843796099</v>
      </c>
      <c r="M31" s="3">
        <f t="shared" si="56"/>
        <v>0.28515003780274789</v>
      </c>
      <c r="N31" s="3">
        <f t="shared" si="56"/>
        <v>0.29276070733078041</v>
      </c>
      <c r="O31" s="3">
        <f t="shared" si="56"/>
        <v>0.28993348115299333</v>
      </c>
      <c r="W31" s="3">
        <f t="shared" ref="W31:AJ31" si="57">+W9/W$7</f>
        <v>0.3793531718151531</v>
      </c>
      <c r="X31" s="3">
        <f t="shared" si="57"/>
        <v>0.32473210660421215</v>
      </c>
      <c r="Y31" s="3">
        <f t="shared" si="57"/>
        <v>0.31370438519054256</v>
      </c>
      <c r="Z31" s="3">
        <f t="shared" si="57"/>
        <v>0.29331159969933618</v>
      </c>
      <c r="AA31" s="3">
        <f t="shared" si="57"/>
        <v>0.24727196033813598</v>
      </c>
      <c r="AB31" s="3">
        <f t="shared" si="57"/>
        <v>0.24727196033813595</v>
      </c>
      <c r="AC31" s="3">
        <f t="shared" si="57"/>
        <v>0.24727196033813595</v>
      </c>
      <c r="AD31" s="3">
        <f t="shared" si="57"/>
        <v>0.24727196033813595</v>
      </c>
      <c r="AE31" s="3">
        <f t="shared" si="57"/>
        <v>0.24727196033813598</v>
      </c>
      <c r="AF31" s="3">
        <f t="shared" si="57"/>
        <v>0.24727196033813598</v>
      </c>
      <c r="AG31" s="3">
        <f t="shared" si="57"/>
        <v>0.24727196033813598</v>
      </c>
      <c r="AH31" s="3">
        <f t="shared" si="57"/>
        <v>0.24727196033813598</v>
      </c>
      <c r="AI31" s="3">
        <f t="shared" si="57"/>
        <v>0.24727196033813598</v>
      </c>
      <c r="AJ31" s="31">
        <f t="shared" si="57"/>
        <v>0.24727196033813598</v>
      </c>
      <c r="AM31" s="46" t="s">
        <v>77</v>
      </c>
      <c r="AN31" s="45">
        <f>+AN29/AN30</f>
        <v>36.25564492318972</v>
      </c>
    </row>
    <row r="32" spans="2:236">
      <c r="B32" s="32" t="s">
        <v>17</v>
      </c>
      <c r="C32" s="3">
        <f t="shared" ref="C32:O32" si="58">+C10/C$7</f>
        <v>0.16368582225697159</v>
      </c>
      <c r="D32" s="3">
        <f t="shared" si="58"/>
        <v>0.1370690855101378</v>
      </c>
      <c r="E32" s="3">
        <f t="shared" si="58"/>
        <v>0.14662368014690538</v>
      </c>
      <c r="F32" s="3">
        <f t="shared" si="58"/>
        <v>0.10504428266235248</v>
      </c>
      <c r="G32" s="3">
        <f t="shared" si="58"/>
        <v>0.10251386573871002</v>
      </c>
      <c r="H32" s="3">
        <f t="shared" si="58"/>
        <v>8.9258553611168925E-2</v>
      </c>
      <c r="I32" s="3">
        <f t="shared" si="58"/>
        <v>9.2754744972828276E-2</v>
      </c>
      <c r="J32" s="3">
        <f t="shared" si="58"/>
        <v>0.101771105675972</v>
      </c>
      <c r="K32" s="3">
        <f t="shared" si="58"/>
        <v>0.10098990900513345</v>
      </c>
      <c r="L32" s="3">
        <f t="shared" si="58"/>
        <v>8.8680544173086379E-2</v>
      </c>
      <c r="M32" s="3">
        <f t="shared" si="58"/>
        <v>9.0993821206038009E-2</v>
      </c>
      <c r="N32" s="3">
        <f t="shared" si="58"/>
        <v>9.2559434344490474E-2</v>
      </c>
      <c r="O32" s="3">
        <f t="shared" si="58"/>
        <v>9.1529933481153E-2</v>
      </c>
      <c r="W32" s="3">
        <f t="shared" ref="W32:AJ32" si="59">+W10/W$7</f>
        <v>0.14644516465335539</v>
      </c>
      <c r="X32" s="3">
        <f t="shared" si="59"/>
        <v>0.13548550345127899</v>
      </c>
      <c r="Y32" s="3">
        <f t="shared" si="59"/>
        <v>9.6229565735314451E-2</v>
      </c>
      <c r="Z32" s="3">
        <f t="shared" si="59"/>
        <v>9.2940392883376341E-2</v>
      </c>
      <c r="AA32" s="3">
        <f t="shared" si="59"/>
        <v>5.09807429336274E-2</v>
      </c>
      <c r="AB32" s="3">
        <f t="shared" si="59"/>
        <v>5.09807429336274E-2</v>
      </c>
      <c r="AC32" s="3">
        <f t="shared" si="59"/>
        <v>5.09807429336274E-2</v>
      </c>
      <c r="AD32" s="3">
        <f t="shared" si="59"/>
        <v>5.0980742933627393E-2</v>
      </c>
      <c r="AE32" s="3">
        <f t="shared" si="59"/>
        <v>5.0980742933627393E-2</v>
      </c>
      <c r="AF32" s="3">
        <f t="shared" si="59"/>
        <v>5.0980742933627393E-2</v>
      </c>
      <c r="AG32" s="3">
        <f t="shared" si="59"/>
        <v>5.0980742933627393E-2</v>
      </c>
      <c r="AH32" s="3">
        <f t="shared" si="59"/>
        <v>5.0980742933627393E-2</v>
      </c>
      <c r="AI32" s="3">
        <f t="shared" si="59"/>
        <v>5.0980742933627393E-2</v>
      </c>
      <c r="AJ32" s="31">
        <f t="shared" si="59"/>
        <v>5.0980742933627393E-2</v>
      </c>
      <c r="AM32" s="32" t="s">
        <v>73</v>
      </c>
      <c r="AN32" s="33">
        <f>+main!K6</f>
        <v>38</v>
      </c>
    </row>
    <row r="33" spans="2:40">
      <c r="B33" s="32" t="s">
        <v>18</v>
      </c>
      <c r="C33" s="3">
        <f t="shared" ref="C33:O33" si="60">+C11/C$7</f>
        <v>0.15769155590304926</v>
      </c>
      <c r="D33" s="3">
        <f t="shared" si="60"/>
        <v>0.13535238713868139</v>
      </c>
      <c r="E33" s="3">
        <f t="shared" si="60"/>
        <v>0.12144735194691374</v>
      </c>
      <c r="F33" s="3">
        <f t="shared" si="60"/>
        <v>0.16959118909837595</v>
      </c>
      <c r="G33" s="3">
        <f t="shared" si="60"/>
        <v>0.16838709048552017</v>
      </c>
      <c r="H33" s="3">
        <f t="shared" si="60"/>
        <v>0.15782353223714757</v>
      </c>
      <c r="I33" s="3">
        <f t="shared" si="60"/>
        <v>0.16216761001725444</v>
      </c>
      <c r="J33" s="3">
        <f t="shared" si="60"/>
        <v>0.17599730117230328</v>
      </c>
      <c r="K33" s="3">
        <f t="shared" si="60"/>
        <v>0.16523804193120212</v>
      </c>
      <c r="L33" s="3">
        <f t="shared" si="60"/>
        <v>0.153450254056712</v>
      </c>
      <c r="M33" s="3">
        <f t="shared" si="60"/>
        <v>0.1619652214719608</v>
      </c>
      <c r="N33" s="3">
        <f t="shared" si="60"/>
        <v>0.16918040071621815</v>
      </c>
      <c r="O33" s="3">
        <f t="shared" si="60"/>
        <v>0.16079189103579347</v>
      </c>
      <c r="W33" s="3">
        <f t="shared" ref="W33:AJ33" si="61">+W11/W$7</f>
        <v>0.21378419418443895</v>
      </c>
      <c r="X33" s="3">
        <f t="shared" si="61"/>
        <v>0.14518027268929073</v>
      </c>
      <c r="Y33" s="3">
        <f t="shared" si="61"/>
        <v>0.16585869114346796</v>
      </c>
      <c r="Z33" s="3">
        <f t="shared" si="61"/>
        <v>0.16233278143144061</v>
      </c>
      <c r="AA33" s="3">
        <f t="shared" si="61"/>
        <v>0.1447323542399046</v>
      </c>
      <c r="AB33" s="3">
        <f t="shared" si="61"/>
        <v>0.1447323542399046</v>
      </c>
      <c r="AC33" s="3">
        <f t="shared" si="61"/>
        <v>0.1447323542399046</v>
      </c>
      <c r="AD33" s="3">
        <f t="shared" si="61"/>
        <v>0.1447323542399046</v>
      </c>
      <c r="AE33" s="3">
        <f t="shared" si="61"/>
        <v>0.1447323542399046</v>
      </c>
      <c r="AF33" s="3">
        <f t="shared" si="61"/>
        <v>0.1447323542399046</v>
      </c>
      <c r="AG33" s="3">
        <f t="shared" si="61"/>
        <v>0.1447323542399046</v>
      </c>
      <c r="AH33" s="3">
        <f t="shared" si="61"/>
        <v>0.1447323542399046</v>
      </c>
      <c r="AI33" s="3">
        <f t="shared" si="61"/>
        <v>0.1447323542399046</v>
      </c>
      <c r="AJ33" s="31">
        <f t="shared" si="61"/>
        <v>0.1447323542399046</v>
      </c>
      <c r="AM33" s="40" t="s">
        <v>79</v>
      </c>
      <c r="AN33" s="43">
        <f>+AN31/AN32-1</f>
        <v>-4.5904080968691585E-2</v>
      </c>
    </row>
    <row r="34" spans="2:40">
      <c r="B34" s="32" t="s">
        <v>19</v>
      </c>
      <c r="C34" s="3">
        <f t="shared" ref="C34:O34" si="62">+C12/C$7</f>
        <v>0.38083137868126138</v>
      </c>
      <c r="D34" s="3">
        <f t="shared" si="62"/>
        <v>0.30252169071590962</v>
      </c>
      <c r="E34" s="3">
        <f t="shared" si="62"/>
        <v>0.30199073494428447</v>
      </c>
      <c r="F34" s="3">
        <f t="shared" si="62"/>
        <v>0.48373882562794268</v>
      </c>
      <c r="G34" s="3">
        <f t="shared" si="62"/>
        <v>0.48931192794689593</v>
      </c>
      <c r="H34" s="3">
        <f t="shared" si="62"/>
        <v>0.41465601434541061</v>
      </c>
      <c r="I34" s="3">
        <f t="shared" si="62"/>
        <v>0.33785657845935529</v>
      </c>
      <c r="J34" s="3">
        <f t="shared" si="62"/>
        <v>0.36659357341654719</v>
      </c>
      <c r="K34" s="3">
        <f t="shared" si="62"/>
        <v>0.27911755769138508</v>
      </c>
      <c r="L34" s="3">
        <f t="shared" si="62"/>
        <v>0.26454679560727751</v>
      </c>
      <c r="M34" s="3">
        <f t="shared" si="62"/>
        <v>0.23439658993143364</v>
      </c>
      <c r="N34" s="3">
        <f t="shared" si="62"/>
        <v>0.23226118437389726</v>
      </c>
      <c r="O34" s="3">
        <f t="shared" si="62"/>
        <v>0.2335445042762116</v>
      </c>
      <c r="W34" s="3">
        <f t="shared" ref="W34:AJ34" si="63">+W12/W$7</f>
        <v>0.44938920744283029</v>
      </c>
      <c r="X34" s="3">
        <f t="shared" si="63"/>
        <v>0.36793046835003562</v>
      </c>
      <c r="Y34" s="3">
        <f t="shared" si="63"/>
        <v>0.39856415056210848</v>
      </c>
      <c r="Z34" s="3">
        <f t="shared" si="63"/>
        <v>0.25128715278550651</v>
      </c>
      <c r="AA34" s="3">
        <f t="shared" si="63"/>
        <v>6.4182184759608046E-2</v>
      </c>
      <c r="AB34" s="3">
        <f t="shared" si="63"/>
        <v>6.4182184759608046E-2</v>
      </c>
      <c r="AC34" s="3">
        <f t="shared" si="63"/>
        <v>6.4182184759608046E-2</v>
      </c>
      <c r="AD34" s="3">
        <f t="shared" si="63"/>
        <v>6.4182184759608046E-2</v>
      </c>
      <c r="AE34" s="3">
        <f t="shared" si="63"/>
        <v>6.4182184759608046E-2</v>
      </c>
      <c r="AF34" s="3">
        <f t="shared" si="63"/>
        <v>6.4182184759608046E-2</v>
      </c>
      <c r="AG34" s="3">
        <f t="shared" si="63"/>
        <v>6.4182184759608046E-2</v>
      </c>
      <c r="AH34" s="3">
        <f t="shared" si="63"/>
        <v>6.4182184759608046E-2</v>
      </c>
      <c r="AI34" s="3">
        <f t="shared" si="63"/>
        <v>6.4182184759608046E-2</v>
      </c>
      <c r="AJ34" s="31">
        <f t="shared" si="63"/>
        <v>6.4182184759608046E-2</v>
      </c>
    </row>
    <row r="35" spans="2:40">
      <c r="B35" s="32" t="s">
        <v>20</v>
      </c>
      <c r="C35" s="3">
        <f t="shared" ref="C35:O35" si="64">+C13/C$7</f>
        <v>0.12781795673703414</v>
      </c>
      <c r="D35" s="3">
        <f t="shared" si="64"/>
        <v>9.7527026400037117E-2</v>
      </c>
      <c r="E35" s="3">
        <f t="shared" si="64"/>
        <v>9.7063978965819461E-2</v>
      </c>
      <c r="F35" s="3">
        <f t="shared" si="64"/>
        <v>0.10361313338726069</v>
      </c>
      <c r="G35" s="3">
        <f t="shared" si="64"/>
        <v>0.10407345673597099</v>
      </c>
      <c r="H35" s="3">
        <f t="shared" si="64"/>
        <v>9.0499367585135854E-2</v>
      </c>
      <c r="I35" s="3">
        <f t="shared" si="64"/>
        <v>9.5842807153338816E-2</v>
      </c>
      <c r="J35" s="3">
        <f t="shared" si="64"/>
        <v>0.10628320823142448</v>
      </c>
      <c r="K35" s="3">
        <f t="shared" si="64"/>
        <v>0.10482800530936655</v>
      </c>
      <c r="L35" s="3">
        <f t="shared" si="64"/>
        <v>9.5184396000655633E-2</v>
      </c>
      <c r="M35" s="3">
        <f t="shared" si="64"/>
        <v>0.10221080897880438</v>
      </c>
      <c r="N35" s="3">
        <f t="shared" si="64"/>
        <v>0.1057402010115928</v>
      </c>
      <c r="O35" s="3">
        <f t="shared" si="64"/>
        <v>0.10406715235983528</v>
      </c>
      <c r="W35" s="3">
        <f t="shared" ref="W35:AJ35" si="65">+W13/W$7</f>
        <v>0.12170976588173968</v>
      </c>
      <c r="X35" s="3">
        <f t="shared" si="65"/>
        <v>0.10459464389744434</v>
      </c>
      <c r="Y35" s="3">
        <f t="shared" si="65"/>
        <v>9.8852384041862987E-2</v>
      </c>
      <c r="Z35" s="3">
        <f t="shared" si="65"/>
        <v>0.10186099948462522</v>
      </c>
      <c r="AA35" s="3">
        <f t="shared" si="65"/>
        <v>3.2354675495451672E-2</v>
      </c>
      <c r="AB35" s="3">
        <f t="shared" si="65"/>
        <v>3.2354675495451672E-2</v>
      </c>
      <c r="AC35" s="3">
        <f t="shared" si="65"/>
        <v>3.2354675495451672E-2</v>
      </c>
      <c r="AD35" s="3">
        <f t="shared" si="65"/>
        <v>3.2354675495451672E-2</v>
      </c>
      <c r="AE35" s="3">
        <f t="shared" si="65"/>
        <v>3.2354675495451672E-2</v>
      </c>
      <c r="AF35" s="3">
        <f t="shared" si="65"/>
        <v>3.2354675495451672E-2</v>
      </c>
      <c r="AG35" s="3">
        <f t="shared" si="65"/>
        <v>3.2354675495451672E-2</v>
      </c>
      <c r="AH35" s="3">
        <f t="shared" si="65"/>
        <v>3.2354675495451672E-2</v>
      </c>
      <c r="AI35" s="3">
        <f t="shared" si="65"/>
        <v>3.2354675495451672E-2</v>
      </c>
      <c r="AJ35" s="31">
        <f t="shared" si="65"/>
        <v>3.2354675495451672E-2</v>
      </c>
      <c r="AM35" s="1" t="s">
        <v>5</v>
      </c>
      <c r="AN35" s="1">
        <f>+main!K11*1000</f>
        <v>4062066.4080000003</v>
      </c>
    </row>
    <row r="36" spans="2:40">
      <c r="B36" s="40" t="s">
        <v>21</v>
      </c>
      <c r="C36" s="41">
        <f t="shared" ref="C36:O36" si="66">+C14/C$7</f>
        <v>1.5653505342715663E-2</v>
      </c>
      <c r="D36" s="41">
        <f t="shared" si="66"/>
        <v>2.9067879181552451E-2</v>
      </c>
      <c r="E36" s="41">
        <f t="shared" si="66"/>
        <v>2.9099369809273402E-2</v>
      </c>
      <c r="F36" s="41">
        <f t="shared" si="66"/>
        <v>3.0458590006844626E-2</v>
      </c>
      <c r="G36" s="41">
        <f t="shared" si="66"/>
        <v>2.4485578656997204E-2</v>
      </c>
      <c r="H36" s="41">
        <f t="shared" si="66"/>
        <v>2.0173233641268672E-2</v>
      </c>
      <c r="I36" s="41">
        <f t="shared" si="66"/>
        <v>2.468030896747456E-2</v>
      </c>
      <c r="J36" s="41">
        <f t="shared" si="66"/>
        <v>2.8928059374209329E-2</v>
      </c>
      <c r="K36" s="41">
        <f t="shared" si="66"/>
        <v>2.6914650333434615E-2</v>
      </c>
      <c r="L36" s="41">
        <f t="shared" si="66"/>
        <v>1.5092607769218161E-2</v>
      </c>
      <c r="M36" s="41">
        <f t="shared" si="66"/>
        <v>1.643767760773783E-2</v>
      </c>
      <c r="N36" s="41">
        <f t="shared" si="66"/>
        <v>7.0118803340608786E-3</v>
      </c>
      <c r="O36" s="41">
        <f t="shared" si="66"/>
        <v>9.0719037060500475E-3</v>
      </c>
      <c r="P36" s="42"/>
      <c r="Q36" s="42"/>
      <c r="R36" s="42"/>
      <c r="S36" s="42"/>
      <c r="T36" s="42"/>
      <c r="U36" s="42"/>
      <c r="V36" s="42"/>
      <c r="W36" s="41">
        <f t="shared" ref="W36:AJ36" si="67">+W14/W$7</f>
        <v>2.0628697051424429E-2</v>
      </c>
      <c r="X36" s="41">
        <f t="shared" si="67"/>
        <v>2.7048259060710733E-2</v>
      </c>
      <c r="Y36" s="41">
        <f t="shared" si="67"/>
        <v>2.4511545293072826E-2</v>
      </c>
      <c r="Z36" s="41">
        <f t="shared" si="67"/>
        <v>1.5860187897767452E-2</v>
      </c>
      <c r="AA36" s="41">
        <f t="shared" si="67"/>
        <v>3.7411176187483975E-3</v>
      </c>
      <c r="AB36" s="41">
        <f t="shared" si="67"/>
        <v>3.7411176187483975E-3</v>
      </c>
      <c r="AC36" s="41">
        <f t="shared" si="67"/>
        <v>3.7411176187483975E-3</v>
      </c>
      <c r="AD36" s="41">
        <f t="shared" si="67"/>
        <v>3.7411176187483975E-3</v>
      </c>
      <c r="AE36" s="41">
        <f t="shared" si="67"/>
        <v>3.7411176187483975E-3</v>
      </c>
      <c r="AF36" s="41">
        <f t="shared" si="67"/>
        <v>3.741117618748398E-3</v>
      </c>
      <c r="AG36" s="41">
        <f t="shared" si="67"/>
        <v>3.741117618748398E-3</v>
      </c>
      <c r="AH36" s="41">
        <f t="shared" si="67"/>
        <v>3.741117618748398E-3</v>
      </c>
      <c r="AI36" s="41">
        <f t="shared" si="67"/>
        <v>3.741117618748398E-3</v>
      </c>
      <c r="AJ36" s="43">
        <f t="shared" si="67"/>
        <v>3.741117618748398E-3</v>
      </c>
      <c r="AN36" s="64">
        <f>+$AN$35/AA21</f>
        <v>39.139576258292941</v>
      </c>
    </row>
    <row r="37" spans="2:40">
      <c r="AN37" s="64">
        <f>+$AN$35/AB21</f>
        <v>33.950066147218166</v>
      </c>
    </row>
    <row r="40" spans="2:40">
      <c r="B40" s="1" t="s">
        <v>38</v>
      </c>
      <c r="M40" s="1">
        <v>274743</v>
      </c>
      <c r="N40" s="1">
        <v>257230</v>
      </c>
      <c r="O40" s="1">
        <v>243756</v>
      </c>
    </row>
    <row r="41" spans="2:40">
      <c r="B41" s="1" t="s">
        <v>39</v>
      </c>
      <c r="M41" s="1">
        <v>9891</v>
      </c>
      <c r="N41" s="1">
        <v>3502</v>
      </c>
      <c r="O41" s="1">
        <v>5590</v>
      </c>
    </row>
    <row r="42" spans="2:40">
      <c r="B42" s="1" t="s">
        <v>40</v>
      </c>
      <c r="M42" s="1">
        <v>3348</v>
      </c>
      <c r="N42" s="1">
        <v>2069</v>
      </c>
      <c r="O42" s="1">
        <v>1854</v>
      </c>
    </row>
    <row r="43" spans="2:40">
      <c r="B43" s="1" t="s">
        <v>41</v>
      </c>
      <c r="M43" s="1">
        <v>5975</v>
      </c>
      <c r="N43" s="1">
        <v>5767</v>
      </c>
      <c r="O43" s="1">
        <v>6773</v>
      </c>
    </row>
    <row r="44" spans="2:40">
      <c r="B44" s="1" t="s">
        <v>42</v>
      </c>
      <c r="M44" s="1">
        <v>93</v>
      </c>
      <c r="N44" s="1">
        <v>93</v>
      </c>
      <c r="O44" s="1">
        <v>93</v>
      </c>
    </row>
    <row r="45" spans="2:40">
      <c r="B45" s="1" t="s">
        <v>43</v>
      </c>
      <c r="M45" s="1">
        <v>4612</v>
      </c>
      <c r="N45" s="1">
        <v>7450</v>
      </c>
      <c r="O45" s="1">
        <v>5622</v>
      </c>
    </row>
    <row r="46" spans="2:40">
      <c r="B46" s="1" t="s">
        <v>44</v>
      </c>
      <c r="M46" s="1">
        <v>245882</v>
      </c>
      <c r="N46" s="1">
        <v>243992</v>
      </c>
      <c r="O46" s="1">
        <v>243602</v>
      </c>
    </row>
    <row r="47" spans="2:40">
      <c r="B47" s="1" t="s">
        <v>45</v>
      </c>
      <c r="M47" s="1">
        <v>264270</v>
      </c>
      <c r="N47" s="1">
        <v>266902</v>
      </c>
      <c r="O47" s="1">
        <v>267132</v>
      </c>
    </row>
    <row r="48" spans="2:40">
      <c r="B48" s="1" t="s">
        <v>46</v>
      </c>
      <c r="M48" s="1">
        <v>35970</v>
      </c>
      <c r="N48" s="1">
        <v>35970</v>
      </c>
      <c r="O48" s="1">
        <v>35970</v>
      </c>
    </row>
    <row r="49" spans="2:15">
      <c r="B49" s="1" t="s">
        <v>47</v>
      </c>
      <c r="M49" s="1">
        <v>28549</v>
      </c>
      <c r="N49" s="1">
        <v>27407</v>
      </c>
      <c r="O49" s="1">
        <v>26356</v>
      </c>
    </row>
    <row r="50" spans="2:15">
      <c r="B50" s="1" t="s">
        <v>48</v>
      </c>
      <c r="M50" s="1">
        <v>449</v>
      </c>
      <c r="N50" s="1">
        <v>426</v>
      </c>
      <c r="O50" s="1">
        <v>403</v>
      </c>
    </row>
    <row r="51" spans="2:15">
      <c r="B51" s="1" t="s">
        <v>49</v>
      </c>
      <c r="M51" s="1">
        <v>1555</v>
      </c>
      <c r="N51" s="1">
        <v>1406</v>
      </c>
      <c r="O51" s="1">
        <v>1406</v>
      </c>
    </row>
    <row r="52" spans="2:15">
      <c r="B52" s="1" t="s">
        <v>50</v>
      </c>
      <c r="M52" s="1">
        <v>4393</v>
      </c>
      <c r="N52" s="1">
        <v>4218</v>
      </c>
      <c r="O52" s="1">
        <v>4020</v>
      </c>
    </row>
    <row r="53" spans="2:15">
      <c r="B53" s="1" t="s">
        <v>51</v>
      </c>
      <c r="M53" s="6">
        <v>125</v>
      </c>
      <c r="N53" s="1">
        <v>125</v>
      </c>
      <c r="O53" s="1">
        <v>125</v>
      </c>
    </row>
    <row r="54" spans="2:15" s="4" customFormat="1">
      <c r="B54" s="4" t="s">
        <v>52</v>
      </c>
      <c r="M54" s="4">
        <f>+SUM(M40:M53)</f>
        <v>879855</v>
      </c>
      <c r="N54" s="4">
        <f>+SUM(N40:N53)</f>
        <v>856557</v>
      </c>
      <c r="O54" s="4">
        <f>+SUM(O40:O53)</f>
        <v>842702</v>
      </c>
    </row>
    <row r="56" spans="2:15">
      <c r="B56" s="1" t="s">
        <v>54</v>
      </c>
      <c r="M56" s="1">
        <v>30613</v>
      </c>
      <c r="N56" s="1">
        <v>31426</v>
      </c>
      <c r="O56" s="1">
        <v>32348</v>
      </c>
    </row>
    <row r="57" spans="2:15">
      <c r="B57" s="1" t="s">
        <v>55</v>
      </c>
      <c r="M57" s="1">
        <v>13609</v>
      </c>
      <c r="N57" s="1">
        <v>17380</v>
      </c>
      <c r="O57" s="1">
        <v>19722</v>
      </c>
    </row>
    <row r="58" spans="2:15">
      <c r="B58" s="1" t="s">
        <v>56</v>
      </c>
      <c r="M58" s="1">
        <v>21485</v>
      </c>
      <c r="N58" s="1">
        <v>20845</v>
      </c>
      <c r="O58" s="1">
        <v>22003</v>
      </c>
    </row>
    <row r="59" spans="2:15">
      <c r="B59" s="1" t="s">
        <v>57</v>
      </c>
      <c r="M59" s="1">
        <v>13514</v>
      </c>
      <c r="N59" s="1">
        <v>13131</v>
      </c>
      <c r="O59" s="1">
        <v>10122</v>
      </c>
    </row>
    <row r="60" spans="2:15">
      <c r="B60" s="1" t="s">
        <v>58</v>
      </c>
      <c r="M60" s="1">
        <v>1832</v>
      </c>
      <c r="N60" s="1">
        <v>2797</v>
      </c>
      <c r="O60" s="1">
        <v>3137</v>
      </c>
    </row>
    <row r="61" spans="2:15">
      <c r="B61" s="1" t="s">
        <v>18</v>
      </c>
      <c r="N61" s="1">
        <v>6000</v>
      </c>
    </row>
    <row r="62" spans="2:15">
      <c r="B62" s="1" t="s">
        <v>44</v>
      </c>
      <c r="M62" s="1">
        <v>271978</v>
      </c>
      <c r="N62" s="1">
        <v>271439</v>
      </c>
      <c r="O62" s="1">
        <v>272053</v>
      </c>
    </row>
    <row r="63" spans="2:15">
      <c r="B63" s="1" t="s">
        <v>59</v>
      </c>
      <c r="M63" s="1">
        <v>22887</v>
      </c>
      <c r="N63" s="1">
        <v>8350</v>
      </c>
      <c r="O63" s="1">
        <v>10377</v>
      </c>
    </row>
    <row r="64" spans="2:15">
      <c r="B64" s="1" t="s">
        <v>60</v>
      </c>
      <c r="M64" s="1">
        <v>1234</v>
      </c>
      <c r="N64" s="1">
        <v>819</v>
      </c>
      <c r="O64" s="1">
        <v>799</v>
      </c>
    </row>
    <row r="65" spans="2:15">
      <c r="B65" s="1" t="s">
        <v>61</v>
      </c>
      <c r="M65" s="1">
        <v>2369</v>
      </c>
      <c r="N65" s="1">
        <v>1773</v>
      </c>
      <c r="O65" s="1">
        <v>1863</v>
      </c>
    </row>
    <row r="66" spans="2:15" s="6" customFormat="1">
      <c r="B66" s="6" t="s">
        <v>62</v>
      </c>
      <c r="M66" s="6">
        <v>500334</v>
      </c>
      <c r="N66" s="6">
        <v>482597</v>
      </c>
      <c r="O66" s="6">
        <v>470278</v>
      </c>
    </row>
    <row r="67" spans="2:15" s="4" customFormat="1">
      <c r="B67" s="4" t="s">
        <v>53</v>
      </c>
      <c r="M67" s="4">
        <f>+SUM(M56:M66)</f>
        <v>879855</v>
      </c>
      <c r="N67" s="4">
        <f>+SUM(N56:N66)</f>
        <v>856557</v>
      </c>
      <c r="O67" s="4">
        <f>+SUM(O56:O66)</f>
        <v>842702</v>
      </c>
    </row>
    <row r="69" spans="2:15">
      <c r="B69" s="1" t="s">
        <v>70</v>
      </c>
      <c r="O69" s="1">
        <v>-26067</v>
      </c>
    </row>
    <row r="70" spans="2:15">
      <c r="B70" s="1" t="s">
        <v>20</v>
      </c>
      <c r="O70" s="1">
        <v>16427</v>
      </c>
    </row>
    <row r="71" spans="2:15">
      <c r="B71" s="1" t="s">
        <v>164</v>
      </c>
      <c r="O71" s="1">
        <v>23</v>
      </c>
    </row>
    <row r="72" spans="2:15">
      <c r="B72" s="1" t="s">
        <v>165</v>
      </c>
      <c r="O72" s="1">
        <v>19</v>
      </c>
    </row>
    <row r="73" spans="2:15">
      <c r="B73" s="1" t="s">
        <v>166</v>
      </c>
      <c r="O73" s="1">
        <v>226</v>
      </c>
    </row>
    <row r="74" spans="2:15">
      <c r="B74" s="1" t="s">
        <v>167</v>
      </c>
      <c r="O74" s="1">
        <v>7547</v>
      </c>
    </row>
    <row r="75" spans="2:15">
      <c r="B75" s="1" t="s">
        <v>168</v>
      </c>
      <c r="O75" s="1">
        <v>66</v>
      </c>
    </row>
    <row r="76" spans="2:15">
      <c r="B76" s="1" t="s">
        <v>169</v>
      </c>
      <c r="O76" s="1">
        <v>9626</v>
      </c>
    </row>
    <row r="77" spans="2:15">
      <c r="B77" s="1" t="s">
        <v>170</v>
      </c>
      <c r="O77" s="1">
        <v>24</v>
      </c>
    </row>
    <row r="78" spans="2:15">
      <c r="B78" s="1" t="s">
        <v>177</v>
      </c>
      <c r="O78" s="1">
        <v>175</v>
      </c>
    </row>
    <row r="79" spans="2:15">
      <c r="B79" s="1" t="s">
        <v>171</v>
      </c>
      <c r="O79" s="1">
        <v>90</v>
      </c>
    </row>
    <row r="80" spans="2:15">
      <c r="B80" s="1" t="s">
        <v>172</v>
      </c>
      <c r="O80" s="1">
        <v>2027</v>
      </c>
    </row>
    <row r="81" spans="2:15">
      <c r="B81" s="1" t="s">
        <v>39</v>
      </c>
      <c r="O81" s="1">
        <v>-2088</v>
      </c>
    </row>
    <row r="82" spans="2:15">
      <c r="B82" s="1" t="s">
        <v>40</v>
      </c>
      <c r="O82" s="1">
        <v>215</v>
      </c>
    </row>
    <row r="83" spans="2:15">
      <c r="B83" s="1" t="s">
        <v>41</v>
      </c>
      <c r="O83" s="1">
        <v>775</v>
      </c>
    </row>
    <row r="84" spans="2:15">
      <c r="B84" s="1" t="s">
        <v>173</v>
      </c>
      <c r="O84" s="1">
        <v>-5820</v>
      </c>
    </row>
    <row r="85" spans="2:15">
      <c r="B85" s="1" t="s">
        <v>55</v>
      </c>
      <c r="O85" s="1">
        <v>1884</v>
      </c>
    </row>
    <row r="86" spans="2:15">
      <c r="B86" s="1" t="s">
        <v>174</v>
      </c>
      <c r="O86" s="1">
        <v>-3009</v>
      </c>
    </row>
    <row r="87" spans="2:15">
      <c r="B87" s="1" t="s">
        <v>56</v>
      </c>
      <c r="O87" s="1">
        <v>966</v>
      </c>
    </row>
    <row r="88" spans="2:15">
      <c r="B88" s="1" t="s">
        <v>175</v>
      </c>
      <c r="O88" s="1">
        <v>340</v>
      </c>
    </row>
    <row r="89" spans="2:15" s="6" customFormat="1">
      <c r="B89" s="6" t="s">
        <v>60</v>
      </c>
      <c r="O89" s="6">
        <v>-20</v>
      </c>
    </row>
    <row r="90" spans="2:15" s="4" customFormat="1">
      <c r="B90" s="4" t="s">
        <v>176</v>
      </c>
      <c r="O90" s="4">
        <f>+SUM(O69:O89)</f>
        <v>3426</v>
      </c>
    </row>
    <row r="92" spans="2:15">
      <c r="B92" s="1" t="s">
        <v>178</v>
      </c>
      <c r="O92" s="1">
        <v>-13410</v>
      </c>
    </row>
    <row r="93" spans="2:15">
      <c r="B93" s="1" t="s">
        <v>179</v>
      </c>
      <c r="O93" s="1">
        <v>-1612</v>
      </c>
    </row>
    <row r="94" spans="2:15">
      <c r="B94" s="1" t="s">
        <v>180</v>
      </c>
      <c r="O94" s="1">
        <v>0</v>
      </c>
    </row>
    <row r="95" spans="2:15" s="4" customFormat="1">
      <c r="B95" s="4" t="s">
        <v>181</v>
      </c>
      <c r="O95" s="4">
        <f>+SUM(O92:O94)</f>
        <v>-15022</v>
      </c>
    </row>
    <row r="97" spans="2:15">
      <c r="B97" s="1" t="s">
        <v>182</v>
      </c>
      <c r="O97" s="1">
        <v>1990</v>
      </c>
    </row>
    <row r="98" spans="2:15">
      <c r="B98" s="1" t="s">
        <v>183</v>
      </c>
      <c r="O98" s="1">
        <v>-3868</v>
      </c>
    </row>
    <row r="99" spans="2:15">
      <c r="B99" s="1" t="s">
        <v>184</v>
      </c>
      <c r="O99" s="1">
        <v>0</v>
      </c>
    </row>
    <row r="100" spans="2:15" s="4" customFormat="1">
      <c r="B100" s="4" t="s">
        <v>185</v>
      </c>
      <c r="O100" s="4">
        <f>+SUM(O97:O99)</f>
        <v>-1878</v>
      </c>
    </row>
    <row r="102" spans="2:15">
      <c r="B102" s="1" t="s">
        <v>186</v>
      </c>
      <c r="O102" s="1">
        <f>+O90+O95+O100</f>
        <v>-13474</v>
      </c>
    </row>
    <row r="103" spans="2:15">
      <c r="B103" s="1" t="s">
        <v>187</v>
      </c>
      <c r="O103" s="1">
        <f>+N40</f>
        <v>257230</v>
      </c>
    </row>
    <row r="104" spans="2:15" s="4" customFormat="1">
      <c r="B104" s="4" t="s">
        <v>188</v>
      </c>
      <c r="O104" s="4">
        <f>+SUM(O102:O103)</f>
        <v>243756</v>
      </c>
    </row>
  </sheetData>
  <mergeCells count="1">
    <mergeCell ref="AA5:AJ5"/>
  </mergeCells>
  <pageMargins left="0.7" right="0.7" top="0.75" bottom="0.75" header="0.3" footer="0.3"/>
  <ignoredErrors>
    <ignoredError sqref="Y24 Y7 Y8:Y14 Y23 U16:V16 U17:V17 U14:V14 U13:V13 U12:V12 U11:V11 U10:V10 U9:V9 U8:V8 U23:W23 U7:V7 U24:X24 U15:W15 P16:T16 P15:T15 X15 O24:T24 R7:T7 W7:X7 P23:T23 X23 P8:T8 W8:X8 P9:T9 W9:X9 P10:T10 W10:X10 P11:T11 W11:X11 P12:T12 W12:X12 P13:T13 W13:X13 P14:T14 W14:X14 P18:T18 P17:T17 W17:X17 W16:X16 P20:T20 P19:T19 X19 W18:X18 P22:T22 P21:T21 X21 W20:X20 W22 Y15:Y17 N7:N14" formulaRange="1"/>
    <ignoredError sqref="Y18:Y22 U22:V22 U20:V20 U21:W21 U18:V18 U19:W19 X22 N15:N23" formula="1" formulaRange="1"/>
    <ignoredError sqref="J24:N24 J15:M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cmg baseline model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2024-02-17T05:32:52Z</dcterms:created>
  <dcterms:modified xsi:type="dcterms:W3CDTF">2024-08-19T01:09:18Z</dcterms:modified>
</cp:coreProperties>
</file>