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5249815A-F41C-BF42-8F85-E5FDFA445D2E}" xr6:coauthVersionLast="47" xr6:coauthVersionMax="47" xr10:uidLastSave="{00000000-0000-0000-0000-000000000000}"/>
  <bookViews>
    <workbookView xWindow="8960" yWindow="2200" windowWidth="44580" windowHeight="24700" activeTab="1" xr2:uid="{CA65A239-F34F-E142-B5DA-63A84FA73A6D}"/>
  </bookViews>
  <sheets>
    <sheet name="Main" sheetId="2" r:id="rId1"/>
    <sheet name="Model" sheetId="1" r:id="rId2"/>
    <sheet name="Debt" sheetId="10" r:id="rId3"/>
    <sheet name="B S Common" sheetId="8" r:id="rId4"/>
    <sheet name="IS Common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Z30" i="9"/>
  <c r="Y30" i="9"/>
  <c r="X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7" i="9"/>
  <c r="Y17" i="9"/>
  <c r="Z16" i="9"/>
  <c r="Y16" i="9"/>
  <c r="Z15" i="9"/>
  <c r="Y15" i="9"/>
  <c r="Z14" i="9"/>
  <c r="Y14" i="9"/>
  <c r="Z13" i="9"/>
  <c r="Y13" i="9"/>
  <c r="Z12" i="9"/>
  <c r="Y12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Z4" i="9"/>
  <c r="Y4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Y30" i="8"/>
  <c r="X30" i="8"/>
  <c r="W30" i="8"/>
  <c r="Y29" i="8"/>
  <c r="X29" i="8"/>
  <c r="W29" i="8"/>
  <c r="Y28" i="8"/>
  <c r="X28" i="8"/>
  <c r="W28" i="8"/>
  <c r="Y27" i="8"/>
  <c r="X27" i="8"/>
  <c r="W27" i="8"/>
  <c r="Y26" i="8"/>
  <c r="X26" i="8"/>
  <c r="W26" i="8"/>
  <c r="Y25" i="8"/>
  <c r="X25" i="8"/>
  <c r="W25" i="8"/>
  <c r="Y24" i="8"/>
  <c r="X24" i="8"/>
  <c r="W24" i="8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V30" i="8"/>
  <c r="V29" i="8"/>
  <c r="V28" i="8"/>
  <c r="V27" i="8"/>
  <c r="V26" i="8"/>
  <c r="V25" i="8"/>
  <c r="V24" i="8"/>
  <c r="V23" i="8"/>
  <c r="V22" i="8"/>
  <c r="V21" i="8"/>
  <c r="V20" i="8"/>
  <c r="V19" i="8"/>
  <c r="U19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V16" i="8"/>
  <c r="V17" i="8"/>
  <c r="V15" i="8"/>
  <c r="V14" i="8"/>
  <c r="V13" i="8"/>
  <c r="V12" i="8"/>
  <c r="V11" i="8"/>
  <c r="V10" i="8"/>
  <c r="V9" i="8"/>
  <c r="V8" i="8"/>
  <c r="V7" i="8"/>
  <c r="V6" i="8"/>
  <c r="V5" i="8"/>
  <c r="V4" i="8"/>
  <c r="U4" i="8"/>
  <c r="W40" i="8"/>
  <c r="AW14" i="1"/>
  <c r="AV14" i="1"/>
  <c r="G7" i="2"/>
  <c r="AT40" i="1"/>
  <c r="AV7" i="1"/>
  <c r="AW7" i="1" s="1"/>
  <c r="AU8" i="1"/>
  <c r="X124" i="1"/>
  <c r="Y136" i="1"/>
  <c r="W136" i="1"/>
  <c r="X114" i="1"/>
  <c r="Y114" i="1" s="1"/>
  <c r="X102" i="1"/>
  <c r="Y102" i="1" s="1"/>
  <c r="Y63" i="1"/>
  <c r="Y68" i="1" s="1"/>
  <c r="Y70" i="1" s="1"/>
  <c r="Y47" i="1"/>
  <c r="Y55" i="1" s="1"/>
  <c r="Y4" i="1"/>
  <c r="Y14" i="1"/>
  <c r="X134" i="1"/>
  <c r="Y134" i="1" s="1"/>
  <c r="X132" i="1"/>
  <c r="Y132" i="1" s="1"/>
  <c r="X131" i="1"/>
  <c r="Y131" i="1" s="1"/>
  <c r="X130" i="1"/>
  <c r="X125" i="1"/>
  <c r="Y125" i="1" s="1"/>
  <c r="X123" i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63" i="1"/>
  <c r="X68" i="1" s="1"/>
  <c r="X70" i="1" s="1"/>
  <c r="X47" i="1"/>
  <c r="X55" i="1" s="1"/>
  <c r="X14" i="1"/>
  <c r="X23" i="1" s="1"/>
  <c r="X25" i="1" s="1"/>
  <c r="X27" i="1" s="1"/>
  <c r="X28" i="1" s="1"/>
  <c r="X40" i="1"/>
  <c r="T35" i="1"/>
  <c r="W35" i="1"/>
  <c r="V35" i="1"/>
  <c r="U35" i="1"/>
  <c r="C8" i="10"/>
  <c r="C7" i="10"/>
  <c r="W75" i="1"/>
  <c r="W76" i="1"/>
  <c r="W77" i="1"/>
  <c r="W78" i="1"/>
  <c r="W79" i="1"/>
  <c r="W81" i="1"/>
  <c r="W82" i="1"/>
  <c r="Q75" i="1"/>
  <c r="AE9" i="1"/>
  <c r="AF9" i="1"/>
  <c r="AG9" i="1"/>
  <c r="AH9" i="1"/>
  <c r="AI9" i="1"/>
  <c r="AJ9" i="1"/>
  <c r="AK9" i="1"/>
  <c r="AK10" i="1" s="1"/>
  <c r="AL9" i="1"/>
  <c r="AM9" i="1"/>
  <c r="AN9" i="1"/>
  <c r="AO9" i="1"/>
  <c r="AP9" i="1"/>
  <c r="U136" i="1"/>
  <c r="W133" i="1"/>
  <c r="W128" i="1"/>
  <c r="W121" i="1"/>
  <c r="W139" i="1" s="1"/>
  <c r="W63" i="1"/>
  <c r="W68" i="1" s="1"/>
  <c r="W70" i="1" s="1"/>
  <c r="W47" i="1"/>
  <c r="W55" i="1" s="1"/>
  <c r="V40" i="1"/>
  <c r="W40" i="1"/>
  <c r="Y40" i="1"/>
  <c r="Z40" i="1"/>
  <c r="W14" i="1"/>
  <c r="W23" i="1" s="1"/>
  <c r="W25" i="1" s="1"/>
  <c r="W27" i="1" s="1"/>
  <c r="W28" i="1" s="1"/>
  <c r="R136" i="1"/>
  <c r="V136" i="1"/>
  <c r="AR133" i="1"/>
  <c r="AR128" i="1"/>
  <c r="AR121" i="1"/>
  <c r="AS133" i="1"/>
  <c r="AS128" i="1"/>
  <c r="AS121" i="1"/>
  <c r="AS139" i="1" s="1"/>
  <c r="AT133" i="1"/>
  <c r="AT128" i="1"/>
  <c r="AT121" i="1"/>
  <c r="AT139" i="1" s="1"/>
  <c r="V100" i="1"/>
  <c r="W93" i="1" s="1"/>
  <c r="W100" i="1" s="1"/>
  <c r="AT21" i="1"/>
  <c r="AT22" i="1"/>
  <c r="W42" i="8" l="1"/>
  <c r="W44" i="8"/>
  <c r="W46" i="8"/>
  <c r="W48" i="8"/>
  <c r="W51" i="8"/>
  <c r="W53" i="8"/>
  <c r="W55" i="8"/>
  <c r="W57" i="8"/>
  <c r="W59" i="8"/>
  <c r="W61" i="8"/>
  <c r="X36" i="8"/>
  <c r="X38" i="8"/>
  <c r="X40" i="8"/>
  <c r="X42" i="8"/>
  <c r="X44" i="8"/>
  <c r="X46" i="8"/>
  <c r="X48" i="8"/>
  <c r="X51" i="8"/>
  <c r="X53" i="8"/>
  <c r="X55" i="8"/>
  <c r="X57" i="8"/>
  <c r="X59" i="8"/>
  <c r="X61" i="8"/>
  <c r="Y36" i="8"/>
  <c r="Y38" i="8"/>
  <c r="Y40" i="8"/>
  <c r="Y42" i="8"/>
  <c r="Y44" i="8"/>
  <c r="Y46" i="8"/>
  <c r="Y48" i="8"/>
  <c r="Y51" i="8"/>
  <c r="Y53" i="8"/>
  <c r="Y55" i="8"/>
  <c r="Y57" i="8"/>
  <c r="Y59" i="8"/>
  <c r="Y61" i="8"/>
  <c r="W36" i="8"/>
  <c r="W37" i="8"/>
  <c r="W41" i="8"/>
  <c r="W45" i="8"/>
  <c r="W49" i="8"/>
  <c r="W52" i="8"/>
  <c r="W54" i="8"/>
  <c r="W56" i="8"/>
  <c r="W58" i="8"/>
  <c r="X37" i="8"/>
  <c r="X39" i="8"/>
  <c r="X41" i="8"/>
  <c r="X43" i="8"/>
  <c r="X45" i="8"/>
  <c r="X47" i="8"/>
  <c r="X49" i="8"/>
  <c r="X52" i="8"/>
  <c r="X54" i="8"/>
  <c r="X56" i="8"/>
  <c r="X58" i="8"/>
  <c r="X60" i="8"/>
  <c r="X62" i="8"/>
  <c r="W38" i="8"/>
  <c r="W39" i="8"/>
  <c r="W47" i="8"/>
  <c r="W62" i="8"/>
  <c r="Y37" i="8"/>
  <c r="Y39" i="8"/>
  <c r="Y41" i="8"/>
  <c r="Y43" i="8"/>
  <c r="Y45" i="8"/>
  <c r="Y47" i="8"/>
  <c r="Y49" i="8"/>
  <c r="Y52" i="8"/>
  <c r="Y54" i="8"/>
  <c r="Y56" i="8"/>
  <c r="Y58" i="8"/>
  <c r="Y60" i="8"/>
  <c r="Y62" i="8"/>
  <c r="W43" i="8"/>
  <c r="W60" i="8"/>
  <c r="AV8" i="1"/>
  <c r="AX7" i="1"/>
  <c r="AY7" i="1" s="1"/>
  <c r="AW8" i="1"/>
  <c r="W36" i="1"/>
  <c r="V36" i="1"/>
  <c r="X31" i="1"/>
  <c r="X128" i="1"/>
  <c r="Y121" i="1"/>
  <c r="Y123" i="1"/>
  <c r="X133" i="1"/>
  <c r="X140" i="1"/>
  <c r="X121" i="1"/>
  <c r="Y130" i="1"/>
  <c r="Y133" i="1" s="1"/>
  <c r="Y23" i="1"/>
  <c r="Y31" i="1" s="1"/>
  <c r="AJ10" i="1"/>
  <c r="AO10" i="1"/>
  <c r="AG10" i="1"/>
  <c r="AN10" i="1"/>
  <c r="AF10" i="1"/>
  <c r="AR135" i="1"/>
  <c r="AR137" i="1" s="1"/>
  <c r="W135" i="1"/>
  <c r="W137" i="1" s="1"/>
  <c r="W15" i="9"/>
  <c r="W16" i="9"/>
  <c r="W8" i="9"/>
  <c r="W12" i="9"/>
  <c r="W4" i="9"/>
  <c r="W11" i="9"/>
  <c r="W14" i="9"/>
  <c r="W140" i="1"/>
  <c r="AI10" i="1"/>
  <c r="W13" i="9"/>
  <c r="AR139" i="1"/>
  <c r="AS135" i="1"/>
  <c r="AS137" i="1" s="1"/>
  <c r="AM10" i="1"/>
  <c r="W10" i="9"/>
  <c r="W7" i="9"/>
  <c r="W6" i="9"/>
  <c r="W5" i="9"/>
  <c r="AL10" i="1"/>
  <c r="W17" i="9"/>
  <c r="W9" i="9"/>
  <c r="AH10" i="1"/>
  <c r="AP10" i="1"/>
  <c r="W31" i="1"/>
  <c r="AT135" i="1"/>
  <c r="AT137" i="1" s="1"/>
  <c r="AO32" i="1"/>
  <c r="M10" i="2"/>
  <c r="M8" i="2"/>
  <c r="Y139" i="1" l="1"/>
  <c r="X135" i="1"/>
  <c r="X139" i="1"/>
  <c r="Y25" i="1"/>
  <c r="Y27" i="1" s="1"/>
  <c r="M7" i="2"/>
  <c r="G6" i="2"/>
  <c r="S10" i="1"/>
  <c r="C40" i="1"/>
  <c r="B89" i="1"/>
  <c r="B88" i="1"/>
  <c r="B87" i="1"/>
  <c r="B86" i="1"/>
  <c r="B85" i="1"/>
  <c r="U82" i="1"/>
  <c r="T82" i="1"/>
  <c r="S82" i="1"/>
  <c r="R82" i="1"/>
  <c r="Q82" i="1"/>
  <c r="P82" i="1"/>
  <c r="O82" i="1"/>
  <c r="N82" i="1"/>
  <c r="M82" i="1"/>
  <c r="L82" i="1"/>
  <c r="U81" i="1"/>
  <c r="T81" i="1"/>
  <c r="S81" i="1"/>
  <c r="R81" i="1"/>
  <c r="Q81" i="1"/>
  <c r="P81" i="1"/>
  <c r="O81" i="1"/>
  <c r="N81" i="1"/>
  <c r="M81" i="1"/>
  <c r="L81" i="1"/>
  <c r="U79" i="1"/>
  <c r="T79" i="1"/>
  <c r="S79" i="1"/>
  <c r="R79" i="1"/>
  <c r="Q79" i="1"/>
  <c r="P79" i="1"/>
  <c r="O79" i="1"/>
  <c r="N79" i="1"/>
  <c r="M79" i="1"/>
  <c r="L79" i="1"/>
  <c r="U78" i="1"/>
  <c r="T78" i="1"/>
  <c r="S78" i="1"/>
  <c r="R78" i="1"/>
  <c r="Q78" i="1"/>
  <c r="P78" i="1"/>
  <c r="O78" i="1"/>
  <c r="N78" i="1"/>
  <c r="M78" i="1"/>
  <c r="L78" i="1"/>
  <c r="U77" i="1"/>
  <c r="T77" i="1"/>
  <c r="S77" i="1"/>
  <c r="R77" i="1"/>
  <c r="Q77" i="1"/>
  <c r="P77" i="1"/>
  <c r="O77" i="1"/>
  <c r="N77" i="1"/>
  <c r="M77" i="1"/>
  <c r="L77" i="1"/>
  <c r="U76" i="1"/>
  <c r="T76" i="1"/>
  <c r="S76" i="1"/>
  <c r="R76" i="1"/>
  <c r="Q76" i="1"/>
  <c r="P76" i="1"/>
  <c r="O76" i="1"/>
  <c r="N76" i="1"/>
  <c r="M76" i="1"/>
  <c r="L76" i="1"/>
  <c r="U75" i="1"/>
  <c r="T75" i="1"/>
  <c r="S75" i="1"/>
  <c r="R75" i="1"/>
  <c r="P75" i="1"/>
  <c r="O75" i="1"/>
  <c r="N75" i="1"/>
  <c r="M75" i="1"/>
  <c r="L75" i="1"/>
  <c r="V82" i="1"/>
  <c r="V81" i="1"/>
  <c r="V79" i="1"/>
  <c r="V78" i="1"/>
  <c r="V77" i="1"/>
  <c r="V76" i="1"/>
  <c r="V75" i="1"/>
  <c r="B82" i="1"/>
  <c r="B81" i="1"/>
  <c r="B80" i="1"/>
  <c r="B79" i="1"/>
  <c r="B78" i="1"/>
  <c r="B91" i="1" s="1"/>
  <c r="B77" i="1"/>
  <c r="B76" i="1"/>
  <c r="B90" i="1" s="1"/>
  <c r="B75" i="1"/>
  <c r="C4" i="9"/>
  <c r="D4" i="9"/>
  <c r="E4" i="9"/>
  <c r="G4" i="9"/>
  <c r="H4" i="9"/>
  <c r="I4" i="9"/>
  <c r="C5" i="9"/>
  <c r="D5" i="9"/>
  <c r="E5" i="9"/>
  <c r="G5" i="9"/>
  <c r="H5" i="9"/>
  <c r="I5" i="9"/>
  <c r="C6" i="9"/>
  <c r="D6" i="9"/>
  <c r="E6" i="9"/>
  <c r="G6" i="9"/>
  <c r="H6" i="9"/>
  <c r="I6" i="9"/>
  <c r="C7" i="9"/>
  <c r="D7" i="9"/>
  <c r="E7" i="9"/>
  <c r="G7" i="9"/>
  <c r="H7" i="9"/>
  <c r="I7" i="9"/>
  <c r="C8" i="9"/>
  <c r="D8" i="9"/>
  <c r="E8" i="9"/>
  <c r="G8" i="9"/>
  <c r="H8" i="9"/>
  <c r="I8" i="9"/>
  <c r="C9" i="9"/>
  <c r="D9" i="9"/>
  <c r="E9" i="9"/>
  <c r="G9" i="9"/>
  <c r="H9" i="9"/>
  <c r="I9" i="9"/>
  <c r="C10" i="9"/>
  <c r="D10" i="9"/>
  <c r="E10" i="9"/>
  <c r="G10" i="9"/>
  <c r="H10" i="9"/>
  <c r="I10" i="9"/>
  <c r="C11" i="9"/>
  <c r="D11" i="9"/>
  <c r="E11" i="9"/>
  <c r="G11" i="9"/>
  <c r="H11" i="9"/>
  <c r="I11" i="9"/>
  <c r="C12" i="9"/>
  <c r="D12" i="9"/>
  <c r="E12" i="9"/>
  <c r="G12" i="9"/>
  <c r="H12" i="9"/>
  <c r="I12" i="9"/>
  <c r="C14" i="9"/>
  <c r="D14" i="9"/>
  <c r="E14" i="9"/>
  <c r="G14" i="9"/>
  <c r="H14" i="9"/>
  <c r="I14" i="9"/>
  <c r="C16" i="9"/>
  <c r="D16" i="9"/>
  <c r="E16" i="9"/>
  <c r="G16" i="9"/>
  <c r="H16" i="9"/>
  <c r="I16" i="9"/>
  <c r="C63" i="1"/>
  <c r="C47" i="1"/>
  <c r="E63" i="1"/>
  <c r="E68" i="1" s="1"/>
  <c r="E70" i="1" s="1"/>
  <c r="F63" i="1"/>
  <c r="F68" i="1" s="1"/>
  <c r="F70" i="1" s="1"/>
  <c r="G63" i="1"/>
  <c r="H63" i="1"/>
  <c r="I63" i="1"/>
  <c r="J63" i="1"/>
  <c r="J68" i="1" s="1"/>
  <c r="J70" i="1" s="1"/>
  <c r="K63" i="1"/>
  <c r="L63" i="1"/>
  <c r="L68" i="1" s="1"/>
  <c r="L70" i="1" s="1"/>
  <c r="M63" i="1"/>
  <c r="M68" i="1" s="1"/>
  <c r="M70" i="1" s="1"/>
  <c r="N63" i="1"/>
  <c r="O63" i="1"/>
  <c r="P63" i="1"/>
  <c r="Q63" i="1"/>
  <c r="R63" i="1"/>
  <c r="S63" i="1"/>
  <c r="T63" i="1"/>
  <c r="U63" i="1"/>
  <c r="V63" i="1"/>
  <c r="W80" i="1" s="1"/>
  <c r="D63" i="1"/>
  <c r="D68" i="1" s="1"/>
  <c r="D47" i="1"/>
  <c r="D40" i="1"/>
  <c r="E47" i="1"/>
  <c r="E55" i="1" s="1"/>
  <c r="E40" i="1"/>
  <c r="G47" i="1"/>
  <c r="G40" i="1"/>
  <c r="H47" i="1"/>
  <c r="H55" i="1" s="1"/>
  <c r="H40" i="1"/>
  <c r="K47" i="1"/>
  <c r="K40" i="1"/>
  <c r="L47" i="1"/>
  <c r="L40" i="1"/>
  <c r="J47" i="1"/>
  <c r="J40" i="1"/>
  <c r="M47" i="1"/>
  <c r="M40" i="1"/>
  <c r="F47" i="1"/>
  <c r="F40" i="1"/>
  <c r="I47" i="1"/>
  <c r="I55" i="1" s="1"/>
  <c r="N47" i="1"/>
  <c r="N40" i="1"/>
  <c r="I40" i="1"/>
  <c r="X35" i="1" l="1"/>
  <c r="G9" i="2"/>
  <c r="W86" i="1"/>
  <c r="Y28" i="1"/>
  <c r="Y140" i="1"/>
  <c r="W90" i="1"/>
  <c r="W91" i="1"/>
  <c r="W85" i="1"/>
  <c r="W88" i="1"/>
  <c r="W87" i="1"/>
  <c r="V86" i="1"/>
  <c r="S88" i="1"/>
  <c r="O91" i="1"/>
  <c r="Q85" i="1"/>
  <c r="O86" i="1"/>
  <c r="S87" i="1"/>
  <c r="Q88" i="1"/>
  <c r="O90" i="1"/>
  <c r="U91" i="1"/>
  <c r="R85" i="1"/>
  <c r="P86" i="1"/>
  <c r="T87" i="1"/>
  <c r="R88" i="1"/>
  <c r="P90" i="1"/>
  <c r="V91" i="1"/>
  <c r="O85" i="1"/>
  <c r="U86" i="1"/>
  <c r="Q87" i="1"/>
  <c r="O88" i="1"/>
  <c r="U90" i="1"/>
  <c r="S91" i="1"/>
  <c r="O80" i="1"/>
  <c r="P85" i="1"/>
  <c r="R87" i="1"/>
  <c r="P88" i="1"/>
  <c r="V90" i="1"/>
  <c r="T91" i="1"/>
  <c r="U85" i="1"/>
  <c r="Q86" i="1"/>
  <c r="T88" i="1"/>
  <c r="S90" i="1"/>
  <c r="Q80" i="1"/>
  <c r="T85" i="1"/>
  <c r="S86" i="1"/>
  <c r="P87" i="1"/>
  <c r="V87" i="1"/>
  <c r="U88" i="1"/>
  <c r="R90" i="1"/>
  <c r="R91" i="1"/>
  <c r="S85" i="1"/>
  <c r="R80" i="1"/>
  <c r="V85" i="1"/>
  <c r="P91" i="1"/>
  <c r="Q91" i="1"/>
  <c r="U87" i="1"/>
  <c r="T86" i="1"/>
  <c r="V88" i="1"/>
  <c r="O87" i="1"/>
  <c r="R86" i="1"/>
  <c r="T90" i="1"/>
  <c r="Q90" i="1"/>
  <c r="T80" i="1"/>
  <c r="L80" i="1"/>
  <c r="N80" i="1"/>
  <c r="U80" i="1"/>
  <c r="P80" i="1"/>
  <c r="S80" i="1"/>
  <c r="M80" i="1"/>
  <c r="V80" i="1"/>
  <c r="D70" i="1"/>
  <c r="G68" i="1"/>
  <c r="G55" i="1"/>
  <c r="H68" i="1"/>
  <c r="F55" i="1"/>
  <c r="L55" i="1"/>
  <c r="D55" i="1"/>
  <c r="I68" i="1"/>
  <c r="C68" i="1"/>
  <c r="K55" i="1"/>
  <c r="M55" i="1"/>
  <c r="M10" i="8" s="1"/>
  <c r="J55" i="1"/>
  <c r="K68" i="1"/>
  <c r="C55" i="1"/>
  <c r="Z4" i="1"/>
  <c r="V68" i="1"/>
  <c r="V47" i="1"/>
  <c r="V14" i="1"/>
  <c r="T10" i="1"/>
  <c r="U10" i="1"/>
  <c r="T40" i="1"/>
  <c r="T36" i="1" s="1"/>
  <c r="S40" i="1"/>
  <c r="R40" i="1"/>
  <c r="Q40" i="1"/>
  <c r="P40" i="1"/>
  <c r="O40" i="1"/>
  <c r="U40" i="1"/>
  <c r="U36" i="1" s="1"/>
  <c r="W89" i="1" l="1"/>
  <c r="V7" i="9"/>
  <c r="V11" i="9"/>
  <c r="V14" i="9"/>
  <c r="V5" i="9"/>
  <c r="V9" i="9"/>
  <c r="V10" i="9"/>
  <c r="V4" i="9"/>
  <c r="V8" i="9"/>
  <c r="V12" i="9"/>
  <c r="V16" i="9"/>
  <c r="V6" i="9"/>
  <c r="P89" i="1"/>
  <c r="O89" i="1"/>
  <c r="V89" i="1"/>
  <c r="S89" i="1"/>
  <c r="U89" i="1"/>
  <c r="T89" i="1"/>
  <c r="Q89" i="1"/>
  <c r="R89" i="1"/>
  <c r="C70" i="1"/>
  <c r="G70" i="1"/>
  <c r="V55" i="1"/>
  <c r="H70" i="1"/>
  <c r="M16" i="8"/>
  <c r="M9" i="8"/>
  <c r="M4" i="8"/>
  <c r="M8" i="8"/>
  <c r="M5" i="8"/>
  <c r="M6" i="8"/>
  <c r="M7" i="8"/>
  <c r="M15" i="8"/>
  <c r="M11" i="8"/>
  <c r="M12" i="8"/>
  <c r="M13" i="8"/>
  <c r="M14" i="8"/>
  <c r="V70" i="1"/>
  <c r="K70" i="1"/>
  <c r="I70" i="1"/>
  <c r="Z29" i="1"/>
  <c r="AE32" i="1"/>
  <c r="AF32" i="1"/>
  <c r="AG32" i="1"/>
  <c r="AH32" i="1"/>
  <c r="AI32" i="1"/>
  <c r="AJ32" i="1"/>
  <c r="G32" i="1"/>
  <c r="H32" i="1"/>
  <c r="I32" i="1"/>
  <c r="C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I3" i="1"/>
  <c r="AH3" i="1" s="1"/>
  <c r="AG3" i="1" s="1"/>
  <c r="AF3" i="1" s="1"/>
  <c r="AE3" i="1" s="1"/>
  <c r="AD3" i="1" s="1"/>
  <c r="D7" i="1"/>
  <c r="G7" i="1"/>
  <c r="G9" i="1" s="1"/>
  <c r="K7" i="1"/>
  <c r="F15" i="1"/>
  <c r="F16" i="1"/>
  <c r="F17" i="1"/>
  <c r="F18" i="1"/>
  <c r="F19" i="1"/>
  <c r="F20" i="1"/>
  <c r="F21" i="1"/>
  <c r="F22" i="1"/>
  <c r="F24" i="1"/>
  <c r="F26" i="1"/>
  <c r="F28" i="1"/>
  <c r="F14" i="1"/>
  <c r="C23" i="1"/>
  <c r="D23" i="1"/>
  <c r="E23" i="1"/>
  <c r="K32" i="1"/>
  <c r="L32" i="1"/>
  <c r="G23" i="1"/>
  <c r="H23" i="1"/>
  <c r="J28" i="1"/>
  <c r="J26" i="1"/>
  <c r="J24" i="1"/>
  <c r="J22" i="1"/>
  <c r="J21" i="1"/>
  <c r="J20" i="1"/>
  <c r="J19" i="1"/>
  <c r="J18" i="1"/>
  <c r="J17" i="1"/>
  <c r="J16" i="1"/>
  <c r="J15" i="1"/>
  <c r="I23" i="1"/>
  <c r="S93" i="1"/>
  <c r="S100" i="1" s="1"/>
  <c r="U93" i="1"/>
  <c r="U100" i="1" s="1"/>
  <c r="T93" i="1"/>
  <c r="T100" i="1" s="1"/>
  <c r="R93" i="1"/>
  <c r="R100" i="1" s="1"/>
  <c r="Q93" i="1"/>
  <c r="Q100" i="1" s="1"/>
  <c r="P93" i="1"/>
  <c r="P100" i="1" s="1"/>
  <c r="N93" i="1"/>
  <c r="N100" i="1" s="1"/>
  <c r="O93" i="1" s="1"/>
  <c r="O100" i="1" s="1"/>
  <c r="O136" i="1"/>
  <c r="O133" i="1"/>
  <c r="O128" i="1"/>
  <c r="O121" i="1"/>
  <c r="S136" i="1"/>
  <c r="S130" i="1"/>
  <c r="S128" i="1"/>
  <c r="S121" i="1"/>
  <c r="T132" i="1"/>
  <c r="T120" i="1"/>
  <c r="T119" i="1"/>
  <c r="T112" i="1"/>
  <c r="T111" i="1"/>
  <c r="T105" i="1"/>
  <c r="T103" i="1"/>
  <c r="P136" i="1"/>
  <c r="P134" i="1"/>
  <c r="P132" i="1"/>
  <c r="P131" i="1"/>
  <c r="P130" i="1"/>
  <c r="P127" i="1"/>
  <c r="P126" i="1"/>
  <c r="P125" i="1"/>
  <c r="P124" i="1"/>
  <c r="P123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T136" i="1"/>
  <c r="T134" i="1"/>
  <c r="T131" i="1"/>
  <c r="T127" i="1"/>
  <c r="T126" i="1"/>
  <c r="T125" i="1"/>
  <c r="T124" i="1"/>
  <c r="T118" i="1"/>
  <c r="T117" i="1"/>
  <c r="T116" i="1"/>
  <c r="T115" i="1"/>
  <c r="T113" i="1"/>
  <c r="T110" i="1"/>
  <c r="T109" i="1"/>
  <c r="T108" i="1"/>
  <c r="T107" i="1"/>
  <c r="T106" i="1"/>
  <c r="T102" i="1"/>
  <c r="Q136" i="1"/>
  <c r="U104" i="1"/>
  <c r="V104" i="1" s="1"/>
  <c r="P16" i="9"/>
  <c r="L16" i="9"/>
  <c r="P14" i="9"/>
  <c r="L14" i="9"/>
  <c r="P12" i="9"/>
  <c r="L12" i="9"/>
  <c r="P11" i="9"/>
  <c r="L11" i="9"/>
  <c r="P10" i="9"/>
  <c r="L10" i="9"/>
  <c r="P9" i="9"/>
  <c r="L9" i="9"/>
  <c r="P8" i="9"/>
  <c r="L8" i="9"/>
  <c r="P7" i="9"/>
  <c r="L7" i="9"/>
  <c r="P6" i="9"/>
  <c r="L6" i="9"/>
  <c r="P5" i="9"/>
  <c r="L5" i="9"/>
  <c r="P4" i="9"/>
  <c r="L4" i="9"/>
  <c r="K5" i="9"/>
  <c r="K6" i="9"/>
  <c r="K7" i="9"/>
  <c r="K8" i="9"/>
  <c r="K9" i="9"/>
  <c r="K10" i="9"/>
  <c r="K11" i="9"/>
  <c r="K12" i="9"/>
  <c r="K14" i="9"/>
  <c r="K16" i="9"/>
  <c r="K4" i="9"/>
  <c r="B5" i="9"/>
  <c r="B20" i="9" s="1"/>
  <c r="B6" i="9"/>
  <c r="B21" i="9" s="1"/>
  <c r="B7" i="9"/>
  <c r="B22" i="9" s="1"/>
  <c r="B8" i="9"/>
  <c r="B23" i="9" s="1"/>
  <c r="B9" i="9"/>
  <c r="B24" i="9" s="1"/>
  <c r="B10" i="9"/>
  <c r="B25" i="9" s="1"/>
  <c r="B11" i="9"/>
  <c r="B26" i="9" s="1"/>
  <c r="B12" i="9"/>
  <c r="B27" i="9" s="1"/>
  <c r="B13" i="9"/>
  <c r="B28" i="9" s="1"/>
  <c r="B14" i="9"/>
  <c r="B29" i="9" s="1"/>
  <c r="B15" i="9"/>
  <c r="B30" i="9" s="1"/>
  <c r="B16" i="9"/>
  <c r="B17" i="9"/>
  <c r="B4" i="9"/>
  <c r="AW8" i="8"/>
  <c r="AW9" i="8" s="1"/>
  <c r="AW6" i="8"/>
  <c r="O68" i="1"/>
  <c r="O47" i="1"/>
  <c r="O55" i="1" s="1"/>
  <c r="O26" i="8" s="1"/>
  <c r="P68" i="1"/>
  <c r="P47" i="1"/>
  <c r="P55" i="1" s="1"/>
  <c r="P25" i="8" s="1"/>
  <c r="N68" i="1"/>
  <c r="N55" i="1"/>
  <c r="D17" i="8" s="1"/>
  <c r="Q68" i="1"/>
  <c r="Q47" i="1"/>
  <c r="Q55" i="1" s="1"/>
  <c r="Q26" i="8" s="1"/>
  <c r="S68" i="1"/>
  <c r="S47" i="1"/>
  <c r="S55" i="1" s="1"/>
  <c r="S15" i="8" s="1"/>
  <c r="T68" i="1"/>
  <c r="T47" i="1"/>
  <c r="T55" i="1" s="1"/>
  <c r="T27" i="8" s="1"/>
  <c r="R68" i="1"/>
  <c r="R47" i="1"/>
  <c r="R55" i="1" s="1"/>
  <c r="R15" i="8" s="1"/>
  <c r="U68" i="1"/>
  <c r="U47" i="1"/>
  <c r="U55" i="1" s="1"/>
  <c r="N7" i="1"/>
  <c r="AW4" i="8"/>
  <c r="H7" i="2"/>
  <c r="U14" i="1"/>
  <c r="Y32" i="1" s="1"/>
  <c r="U6" i="9" l="1"/>
  <c r="U4" i="9"/>
  <c r="U8" i="9"/>
  <c r="U12" i="9"/>
  <c r="U16" i="9"/>
  <c r="U10" i="9"/>
  <c r="U5" i="9"/>
  <c r="U9" i="9"/>
  <c r="U14" i="9"/>
  <c r="U7" i="9"/>
  <c r="U11" i="9"/>
  <c r="U108" i="1"/>
  <c r="V108" i="1" s="1"/>
  <c r="Q112" i="1"/>
  <c r="R112" i="1" s="1"/>
  <c r="U126" i="1"/>
  <c r="V126" i="1" s="1"/>
  <c r="Q134" i="1"/>
  <c r="R134" i="1" s="1"/>
  <c r="U113" i="1"/>
  <c r="V113" i="1" s="1"/>
  <c r="U127" i="1"/>
  <c r="V127" i="1" s="1"/>
  <c r="Q106" i="1"/>
  <c r="R106" i="1" s="1"/>
  <c r="Q114" i="1"/>
  <c r="R114" i="1" s="1"/>
  <c r="Q124" i="1"/>
  <c r="R124" i="1" s="1"/>
  <c r="U125" i="1"/>
  <c r="V125" i="1"/>
  <c r="Q120" i="1"/>
  <c r="R120" i="1" s="1"/>
  <c r="U120" i="1"/>
  <c r="V120" i="1" s="1"/>
  <c r="Q105" i="1"/>
  <c r="R105" i="1" s="1"/>
  <c r="U132" i="1"/>
  <c r="V132" i="1" s="1"/>
  <c r="U131" i="1"/>
  <c r="V131" i="1" s="1"/>
  <c r="Q107" i="1"/>
  <c r="R107" i="1" s="1"/>
  <c r="Q115" i="1"/>
  <c r="R115" i="1" s="1"/>
  <c r="Q125" i="1"/>
  <c r="R125" i="1" s="1"/>
  <c r="U102" i="1"/>
  <c r="V102" i="1" s="1"/>
  <c r="U116" i="1"/>
  <c r="V116" i="1" s="1"/>
  <c r="U134" i="1"/>
  <c r="V134" i="1" s="1"/>
  <c r="Q108" i="1"/>
  <c r="R108" i="1" s="1"/>
  <c r="Q116" i="1"/>
  <c r="R116" i="1" s="1"/>
  <c r="Q126" i="1"/>
  <c r="R126" i="1" s="1"/>
  <c r="U105" i="1"/>
  <c r="V105" i="1" s="1"/>
  <c r="S133" i="1"/>
  <c r="S135" i="1" s="1"/>
  <c r="S137" i="1" s="1"/>
  <c r="U124" i="1"/>
  <c r="V124" i="1" s="1"/>
  <c r="Q111" i="1"/>
  <c r="R111" i="1" s="1"/>
  <c r="U109" i="1"/>
  <c r="V109" i="1" s="1"/>
  <c r="Q104" i="1"/>
  <c r="R104" i="1" s="1"/>
  <c r="Q132" i="1"/>
  <c r="R132" i="1" s="1"/>
  <c r="U110" i="1"/>
  <c r="V110" i="1" s="1"/>
  <c r="Q123" i="1"/>
  <c r="R123" i="1" s="1"/>
  <c r="U115" i="1"/>
  <c r="V115" i="1" s="1"/>
  <c r="U106" i="1"/>
  <c r="V106" i="1" s="1"/>
  <c r="U117" i="1"/>
  <c r="V117" i="1" s="1"/>
  <c r="Q109" i="1"/>
  <c r="R109" i="1" s="1"/>
  <c r="Q117" i="1"/>
  <c r="R117" i="1" s="1"/>
  <c r="Q127" i="1"/>
  <c r="R127" i="1" s="1"/>
  <c r="U111" i="1"/>
  <c r="V111" i="1" s="1"/>
  <c r="Q103" i="1"/>
  <c r="R103" i="1" s="1"/>
  <c r="Q119" i="1"/>
  <c r="R119" i="1" s="1"/>
  <c r="U119" i="1" s="1"/>
  <c r="V119" i="1" s="1"/>
  <c r="Q131" i="1"/>
  <c r="R131" i="1" s="1"/>
  <c r="Q113" i="1"/>
  <c r="R113" i="1" s="1"/>
  <c r="U107" i="1"/>
  <c r="V107" i="1" s="1"/>
  <c r="U118" i="1"/>
  <c r="V118" i="1" s="1"/>
  <c r="Q102" i="1"/>
  <c r="R102" i="1" s="1"/>
  <c r="Q110" i="1"/>
  <c r="R110" i="1" s="1"/>
  <c r="Q118" i="1"/>
  <c r="R118" i="1" s="1"/>
  <c r="Q130" i="1"/>
  <c r="R130" i="1" s="1"/>
  <c r="U112" i="1"/>
  <c r="V112" i="1" s="1"/>
  <c r="O139" i="1"/>
  <c r="P70" i="1"/>
  <c r="P30" i="8" s="1"/>
  <c r="R70" i="1"/>
  <c r="R30" i="8" s="1"/>
  <c r="N70" i="1"/>
  <c r="N30" i="8" s="1"/>
  <c r="T70" i="1"/>
  <c r="T30" i="8" s="1"/>
  <c r="O70" i="1"/>
  <c r="O30" i="8" s="1"/>
  <c r="Q70" i="1"/>
  <c r="Q30" i="8" s="1"/>
  <c r="S70" i="1"/>
  <c r="S30" i="8" s="1"/>
  <c r="F10" i="9"/>
  <c r="I25" i="9" s="1"/>
  <c r="F9" i="9"/>
  <c r="G24" i="9" s="1"/>
  <c r="G30" i="8"/>
  <c r="D31" i="1"/>
  <c r="D13" i="9"/>
  <c r="N20" i="8"/>
  <c r="N4" i="8"/>
  <c r="N16" i="8"/>
  <c r="N17" i="8"/>
  <c r="F4" i="8"/>
  <c r="D5" i="8"/>
  <c r="L5" i="8"/>
  <c r="J6" i="8"/>
  <c r="H7" i="8"/>
  <c r="F8" i="8"/>
  <c r="D9" i="8"/>
  <c r="L9" i="8"/>
  <c r="H11" i="8"/>
  <c r="F12" i="8"/>
  <c r="D13" i="8"/>
  <c r="L13" i="8"/>
  <c r="J14" i="8"/>
  <c r="H15" i="8"/>
  <c r="F16" i="8"/>
  <c r="J19" i="8"/>
  <c r="G20" i="8"/>
  <c r="D21" i="8"/>
  <c r="L21" i="8"/>
  <c r="I22" i="8"/>
  <c r="F23" i="8"/>
  <c r="H25" i="8"/>
  <c r="E26" i="8"/>
  <c r="M26" i="8"/>
  <c r="J27" i="8"/>
  <c r="D29" i="8"/>
  <c r="L29" i="8"/>
  <c r="G4" i="8"/>
  <c r="E5" i="8"/>
  <c r="C6" i="8"/>
  <c r="K6" i="8"/>
  <c r="I7" i="8"/>
  <c r="G8" i="8"/>
  <c r="E9" i="8"/>
  <c r="H4" i="8"/>
  <c r="F5" i="8"/>
  <c r="D6" i="8"/>
  <c r="L6" i="8"/>
  <c r="J7" i="8"/>
  <c r="H8" i="8"/>
  <c r="F9" i="8"/>
  <c r="K4" i="8"/>
  <c r="E6" i="8"/>
  <c r="F7" i="8"/>
  <c r="J8" i="8"/>
  <c r="K9" i="8"/>
  <c r="E11" i="8"/>
  <c r="D12" i="8"/>
  <c r="C13" i="8"/>
  <c r="C14" i="8"/>
  <c r="L14" i="8"/>
  <c r="K15" i="8"/>
  <c r="J16" i="8"/>
  <c r="H19" i="8"/>
  <c r="F20" i="8"/>
  <c r="E21" i="8"/>
  <c r="C22" i="8"/>
  <c r="L22" i="8"/>
  <c r="J23" i="8"/>
  <c r="F25" i="8"/>
  <c r="D26" i="8"/>
  <c r="C27" i="8"/>
  <c r="L27" i="8"/>
  <c r="H29" i="8"/>
  <c r="G5" i="8"/>
  <c r="D16" i="8"/>
  <c r="H21" i="8"/>
  <c r="L24" i="8"/>
  <c r="M28" i="8"/>
  <c r="I6" i="8"/>
  <c r="H13" i="8"/>
  <c r="D19" i="8"/>
  <c r="I21" i="8"/>
  <c r="M24" i="8"/>
  <c r="E28" i="8"/>
  <c r="L4" i="8"/>
  <c r="F6" i="8"/>
  <c r="G7" i="8"/>
  <c r="K8" i="8"/>
  <c r="F11" i="8"/>
  <c r="E12" i="8"/>
  <c r="E13" i="8"/>
  <c r="D14" i="8"/>
  <c r="C15" i="8"/>
  <c r="L15" i="8"/>
  <c r="K16" i="8"/>
  <c r="I19" i="8"/>
  <c r="H20" i="8"/>
  <c r="F21" i="8"/>
  <c r="D22" i="8"/>
  <c r="M22" i="8"/>
  <c r="K23" i="8"/>
  <c r="G25" i="8"/>
  <c r="F26" i="8"/>
  <c r="D27" i="8"/>
  <c r="M27" i="8"/>
  <c r="I29" i="8"/>
  <c r="L7" i="8"/>
  <c r="F14" i="8"/>
  <c r="J20" i="8"/>
  <c r="M23" i="8"/>
  <c r="F27" i="8"/>
  <c r="J30" i="8"/>
  <c r="H5" i="8"/>
  <c r="G9" i="8"/>
  <c r="J11" i="8"/>
  <c r="G14" i="8"/>
  <c r="E17" i="8"/>
  <c r="G27" i="8"/>
  <c r="C5" i="8"/>
  <c r="G6" i="8"/>
  <c r="K7" i="8"/>
  <c r="L8" i="8"/>
  <c r="G11" i="8"/>
  <c r="G12" i="8"/>
  <c r="F13" i="8"/>
  <c r="E14" i="8"/>
  <c r="D15" i="8"/>
  <c r="C16" i="8"/>
  <c r="L16" i="8"/>
  <c r="K19" i="8"/>
  <c r="I20" i="8"/>
  <c r="G21" i="8"/>
  <c r="E22" i="8"/>
  <c r="C23" i="8"/>
  <c r="L23" i="8"/>
  <c r="I25" i="8"/>
  <c r="G26" i="8"/>
  <c r="E27" i="8"/>
  <c r="J29" i="8"/>
  <c r="H6" i="8"/>
  <c r="I11" i="8"/>
  <c r="C19" i="8"/>
  <c r="D23" i="8"/>
  <c r="H26" i="8"/>
  <c r="C8" i="8"/>
  <c r="I12" i="8"/>
  <c r="E16" i="8"/>
  <c r="K20" i="8"/>
  <c r="E23" i="8"/>
  <c r="I26" i="8"/>
  <c r="M29" i="8"/>
  <c r="J4" i="8"/>
  <c r="K5" i="8"/>
  <c r="E7" i="8"/>
  <c r="I8" i="8"/>
  <c r="J9" i="8"/>
  <c r="D11" i="8"/>
  <c r="C12" i="8"/>
  <c r="L12" i="8"/>
  <c r="K13" i="8"/>
  <c r="K14" i="8"/>
  <c r="J15" i="8"/>
  <c r="I16" i="8"/>
  <c r="G19" i="8"/>
  <c r="E20" i="8"/>
  <c r="C21" i="8"/>
  <c r="M21" i="8"/>
  <c r="K22" i="8"/>
  <c r="I23" i="8"/>
  <c r="E25" i="8"/>
  <c r="C26" i="8"/>
  <c r="L26" i="8"/>
  <c r="K27" i="8"/>
  <c r="G29" i="8"/>
  <c r="C4" i="8"/>
  <c r="C9" i="8"/>
  <c r="H12" i="8"/>
  <c r="G13" i="8"/>
  <c r="E15" i="8"/>
  <c r="L19" i="8"/>
  <c r="F22" i="8"/>
  <c r="J25" i="8"/>
  <c r="K29" i="8"/>
  <c r="D4" i="8"/>
  <c r="H10" i="8"/>
  <c r="F15" i="8"/>
  <c r="M19" i="8"/>
  <c r="G22" i="8"/>
  <c r="K25" i="8"/>
  <c r="C29" i="8"/>
  <c r="I4" i="8"/>
  <c r="I9" i="8"/>
  <c r="J13" i="8"/>
  <c r="K21" i="8"/>
  <c r="D25" i="8"/>
  <c r="K11" i="8"/>
  <c r="G23" i="8"/>
  <c r="L11" i="8"/>
  <c r="J12" i="8"/>
  <c r="H27" i="8"/>
  <c r="H16" i="8"/>
  <c r="M30" i="8"/>
  <c r="I5" i="8"/>
  <c r="I10" i="8"/>
  <c r="H14" i="8"/>
  <c r="E19" i="8"/>
  <c r="H22" i="8"/>
  <c r="L25" i="8"/>
  <c r="E29" i="8"/>
  <c r="C7" i="8"/>
  <c r="C20" i="8"/>
  <c r="J26" i="8"/>
  <c r="I15" i="8"/>
  <c r="K26" i="8"/>
  <c r="G16" i="8"/>
  <c r="L30" i="8"/>
  <c r="K12" i="8"/>
  <c r="I27" i="8"/>
  <c r="J5" i="8"/>
  <c r="C11" i="8"/>
  <c r="I14" i="8"/>
  <c r="F19" i="8"/>
  <c r="J22" i="8"/>
  <c r="M25" i="8"/>
  <c r="F29" i="8"/>
  <c r="G15" i="8"/>
  <c r="D7" i="8"/>
  <c r="H23" i="8"/>
  <c r="L20" i="8"/>
  <c r="F24" i="8"/>
  <c r="E4" i="8"/>
  <c r="H9" i="8"/>
  <c r="I13" i="8"/>
  <c r="J21" i="8"/>
  <c r="C25" i="8"/>
  <c r="D20" i="8"/>
  <c r="D8" i="8"/>
  <c r="E24" i="8"/>
  <c r="E8" i="8"/>
  <c r="M20" i="8"/>
  <c r="H24" i="8"/>
  <c r="J10" i="8"/>
  <c r="I24" i="8"/>
  <c r="K24" i="8"/>
  <c r="C10" i="8"/>
  <c r="J28" i="8"/>
  <c r="E10" i="8"/>
  <c r="D28" i="8"/>
  <c r="L28" i="8"/>
  <c r="K10" i="8"/>
  <c r="I17" i="8"/>
  <c r="F28" i="8"/>
  <c r="J24" i="8"/>
  <c r="F10" i="8"/>
  <c r="G24" i="8"/>
  <c r="D24" i="8"/>
  <c r="L10" i="8"/>
  <c r="G10" i="8"/>
  <c r="F30" i="8"/>
  <c r="C24" i="8"/>
  <c r="H17" i="8"/>
  <c r="E30" i="8"/>
  <c r="D10" i="8"/>
  <c r="I31" i="1"/>
  <c r="I13" i="9"/>
  <c r="E31" i="1"/>
  <c r="E13" i="9"/>
  <c r="F11" i="9"/>
  <c r="K30" i="8"/>
  <c r="G28" i="8"/>
  <c r="C31" i="1"/>
  <c r="C13" i="9"/>
  <c r="H28" i="8"/>
  <c r="L17" i="8"/>
  <c r="F9" i="1"/>
  <c r="F4" i="9"/>
  <c r="F8" i="9"/>
  <c r="D30" i="8"/>
  <c r="K17" i="8"/>
  <c r="H30" i="8"/>
  <c r="G17" i="8"/>
  <c r="H31" i="1"/>
  <c r="H13" i="9"/>
  <c r="F7" i="9"/>
  <c r="I28" i="8"/>
  <c r="C17" i="8"/>
  <c r="C28" i="8"/>
  <c r="G31" i="1"/>
  <c r="G13" i="9"/>
  <c r="F16" i="9"/>
  <c r="F6" i="9"/>
  <c r="I30" i="8"/>
  <c r="C30" i="8"/>
  <c r="U22" i="8"/>
  <c r="F14" i="9"/>
  <c r="F5" i="9"/>
  <c r="M17" i="8"/>
  <c r="F17" i="8"/>
  <c r="F12" i="9"/>
  <c r="K28" i="8"/>
  <c r="J17" i="8"/>
  <c r="U23" i="1"/>
  <c r="L7" i="1"/>
  <c r="K8" i="1"/>
  <c r="E7" i="1"/>
  <c r="D8" i="1"/>
  <c r="O7" i="1"/>
  <c r="O8" i="1" s="1"/>
  <c r="N8" i="1"/>
  <c r="H7" i="1"/>
  <c r="G8" i="1"/>
  <c r="D9" i="1"/>
  <c r="K9" i="1"/>
  <c r="C25" i="1"/>
  <c r="D25" i="1"/>
  <c r="E25" i="1"/>
  <c r="G25" i="1"/>
  <c r="H25" i="1"/>
  <c r="H15" i="9" s="1"/>
  <c r="I25" i="1"/>
  <c r="P133" i="1"/>
  <c r="S139" i="1"/>
  <c r="T130" i="1"/>
  <c r="U130" i="1" s="1"/>
  <c r="O135" i="1"/>
  <c r="P128" i="1"/>
  <c r="P121" i="1"/>
  <c r="P139" i="1" s="1"/>
  <c r="U103" i="1"/>
  <c r="V103" i="1" s="1"/>
  <c r="T114" i="1"/>
  <c r="T123" i="1"/>
  <c r="Q8" i="8"/>
  <c r="N29" i="8"/>
  <c r="T4" i="8"/>
  <c r="Q5" i="8"/>
  <c r="S9" i="8"/>
  <c r="Q13" i="8"/>
  <c r="Q25" i="8"/>
  <c r="N8" i="8"/>
  <c r="N19" i="8"/>
  <c r="O11" i="8"/>
  <c r="S17" i="8"/>
  <c r="O20" i="8"/>
  <c r="P23" i="8"/>
  <c r="S26" i="8"/>
  <c r="N9" i="8"/>
  <c r="N21" i="8"/>
  <c r="R4" i="8"/>
  <c r="R8" i="8"/>
  <c r="R13" i="8"/>
  <c r="Q20" i="8"/>
  <c r="R25" i="8"/>
  <c r="N11" i="8"/>
  <c r="N22" i="8"/>
  <c r="R9" i="8"/>
  <c r="Q14" i="8"/>
  <c r="R20" i="8"/>
  <c r="R26" i="8"/>
  <c r="N12" i="8"/>
  <c r="N23" i="8"/>
  <c r="R14" i="8"/>
  <c r="R21" i="8"/>
  <c r="N13" i="8"/>
  <c r="N24" i="8"/>
  <c r="R5" i="8"/>
  <c r="Q11" i="8"/>
  <c r="U15" i="8"/>
  <c r="R22" i="8"/>
  <c r="Q28" i="8"/>
  <c r="N5" i="8"/>
  <c r="N14" i="8"/>
  <c r="N25" i="8"/>
  <c r="O28" i="8"/>
  <c r="Q6" i="8"/>
  <c r="R11" i="8"/>
  <c r="Q16" i="8"/>
  <c r="Q23" i="8"/>
  <c r="R28" i="8"/>
  <c r="N6" i="8"/>
  <c r="N15" i="8"/>
  <c r="N26" i="8"/>
  <c r="P13" i="8"/>
  <c r="R6" i="8"/>
  <c r="R12" i="8"/>
  <c r="R16" i="8"/>
  <c r="R23" i="8"/>
  <c r="R29" i="8"/>
  <c r="N7" i="8"/>
  <c r="N27" i="8"/>
  <c r="P5" i="8"/>
  <c r="U7" i="8"/>
  <c r="T12" i="8"/>
  <c r="R17" i="8"/>
  <c r="U24" i="8"/>
  <c r="U28" i="8"/>
  <c r="U70" i="1"/>
  <c r="U30" i="8" s="1"/>
  <c r="O10" i="8"/>
  <c r="O19" i="8"/>
  <c r="O27" i="8"/>
  <c r="P14" i="8"/>
  <c r="P6" i="8"/>
  <c r="P24" i="8"/>
  <c r="S4" i="8"/>
  <c r="T7" i="8"/>
  <c r="U10" i="8"/>
  <c r="S12" i="8"/>
  <c r="T15" i="8"/>
  <c r="S21" i="8"/>
  <c r="T24" i="8"/>
  <c r="U27" i="8"/>
  <c r="S29" i="8"/>
  <c r="T29" i="8"/>
  <c r="O21" i="8"/>
  <c r="P22" i="8"/>
  <c r="U12" i="8"/>
  <c r="U21" i="8"/>
  <c r="T26" i="8"/>
  <c r="O5" i="8"/>
  <c r="O14" i="8"/>
  <c r="P4" i="8"/>
  <c r="P28" i="8"/>
  <c r="P20" i="8"/>
  <c r="U6" i="8"/>
  <c r="Q10" i="8"/>
  <c r="S16" i="8"/>
  <c r="T20" i="8"/>
  <c r="U23" i="8"/>
  <c r="Q27" i="8"/>
  <c r="T28" i="8"/>
  <c r="O15" i="8"/>
  <c r="O24" i="8"/>
  <c r="P17" i="8"/>
  <c r="P9" i="8"/>
  <c r="P27" i="8"/>
  <c r="P19" i="8"/>
  <c r="S5" i="8"/>
  <c r="Q7" i="8"/>
  <c r="T8" i="8"/>
  <c r="R10" i="8"/>
  <c r="U11" i="8"/>
  <c r="S13" i="8"/>
  <c r="Q15" i="8"/>
  <c r="T16" i="8"/>
  <c r="R19" i="8"/>
  <c r="U20" i="8"/>
  <c r="S22" i="8"/>
  <c r="Q24" i="8"/>
  <c r="T25" i="8"/>
  <c r="R27" i="8"/>
  <c r="T21" i="8"/>
  <c r="O12" i="8"/>
  <c r="T9" i="8"/>
  <c r="S14" i="8"/>
  <c r="O22" i="8"/>
  <c r="P29" i="8"/>
  <c r="T6" i="8"/>
  <c r="U9" i="8"/>
  <c r="U17" i="8"/>
  <c r="O6" i="8"/>
  <c r="O23" i="8"/>
  <c r="P10" i="8"/>
  <c r="S8" i="8"/>
  <c r="T11" i="8"/>
  <c r="U14" i="8"/>
  <c r="Q19" i="8"/>
  <c r="S25" i="8"/>
  <c r="O7" i="8"/>
  <c r="N10" i="8"/>
  <c r="N28" i="8"/>
  <c r="O8" i="8"/>
  <c r="O16" i="8"/>
  <c r="O25" i="8"/>
  <c r="P16" i="8"/>
  <c r="P8" i="8"/>
  <c r="P26" i="8"/>
  <c r="Q4" i="8"/>
  <c r="T5" i="8"/>
  <c r="R7" i="8"/>
  <c r="U8" i="8"/>
  <c r="S10" i="8"/>
  <c r="Q12" i="8"/>
  <c r="T13" i="8"/>
  <c r="U16" i="8"/>
  <c r="S19" i="8"/>
  <c r="Q21" i="8"/>
  <c r="T22" i="8"/>
  <c r="R24" i="8"/>
  <c r="U25" i="8"/>
  <c r="S27" i="8"/>
  <c r="Q29" i="8"/>
  <c r="O4" i="8"/>
  <c r="O29" i="8"/>
  <c r="P12" i="8"/>
  <c r="S6" i="8"/>
  <c r="T17" i="8"/>
  <c r="S23" i="8"/>
  <c r="U29" i="8"/>
  <c r="O13" i="8"/>
  <c r="P11" i="8"/>
  <c r="P21" i="8"/>
  <c r="S11" i="8"/>
  <c r="T14" i="8"/>
  <c r="S20" i="8"/>
  <c r="Q22" i="8"/>
  <c r="T23" i="8"/>
  <c r="U26" i="8"/>
  <c r="S28" i="8"/>
  <c r="O9" i="8"/>
  <c r="O17" i="8"/>
  <c r="P15" i="8"/>
  <c r="P7" i="8"/>
  <c r="U5" i="8"/>
  <c r="S7" i="8"/>
  <c r="Q9" i="8"/>
  <c r="T10" i="8"/>
  <c r="U13" i="8"/>
  <c r="Q17" i="8"/>
  <c r="T19" i="8"/>
  <c r="S24" i="8"/>
  <c r="AR7" i="1"/>
  <c r="AR8" i="1" s="1"/>
  <c r="BH42" i="1"/>
  <c r="X34" i="1" s="1"/>
  <c r="H8" i="2"/>
  <c r="T14" i="1"/>
  <c r="M97" i="2"/>
  <c r="N55" i="2" s="1"/>
  <c r="R13" i="1"/>
  <c r="R12" i="1"/>
  <c r="R22" i="1"/>
  <c r="R20" i="1"/>
  <c r="AK32" i="1"/>
  <c r="BH40" i="1"/>
  <c r="BH38" i="1"/>
  <c r="AL32" i="1"/>
  <c r="AM32" i="1"/>
  <c r="AN32" i="1"/>
  <c r="AP32" i="1"/>
  <c r="AU3" i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AJ23" i="1"/>
  <c r="AJ25" i="1" s="1"/>
  <c r="AJ27" i="1" s="1"/>
  <c r="AJ29" i="1" s="1"/>
  <c r="AK23" i="1"/>
  <c r="AK31" i="1" s="1"/>
  <c r="AL23" i="1"/>
  <c r="AL31" i="1" s="1"/>
  <c r="AM23" i="1"/>
  <c r="AM31" i="1" s="1"/>
  <c r="AN23" i="1"/>
  <c r="AN31" i="1" s="1"/>
  <c r="AO23" i="1"/>
  <c r="AO31" i="1" s="1"/>
  <c r="AP23" i="1"/>
  <c r="F23" i="1" s="1"/>
  <c r="P32" i="1"/>
  <c r="R28" i="1"/>
  <c r="N15" i="1"/>
  <c r="N16" i="1"/>
  <c r="N17" i="1"/>
  <c r="N18" i="1"/>
  <c r="N19" i="1"/>
  <c r="N20" i="1"/>
  <c r="N21" i="1"/>
  <c r="N22" i="1"/>
  <c r="N24" i="1"/>
  <c r="N26" i="1"/>
  <c r="N28" i="1"/>
  <c r="R15" i="1"/>
  <c r="R16" i="1"/>
  <c r="R17" i="1"/>
  <c r="R18" i="1"/>
  <c r="R19" i="1"/>
  <c r="R21" i="1"/>
  <c r="R24" i="1"/>
  <c r="R26" i="1"/>
  <c r="K23" i="1"/>
  <c r="K31" i="1" s="1"/>
  <c r="L23" i="1"/>
  <c r="L31" i="1" s="1"/>
  <c r="P23" i="1"/>
  <c r="P31" i="1" s="1"/>
  <c r="M14" i="1"/>
  <c r="M32" i="1" s="1"/>
  <c r="Q14" i="1"/>
  <c r="AP3" i="1"/>
  <c r="AO3" i="1" s="1"/>
  <c r="AN3" i="1" s="1"/>
  <c r="AQ14" i="1"/>
  <c r="J14" i="1" s="1"/>
  <c r="J4" i="9" s="1"/>
  <c r="AR14" i="1"/>
  <c r="AS14" i="1"/>
  <c r="AS23" i="1" s="1"/>
  <c r="O14" i="1"/>
  <c r="S14" i="1"/>
  <c r="W32" i="1" s="1"/>
  <c r="X36" i="1"/>
  <c r="U25" i="1" l="1"/>
  <c r="U13" i="9"/>
  <c r="F24" i="9"/>
  <c r="I24" i="9"/>
  <c r="V130" i="1"/>
  <c r="Q128" i="1"/>
  <c r="R128" i="1" s="1"/>
  <c r="U133" i="1"/>
  <c r="T128" i="1"/>
  <c r="T121" i="1"/>
  <c r="Q133" i="1"/>
  <c r="R133" i="1" s="1"/>
  <c r="Q121" i="1"/>
  <c r="Q139" i="1" s="1"/>
  <c r="G25" i="9"/>
  <c r="F25" i="9"/>
  <c r="H25" i="9"/>
  <c r="J51" i="8"/>
  <c r="M41" i="8"/>
  <c r="M38" i="8"/>
  <c r="H24" i="9"/>
  <c r="L42" i="8"/>
  <c r="K36" i="8"/>
  <c r="J53" i="8"/>
  <c r="G40" i="8"/>
  <c r="H52" i="8"/>
  <c r="G43" i="8"/>
  <c r="I45" i="8"/>
  <c r="F47" i="8"/>
  <c r="J36" i="8"/>
  <c r="L54" i="8"/>
  <c r="N57" i="8"/>
  <c r="O48" i="8"/>
  <c r="J44" i="8"/>
  <c r="T59" i="8"/>
  <c r="Q62" i="8"/>
  <c r="M56" i="8"/>
  <c r="J55" i="8"/>
  <c r="I54" i="8"/>
  <c r="K53" i="8"/>
  <c r="I37" i="8"/>
  <c r="O56" i="8"/>
  <c r="J62" i="8"/>
  <c r="V51" i="8"/>
  <c r="U57" i="8"/>
  <c r="O44" i="8"/>
  <c r="V59" i="8"/>
  <c r="S56" i="8"/>
  <c r="P48" i="8"/>
  <c r="S43" i="8"/>
  <c r="U51" i="8"/>
  <c r="R42" i="8"/>
  <c r="V47" i="8"/>
  <c r="S55" i="8"/>
  <c r="N60" i="8"/>
  <c r="T54" i="8"/>
  <c r="U40" i="8"/>
  <c r="J5" i="9"/>
  <c r="L20" i="9" s="1"/>
  <c r="S49" i="8"/>
  <c r="F60" i="8"/>
  <c r="K62" i="8"/>
  <c r="G56" i="8"/>
  <c r="M49" i="8"/>
  <c r="F42" i="8"/>
  <c r="L47" i="8"/>
  <c r="R36" i="8"/>
  <c r="R38" i="8"/>
  <c r="S46" i="8"/>
  <c r="P37" i="8"/>
  <c r="N49" i="8"/>
  <c r="K49" i="8"/>
  <c r="O52" i="8"/>
  <c r="I39" i="8"/>
  <c r="R39" i="8"/>
  <c r="V37" i="8"/>
  <c r="I60" i="8"/>
  <c r="G52" i="8"/>
  <c r="F43" i="8"/>
  <c r="J54" i="8"/>
  <c r="O51" i="8"/>
  <c r="P54" i="8"/>
  <c r="O61" i="8"/>
  <c r="O53" i="8"/>
  <c r="T41" i="8"/>
  <c r="R45" i="8"/>
  <c r="V57" i="8"/>
  <c r="R44" i="8"/>
  <c r="R46" i="8"/>
  <c r="Q47" i="8"/>
  <c r="T38" i="8"/>
  <c r="P44" i="8"/>
  <c r="T52" i="8"/>
  <c r="R52" i="8"/>
  <c r="I62" i="8"/>
  <c r="L49" i="8"/>
  <c r="M37" i="8"/>
  <c r="H47" i="8"/>
  <c r="F58" i="8"/>
  <c r="L48" i="8"/>
  <c r="L40" i="8"/>
  <c r="H48" i="8"/>
  <c r="P56" i="8"/>
  <c r="H41" i="8"/>
  <c r="G61" i="8"/>
  <c r="S53" i="8"/>
  <c r="L46" i="8"/>
  <c r="I57" i="8"/>
  <c r="V60" i="8"/>
  <c r="S58" i="8"/>
  <c r="S36" i="8"/>
  <c r="U43" i="8"/>
  <c r="Q55" i="8"/>
  <c r="T40" i="8"/>
  <c r="F56" i="8"/>
  <c r="N56" i="8"/>
  <c r="K55" i="8"/>
  <c r="M58" i="8"/>
  <c r="N43" i="8"/>
  <c r="K38" i="8"/>
  <c r="T44" i="8"/>
  <c r="S48" i="8"/>
  <c r="T47" i="8"/>
  <c r="R37" i="8"/>
  <c r="R60" i="8"/>
  <c r="R62" i="8"/>
  <c r="T62" i="8"/>
  <c r="J11" i="9"/>
  <c r="J26" i="9" s="1"/>
  <c r="J10" i="9"/>
  <c r="J25" i="9" s="1"/>
  <c r="J14" i="9"/>
  <c r="J29" i="9" s="1"/>
  <c r="J7" i="9"/>
  <c r="L22" i="9" s="1"/>
  <c r="N42" i="8"/>
  <c r="J45" i="8"/>
  <c r="L44" i="8"/>
  <c r="H59" i="8"/>
  <c r="S40" i="8"/>
  <c r="I20" i="9"/>
  <c r="F20" i="9"/>
  <c r="G20" i="9"/>
  <c r="H20" i="9"/>
  <c r="P51" i="8"/>
  <c r="G48" i="8"/>
  <c r="V55" i="8"/>
  <c r="U59" i="8"/>
  <c r="U52" i="8"/>
  <c r="R41" i="8"/>
  <c r="R61" i="8"/>
  <c r="T36" i="8"/>
  <c r="Q42" i="8"/>
  <c r="P42" i="8"/>
  <c r="R55" i="8"/>
  <c r="T39" i="8"/>
  <c r="S60" i="8"/>
  <c r="R53" i="8"/>
  <c r="V44" i="8"/>
  <c r="R51" i="8"/>
  <c r="S37" i="8"/>
  <c r="S45" i="8"/>
  <c r="T48" i="8"/>
  <c r="U54" i="8"/>
  <c r="U46" i="8"/>
  <c r="Q43" i="8"/>
  <c r="V58" i="8"/>
  <c r="Q40" i="8"/>
  <c r="Q61" i="8"/>
  <c r="L62" i="8"/>
  <c r="I23" i="9"/>
  <c r="F23" i="9"/>
  <c r="G23" i="9"/>
  <c r="H23" i="9"/>
  <c r="J60" i="8"/>
  <c r="J12" i="9"/>
  <c r="H62" i="8"/>
  <c r="I42" i="8"/>
  <c r="M60" i="8"/>
  <c r="H56" i="8"/>
  <c r="I56" i="8"/>
  <c r="I51" i="8"/>
  <c r="N58" i="8"/>
  <c r="H51" i="8"/>
  <c r="O43" i="8"/>
  <c r="F61" i="8"/>
  <c r="M57" i="8"/>
  <c r="J61" i="8"/>
  <c r="F53" i="8"/>
  <c r="F44" i="8"/>
  <c r="L58" i="8"/>
  <c r="F51" i="8"/>
  <c r="F55" i="8"/>
  <c r="H46" i="8"/>
  <c r="J59" i="8"/>
  <c r="P55" i="8"/>
  <c r="J57" i="8"/>
  <c r="O47" i="8"/>
  <c r="I38" i="8"/>
  <c r="P60" i="8"/>
  <c r="G58" i="8"/>
  <c r="M48" i="8"/>
  <c r="M40" i="8"/>
  <c r="G38" i="8"/>
  <c r="H37" i="8"/>
  <c r="I55" i="8"/>
  <c r="M46" i="8"/>
  <c r="K39" i="8"/>
  <c r="Q52" i="8"/>
  <c r="K46" i="8"/>
  <c r="N59" i="8"/>
  <c r="H55" i="8"/>
  <c r="L43" i="8"/>
  <c r="H54" i="8"/>
  <c r="H49" i="8"/>
  <c r="M52" i="8"/>
  <c r="N55" i="8"/>
  <c r="O36" i="8"/>
  <c r="N47" i="8"/>
  <c r="O45" i="8"/>
  <c r="U47" i="8"/>
  <c r="T57" i="8"/>
  <c r="O58" i="8"/>
  <c r="J46" i="8"/>
  <c r="I46" i="8"/>
  <c r="G46" i="8"/>
  <c r="H60" i="8"/>
  <c r="M55" i="8"/>
  <c r="O46" i="8"/>
  <c r="H38" i="8"/>
  <c r="G45" i="8"/>
  <c r="O37" i="8"/>
  <c r="T43" i="8"/>
  <c r="R58" i="8"/>
  <c r="L56" i="8"/>
  <c r="J43" i="8"/>
  <c r="M43" i="8"/>
  <c r="O39" i="8"/>
  <c r="O54" i="8"/>
  <c r="F46" i="8"/>
  <c r="N36" i="8"/>
  <c r="G53" i="8"/>
  <c r="I44" i="8"/>
  <c r="G37" i="8"/>
  <c r="Q58" i="8"/>
  <c r="I27" i="9"/>
  <c r="F27" i="9"/>
  <c r="H27" i="9"/>
  <c r="G27" i="9"/>
  <c r="S62" i="8"/>
  <c r="M42" i="8"/>
  <c r="M53" i="8"/>
  <c r="J47" i="8"/>
  <c r="L59" i="8"/>
  <c r="I47" i="8"/>
  <c r="H57" i="8"/>
  <c r="M47" i="8"/>
  <c r="H39" i="8"/>
  <c r="N51" i="8"/>
  <c r="O40" i="8"/>
  <c r="J41" i="8"/>
  <c r="L61" i="8"/>
  <c r="I53" i="8"/>
  <c r="H44" i="8"/>
  <c r="L53" i="8"/>
  <c r="J37" i="8"/>
  <c r="F54" i="8"/>
  <c r="F45" i="8"/>
  <c r="I41" i="8"/>
  <c r="J40" i="8"/>
  <c r="M59" i="8"/>
  <c r="J52" i="8"/>
  <c r="K43" i="8"/>
  <c r="I36" i="8"/>
  <c r="Q59" i="8"/>
  <c r="I27" i="1"/>
  <c r="I15" i="9"/>
  <c r="T61" i="8"/>
  <c r="S51" i="8"/>
  <c r="Q39" i="8"/>
  <c r="T51" i="8"/>
  <c r="S59" i="8"/>
  <c r="Q38" i="8"/>
  <c r="U58" i="8"/>
  <c r="J49" i="8"/>
  <c r="F52" i="8"/>
  <c r="M61" i="8"/>
  <c r="H45" i="8"/>
  <c r="V48" i="8"/>
  <c r="J42" i="8"/>
  <c r="F39" i="8"/>
  <c r="V52" i="8"/>
  <c r="U56" i="8"/>
  <c r="R48" i="8"/>
  <c r="S61" i="8"/>
  <c r="T42" i="8"/>
  <c r="V53" i="8"/>
  <c r="S38" i="8"/>
  <c r="U49" i="8"/>
  <c r="U48" i="8"/>
  <c r="Q46" i="8"/>
  <c r="Q45" i="8"/>
  <c r="T46" i="8"/>
  <c r="U36" i="8"/>
  <c r="V49" i="8"/>
  <c r="V41" i="8"/>
  <c r="E27" i="1"/>
  <c r="E15" i="9"/>
  <c r="P41" i="8"/>
  <c r="I49" i="8"/>
  <c r="F62" i="8"/>
  <c r="J9" i="9"/>
  <c r="P46" i="8"/>
  <c r="O49" i="8"/>
  <c r="I26" i="9"/>
  <c r="G26" i="9"/>
  <c r="F26" i="9"/>
  <c r="H26" i="9"/>
  <c r="O42" i="8"/>
  <c r="O60" i="8"/>
  <c r="K56" i="8"/>
  <c r="L45" i="8"/>
  <c r="I61" i="8"/>
  <c r="N44" i="8"/>
  <c r="H61" i="8"/>
  <c r="K48" i="8"/>
  <c r="M45" i="8"/>
  <c r="K42" i="8"/>
  <c r="K44" i="8"/>
  <c r="L55" i="8"/>
  <c r="N46" i="8"/>
  <c r="N37" i="8"/>
  <c r="F40" i="8"/>
  <c r="J58" i="8"/>
  <c r="N39" i="8"/>
  <c r="K37" i="8"/>
  <c r="P59" i="8"/>
  <c r="K52" i="8"/>
  <c r="I43" i="8"/>
  <c r="G51" i="8"/>
  <c r="K61" i="8"/>
  <c r="H53" i="8"/>
  <c r="G44" i="8"/>
  <c r="K40" i="8"/>
  <c r="L39" i="8"/>
  <c r="P58" i="8"/>
  <c r="M51" i="8"/>
  <c r="O41" i="8"/>
  <c r="Q49" i="8"/>
  <c r="P39" i="8"/>
  <c r="V61" i="8"/>
  <c r="U61" i="8"/>
  <c r="U45" i="8"/>
  <c r="I29" i="9"/>
  <c r="H29" i="9"/>
  <c r="G29" i="9"/>
  <c r="F29" i="9"/>
  <c r="P47" i="8"/>
  <c r="F57" i="8"/>
  <c r="G57" i="8"/>
  <c r="L52" i="8"/>
  <c r="G54" i="8"/>
  <c r="R57" i="8"/>
  <c r="V45" i="8"/>
  <c r="Q57" i="8"/>
  <c r="V62" i="8"/>
  <c r="P40" i="8"/>
  <c r="N62" i="8"/>
  <c r="N53" i="8"/>
  <c r="V38" i="8"/>
  <c r="R40" i="8"/>
  <c r="U42" i="8"/>
  <c r="U44" i="8"/>
  <c r="Q37" i="8"/>
  <c r="U41" i="8"/>
  <c r="R43" i="8"/>
  <c r="T37" i="8"/>
  <c r="D27" i="1"/>
  <c r="D15" i="9"/>
  <c r="T58" i="8"/>
  <c r="P36" i="8"/>
  <c r="L60" i="8"/>
  <c r="K60" i="8"/>
  <c r="J16" i="9"/>
  <c r="G60" i="8"/>
  <c r="P52" i="8"/>
  <c r="K41" i="8"/>
  <c r="P57" i="8"/>
  <c r="O62" i="8"/>
  <c r="O57" i="8"/>
  <c r="K59" i="8"/>
  <c r="L41" i="8"/>
  <c r="G36" i="8"/>
  <c r="F41" i="8"/>
  <c r="N54" i="8"/>
  <c r="N45" i="8"/>
  <c r="M36" i="8"/>
  <c r="K58" i="8"/>
  <c r="L57" i="8"/>
  <c r="F48" i="8"/>
  <c r="J38" i="8"/>
  <c r="M62" i="8"/>
  <c r="G59" i="8"/>
  <c r="L51" i="8"/>
  <c r="N40" i="8"/>
  <c r="K45" i="8"/>
  <c r="O59" i="8"/>
  <c r="I52" i="8"/>
  <c r="H43" i="8"/>
  <c r="M39" i="8"/>
  <c r="N38" i="8"/>
  <c r="H58" i="8"/>
  <c r="I48" i="8"/>
  <c r="G41" i="8"/>
  <c r="Q48" i="8"/>
  <c r="I21" i="9"/>
  <c r="G21" i="9"/>
  <c r="F21" i="9"/>
  <c r="H21" i="9"/>
  <c r="Q44" i="8"/>
  <c r="N52" i="8"/>
  <c r="V39" i="8"/>
  <c r="V36" i="8"/>
  <c r="U37" i="8"/>
  <c r="G27" i="1"/>
  <c r="G15" i="9"/>
  <c r="S57" i="8"/>
  <c r="F49" i="8"/>
  <c r="G39" i="8"/>
  <c r="L37" i="8"/>
  <c r="F31" i="1"/>
  <c r="F13" i="9"/>
  <c r="I28" i="9" s="1"/>
  <c r="V42" i="8"/>
  <c r="S41" i="8"/>
  <c r="U55" i="8"/>
  <c r="Q56" i="8"/>
  <c r="T45" i="8"/>
  <c r="U31" i="1"/>
  <c r="G49" i="8"/>
  <c r="P62" i="8"/>
  <c r="V56" i="8"/>
  <c r="S39" i="8"/>
  <c r="S47" i="8"/>
  <c r="U39" i="8"/>
  <c r="V40" i="8"/>
  <c r="R54" i="8"/>
  <c r="T56" i="8"/>
  <c r="R56" i="8"/>
  <c r="U60" i="8"/>
  <c r="U62" i="8"/>
  <c r="Q53" i="8"/>
  <c r="T49" i="8"/>
  <c r="R49" i="8"/>
  <c r="V43" i="8"/>
  <c r="S44" i="8"/>
  <c r="T53" i="8"/>
  <c r="Q60" i="8"/>
  <c r="S42" i="8"/>
  <c r="V46" i="8"/>
  <c r="V54" i="8"/>
  <c r="R47" i="8"/>
  <c r="S52" i="8"/>
  <c r="S54" i="8"/>
  <c r="R59" i="8"/>
  <c r="U38" i="8"/>
  <c r="T55" i="8"/>
  <c r="T60" i="8"/>
  <c r="U53" i="8"/>
  <c r="Q54" i="8"/>
  <c r="Q41" i="8"/>
  <c r="Q51" i="8"/>
  <c r="C27" i="1"/>
  <c r="C15" i="9"/>
  <c r="P43" i="8"/>
  <c r="P49" i="8"/>
  <c r="J8" i="9"/>
  <c r="P45" i="8"/>
  <c r="I22" i="9"/>
  <c r="H22" i="9"/>
  <c r="F22" i="9"/>
  <c r="G22" i="9"/>
  <c r="G62" i="8"/>
  <c r="P38" i="8"/>
  <c r="J6" i="9"/>
  <c r="G42" i="8"/>
  <c r="J56" i="8"/>
  <c r="H42" i="8"/>
  <c r="H40" i="8"/>
  <c r="H36" i="8"/>
  <c r="M54" i="8"/>
  <c r="J48" i="8"/>
  <c r="K54" i="8"/>
  <c r="M44" i="8"/>
  <c r="L36" i="8"/>
  <c r="N61" i="8"/>
  <c r="F36" i="8"/>
  <c r="P53" i="8"/>
  <c r="P61" i="8"/>
  <c r="G55" i="8"/>
  <c r="O55" i="8"/>
  <c r="G47" i="8"/>
  <c r="F37" i="8"/>
  <c r="I59" i="8"/>
  <c r="I58" i="8"/>
  <c r="N48" i="8"/>
  <c r="J39" i="8"/>
  <c r="L38" i="8"/>
  <c r="F59" i="8"/>
  <c r="K51" i="8"/>
  <c r="N41" i="8"/>
  <c r="O38" i="8"/>
  <c r="F38" i="8"/>
  <c r="K57" i="8"/>
  <c r="K47" i="8"/>
  <c r="I40" i="8"/>
  <c r="Q36" i="8"/>
  <c r="P7" i="1"/>
  <c r="P8" i="1" s="1"/>
  <c r="AT14" i="1"/>
  <c r="I7" i="1"/>
  <c r="H8" i="1"/>
  <c r="H9" i="1"/>
  <c r="E8" i="1"/>
  <c r="F8" i="1"/>
  <c r="E9" i="1"/>
  <c r="L8" i="1"/>
  <c r="M8" i="1"/>
  <c r="L9" i="1"/>
  <c r="AQ9" i="1"/>
  <c r="AQ10" i="1" s="1"/>
  <c r="K13" i="9"/>
  <c r="H27" i="1"/>
  <c r="N59" i="2"/>
  <c r="N77" i="2"/>
  <c r="N52" i="2"/>
  <c r="N69" i="2"/>
  <c r="N83" i="2"/>
  <c r="N60" i="2"/>
  <c r="N92" i="2"/>
  <c r="N91" i="2"/>
  <c r="N68" i="2"/>
  <c r="N53" i="2"/>
  <c r="N93" i="2"/>
  <c r="N67" i="2"/>
  <c r="N76" i="2"/>
  <c r="N75" i="2"/>
  <c r="N51" i="2"/>
  <c r="N85" i="2"/>
  <c r="N84" i="2"/>
  <c r="N61" i="2"/>
  <c r="N90" i="2"/>
  <c r="N58" i="2"/>
  <c r="N94" i="2"/>
  <c r="N86" i="2"/>
  <c r="N78" i="2"/>
  <c r="N70" i="2"/>
  <c r="N62" i="2"/>
  <c r="N54" i="2"/>
  <c r="N82" i="2"/>
  <c r="N50" i="2"/>
  <c r="N49" i="2"/>
  <c r="N89" i="2"/>
  <c r="N81" i="2"/>
  <c r="N73" i="2"/>
  <c r="N65" i="2"/>
  <c r="N57" i="2"/>
  <c r="N66" i="2"/>
  <c r="N96" i="2"/>
  <c r="N88" i="2"/>
  <c r="N80" i="2"/>
  <c r="N72" i="2"/>
  <c r="N64" i="2"/>
  <c r="N56" i="2"/>
  <c r="N74" i="2"/>
  <c r="N95" i="2"/>
  <c r="N87" i="2"/>
  <c r="N79" i="2"/>
  <c r="N71" i="2"/>
  <c r="N63" i="2"/>
  <c r="Q23" i="1"/>
  <c r="Q31" i="1" s="1"/>
  <c r="Q9" i="9"/>
  <c r="Q5" i="9"/>
  <c r="Q4" i="9"/>
  <c r="Q11" i="9"/>
  <c r="Q16" i="9"/>
  <c r="Q12" i="9"/>
  <c r="Q8" i="9"/>
  <c r="Q10" i="9"/>
  <c r="Q6" i="9"/>
  <c r="Q7" i="9"/>
  <c r="Q14" i="9"/>
  <c r="M11" i="9"/>
  <c r="M7" i="9"/>
  <c r="M9" i="9"/>
  <c r="M4" i="9"/>
  <c r="M5" i="9"/>
  <c r="M16" i="9"/>
  <c r="M8" i="9"/>
  <c r="M14" i="9"/>
  <c r="M10" i="9"/>
  <c r="M6" i="9"/>
  <c r="M12" i="9"/>
  <c r="T23" i="1"/>
  <c r="T10" i="9"/>
  <c r="T5" i="9"/>
  <c r="T11" i="9"/>
  <c r="T7" i="9"/>
  <c r="T6" i="9"/>
  <c r="T9" i="9"/>
  <c r="T16" i="9"/>
  <c r="T12" i="9"/>
  <c r="T8" i="9"/>
  <c r="T4" i="9"/>
  <c r="T14" i="9"/>
  <c r="W29" i="9" s="1"/>
  <c r="P13" i="9"/>
  <c r="L13" i="9"/>
  <c r="T139" i="1"/>
  <c r="S16" i="9"/>
  <c r="S12" i="9"/>
  <c r="S8" i="9"/>
  <c r="S4" i="9"/>
  <c r="S14" i="9"/>
  <c r="V29" i="9" s="1"/>
  <c r="S9" i="9"/>
  <c r="S11" i="9"/>
  <c r="S7" i="9"/>
  <c r="S6" i="9"/>
  <c r="S10" i="9"/>
  <c r="S5" i="9"/>
  <c r="T133" i="1"/>
  <c r="O23" i="1"/>
  <c r="O31" i="1" s="1"/>
  <c r="O14" i="9"/>
  <c r="O10" i="9"/>
  <c r="O6" i="9"/>
  <c r="O7" i="9"/>
  <c r="O12" i="9"/>
  <c r="O8" i="9"/>
  <c r="O11" i="9"/>
  <c r="O9" i="9"/>
  <c r="O5" i="9"/>
  <c r="O16" i="9"/>
  <c r="O4" i="9"/>
  <c r="O137" i="1"/>
  <c r="P135" i="1"/>
  <c r="P137" i="1" s="1"/>
  <c r="U114" i="1"/>
  <c r="U121" i="1" s="1"/>
  <c r="U123" i="1"/>
  <c r="U128" i="1" s="1"/>
  <c r="AR9" i="1"/>
  <c r="S23" i="1"/>
  <c r="O9" i="1"/>
  <c r="M23" i="1"/>
  <c r="M31" i="1" s="1"/>
  <c r="M9" i="1"/>
  <c r="AS31" i="1"/>
  <c r="AR23" i="1"/>
  <c r="AQ23" i="1"/>
  <c r="AQ31" i="1" s="1"/>
  <c r="M98" i="2"/>
  <c r="T32" i="1"/>
  <c r="AS32" i="1"/>
  <c r="O32" i="1"/>
  <c r="AQ32" i="1"/>
  <c r="AR32" i="1"/>
  <c r="AJ31" i="1"/>
  <c r="R14" i="1"/>
  <c r="AK25" i="1"/>
  <c r="AK27" i="1" s="1"/>
  <c r="AK29" i="1" s="1"/>
  <c r="AL25" i="1"/>
  <c r="AL27" i="1" s="1"/>
  <c r="N14" i="1"/>
  <c r="Q32" i="1"/>
  <c r="AM25" i="1"/>
  <c r="AM27" i="1" s="1"/>
  <c r="AN25" i="1"/>
  <c r="AN27" i="1" s="1"/>
  <c r="AO25" i="1"/>
  <c r="AO27" i="1" s="1"/>
  <c r="AP31" i="1"/>
  <c r="AP25" i="1"/>
  <c r="K25" i="1"/>
  <c r="L25" i="1"/>
  <c r="P25" i="1"/>
  <c r="S32" i="1"/>
  <c r="AO39" i="1" l="1"/>
  <c r="AR10" i="1"/>
  <c r="V133" i="1"/>
  <c r="Q135" i="1"/>
  <c r="Q137" i="1" s="1"/>
  <c r="Q7" i="1"/>
  <c r="Q8" i="1" s="1"/>
  <c r="V128" i="1"/>
  <c r="V23" i="9"/>
  <c r="V27" i="9"/>
  <c r="V22" i="9"/>
  <c r="V26" i="9"/>
  <c r="U27" i="1"/>
  <c r="U15" i="9"/>
  <c r="V21" i="9"/>
  <c r="V24" i="9"/>
  <c r="W24" i="9"/>
  <c r="W21" i="9"/>
  <c r="W22" i="9"/>
  <c r="W26" i="9"/>
  <c r="W20" i="9"/>
  <c r="V20" i="9"/>
  <c r="W23" i="9"/>
  <c r="W25" i="9"/>
  <c r="V25" i="9"/>
  <c r="W27" i="9"/>
  <c r="R121" i="1"/>
  <c r="R139" i="1" s="1"/>
  <c r="V114" i="1"/>
  <c r="S31" i="1"/>
  <c r="T135" i="1"/>
  <c r="T137" i="1" s="1"/>
  <c r="V123" i="1"/>
  <c r="K22" i="9"/>
  <c r="M20" i="9"/>
  <c r="J20" i="9"/>
  <c r="J22" i="9"/>
  <c r="K20" i="9"/>
  <c r="M29" i="9"/>
  <c r="L29" i="9"/>
  <c r="K29" i="9"/>
  <c r="K26" i="9"/>
  <c r="K25" i="9"/>
  <c r="M25" i="9"/>
  <c r="L26" i="9"/>
  <c r="L25" i="9"/>
  <c r="M26" i="9"/>
  <c r="M23" i="9"/>
  <c r="L23" i="9"/>
  <c r="K23" i="9"/>
  <c r="J23" i="9"/>
  <c r="G29" i="1"/>
  <c r="G17" i="9"/>
  <c r="M27" i="9"/>
  <c r="L27" i="9"/>
  <c r="K27" i="9"/>
  <c r="J27" i="9"/>
  <c r="D29" i="1"/>
  <c r="D17" i="9"/>
  <c r="E29" i="1"/>
  <c r="E17" i="9"/>
  <c r="H28" i="9"/>
  <c r="I29" i="1"/>
  <c r="I17" i="9"/>
  <c r="M21" i="9"/>
  <c r="J21" i="9"/>
  <c r="L21" i="9"/>
  <c r="K21" i="9"/>
  <c r="H29" i="1"/>
  <c r="H17" i="9"/>
  <c r="G28" i="9"/>
  <c r="C29" i="1"/>
  <c r="C17" i="9"/>
  <c r="M24" i="9"/>
  <c r="L24" i="9"/>
  <c r="K24" i="9"/>
  <c r="J24" i="9"/>
  <c r="F28" i="9"/>
  <c r="M22" i="9"/>
  <c r="P9" i="1"/>
  <c r="R4" i="9"/>
  <c r="V32" i="1"/>
  <c r="J32" i="1"/>
  <c r="J9" i="1"/>
  <c r="J8" i="1"/>
  <c r="I8" i="1"/>
  <c r="I9" i="1"/>
  <c r="AP27" i="1"/>
  <c r="F25" i="1"/>
  <c r="F15" i="9" s="1"/>
  <c r="I30" i="9" s="1"/>
  <c r="J23" i="1"/>
  <c r="Q25" i="1"/>
  <c r="Q15" i="9" s="1"/>
  <c r="N10" i="9"/>
  <c r="Q25" i="9" s="1"/>
  <c r="N32" i="1"/>
  <c r="T25" i="1"/>
  <c r="T27" i="1" s="1"/>
  <c r="T31" i="1"/>
  <c r="O64" i="2"/>
  <c r="R14" i="9"/>
  <c r="U29" i="9" s="1"/>
  <c r="R7" i="9"/>
  <c r="U22" i="9" s="1"/>
  <c r="N7" i="9"/>
  <c r="Q22" i="9" s="1"/>
  <c r="R9" i="9"/>
  <c r="U24" i="9" s="1"/>
  <c r="R16" i="9"/>
  <c r="N8" i="9"/>
  <c r="Q23" i="9" s="1"/>
  <c r="R11" i="9"/>
  <c r="U26" i="9" s="1"/>
  <c r="R6" i="9"/>
  <c r="U21" i="9" s="1"/>
  <c r="R5" i="9"/>
  <c r="U20" i="9" s="1"/>
  <c r="R12" i="9"/>
  <c r="U27" i="9" s="1"/>
  <c r="O13" i="9"/>
  <c r="S25" i="1"/>
  <c r="S13" i="9"/>
  <c r="N12" i="9"/>
  <c r="Q27" i="9" s="1"/>
  <c r="N16" i="9"/>
  <c r="L27" i="1"/>
  <c r="L15" i="9"/>
  <c r="N9" i="1"/>
  <c r="N4" i="9"/>
  <c r="N11" i="9"/>
  <c r="Q26" i="9" s="1"/>
  <c r="N9" i="9"/>
  <c r="Q24" i="9" s="1"/>
  <c r="N14" i="9"/>
  <c r="Q29" i="9" s="1"/>
  <c r="Q13" i="9"/>
  <c r="P27" i="1"/>
  <c r="P15" i="9"/>
  <c r="K27" i="1"/>
  <c r="K15" i="9"/>
  <c r="U139" i="1"/>
  <c r="O25" i="1"/>
  <c r="M13" i="9"/>
  <c r="T13" i="9"/>
  <c r="R8" i="9"/>
  <c r="U23" i="9" s="1"/>
  <c r="R10" i="9"/>
  <c r="U25" i="9" s="1"/>
  <c r="N6" i="9"/>
  <c r="Q21" i="9" s="1"/>
  <c r="N5" i="9"/>
  <c r="Q20" i="9" s="1"/>
  <c r="U135" i="1"/>
  <c r="N23" i="1"/>
  <c r="N31" i="1" s="1"/>
  <c r="AS25" i="1"/>
  <c r="AS27" i="1" s="1"/>
  <c r="AS140" i="1" s="1"/>
  <c r="AR31" i="1"/>
  <c r="R23" i="1"/>
  <c r="R31" i="1" s="1"/>
  <c r="M25" i="1"/>
  <c r="AR25" i="1"/>
  <c r="AR27" i="1" s="1"/>
  <c r="O62" i="2"/>
  <c r="O50" i="2"/>
  <c r="O76" i="2"/>
  <c r="O86" i="2"/>
  <c r="O58" i="2"/>
  <c r="O96" i="2"/>
  <c r="O87" i="2"/>
  <c r="O89" i="2"/>
  <c r="O56" i="2"/>
  <c r="AQ25" i="1"/>
  <c r="O78" i="2"/>
  <c r="O85" i="2"/>
  <c r="O74" i="2"/>
  <c r="O88" i="2"/>
  <c r="O93" i="2"/>
  <c r="O90" i="2"/>
  <c r="O79" i="2"/>
  <c r="O70" i="2"/>
  <c r="O65" i="2"/>
  <c r="O75" i="2"/>
  <c r="O61" i="2"/>
  <c r="O73" i="2"/>
  <c r="O60" i="2"/>
  <c r="O54" i="2"/>
  <c r="O81" i="2"/>
  <c r="O59" i="2"/>
  <c r="O55" i="2"/>
  <c r="O69" i="2"/>
  <c r="O57" i="2"/>
  <c r="O82" i="2"/>
  <c r="O72" i="2"/>
  <c r="O92" i="2"/>
  <c r="O95" i="2"/>
  <c r="O71" i="2"/>
  <c r="O80" i="2"/>
  <c r="O63" i="2"/>
  <c r="O77" i="2"/>
  <c r="O94" i="2"/>
  <c r="O66" i="2"/>
  <c r="O91" i="2"/>
  <c r="O49" i="2"/>
  <c r="O84" i="2"/>
  <c r="O51" i="2"/>
  <c r="O53" i="2"/>
  <c r="O52" i="2"/>
  <c r="O67" i="2"/>
  <c r="O83" i="2"/>
  <c r="O68" i="2"/>
  <c r="AN29" i="1"/>
  <c r="U32" i="1"/>
  <c r="AL29" i="1"/>
  <c r="AO29" i="1"/>
  <c r="AM29" i="1"/>
  <c r="R32" i="1"/>
  <c r="Q9" i="1" l="1"/>
  <c r="R7" i="1"/>
  <c r="R8" i="1" s="1"/>
  <c r="R135" i="1"/>
  <c r="R137" i="1" s="1"/>
  <c r="U28" i="1"/>
  <c r="U17" i="9"/>
  <c r="U140" i="1"/>
  <c r="T23" i="9"/>
  <c r="T26" i="9"/>
  <c r="T22" i="9"/>
  <c r="T20" i="9"/>
  <c r="T21" i="9"/>
  <c r="T27" i="9"/>
  <c r="T24" i="9"/>
  <c r="T25" i="9"/>
  <c r="T29" i="9"/>
  <c r="F27" i="1"/>
  <c r="G72" i="1" s="1"/>
  <c r="AR140" i="1"/>
  <c r="U142" i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U137" i="1"/>
  <c r="V135" i="1"/>
  <c r="V137" i="1" s="1"/>
  <c r="O24" i="9"/>
  <c r="O26" i="9"/>
  <c r="Q27" i="1"/>
  <c r="Q29" i="1" s="1"/>
  <c r="N22" i="9"/>
  <c r="S29" i="9"/>
  <c r="P22" i="9"/>
  <c r="N25" i="9"/>
  <c r="S24" i="9"/>
  <c r="O25" i="9"/>
  <c r="P25" i="9"/>
  <c r="S25" i="9"/>
  <c r="R22" i="9"/>
  <c r="P26" i="9"/>
  <c r="R25" i="9"/>
  <c r="S27" i="9"/>
  <c r="S22" i="9"/>
  <c r="S23" i="9"/>
  <c r="O22" i="9"/>
  <c r="S20" i="9"/>
  <c r="R20" i="9"/>
  <c r="N26" i="9"/>
  <c r="R29" i="9"/>
  <c r="N24" i="9"/>
  <c r="H30" i="9"/>
  <c r="O20" i="9"/>
  <c r="S21" i="9"/>
  <c r="N21" i="9"/>
  <c r="O29" i="9"/>
  <c r="N27" i="9"/>
  <c r="G30" i="9"/>
  <c r="N20" i="9"/>
  <c r="F30" i="9"/>
  <c r="P24" i="9"/>
  <c r="N23" i="9"/>
  <c r="O21" i="9"/>
  <c r="N29" i="9"/>
  <c r="O27" i="9"/>
  <c r="P20" i="9"/>
  <c r="O23" i="9"/>
  <c r="R26" i="9"/>
  <c r="P21" i="9"/>
  <c r="P29" i="9"/>
  <c r="P27" i="9"/>
  <c r="R23" i="9"/>
  <c r="P23" i="9"/>
  <c r="J31" i="1"/>
  <c r="J13" i="9"/>
  <c r="R24" i="9"/>
  <c r="R21" i="9"/>
  <c r="R27" i="9"/>
  <c r="S26" i="9"/>
  <c r="AP29" i="1"/>
  <c r="T15" i="9"/>
  <c r="N13" i="9"/>
  <c r="P28" i="9" s="1"/>
  <c r="AQ27" i="1"/>
  <c r="J25" i="1"/>
  <c r="J15" i="9" s="1"/>
  <c r="K29" i="1"/>
  <c r="K17" i="9"/>
  <c r="T140" i="1"/>
  <c r="T17" i="9"/>
  <c r="R142" i="1"/>
  <c r="T142" i="1"/>
  <c r="S142" i="1"/>
  <c r="S27" i="1"/>
  <c r="S15" i="9"/>
  <c r="P29" i="1"/>
  <c r="P140" i="1"/>
  <c r="P17" i="9"/>
  <c r="M27" i="1"/>
  <c r="M15" i="9"/>
  <c r="R13" i="9"/>
  <c r="U28" i="9" s="1"/>
  <c r="O27" i="1"/>
  <c r="O15" i="9"/>
  <c r="L29" i="1"/>
  <c r="L17" i="9"/>
  <c r="R25" i="1"/>
  <c r="R15" i="9" s="1"/>
  <c r="N25" i="1"/>
  <c r="N15" i="9" s="1"/>
  <c r="AS7" i="1"/>
  <c r="S7" i="1"/>
  <c r="R9" i="1"/>
  <c r="AR29" i="1"/>
  <c r="AS29" i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S8" i="1" l="1"/>
  <c r="T7" i="1"/>
  <c r="U7" i="1" s="1"/>
  <c r="V7" i="1" s="1"/>
  <c r="W7" i="1" s="1"/>
  <c r="F72" i="1"/>
  <c r="I72" i="1"/>
  <c r="F17" i="9"/>
  <c r="H72" i="1"/>
  <c r="F29" i="1"/>
  <c r="T28" i="9"/>
  <c r="T30" i="9"/>
  <c r="U30" i="9"/>
  <c r="J27" i="1"/>
  <c r="J17" i="9" s="1"/>
  <c r="R27" i="1"/>
  <c r="U72" i="1" s="1"/>
  <c r="Q17" i="9"/>
  <c r="Q140" i="1"/>
  <c r="R28" i="9"/>
  <c r="S28" i="9"/>
  <c r="Q30" i="9"/>
  <c r="P30" i="9"/>
  <c r="N30" i="9"/>
  <c r="M30" i="9"/>
  <c r="K30" i="9"/>
  <c r="J30" i="9"/>
  <c r="L30" i="9"/>
  <c r="M28" i="9"/>
  <c r="K28" i="9"/>
  <c r="L28" i="9"/>
  <c r="J28" i="9"/>
  <c r="Q28" i="9"/>
  <c r="N28" i="9"/>
  <c r="O28" i="9"/>
  <c r="R30" i="9"/>
  <c r="O30" i="9"/>
  <c r="S30" i="9"/>
  <c r="AQ29" i="1"/>
  <c r="AS9" i="1"/>
  <c r="AS10" i="1" s="1"/>
  <c r="AS8" i="1"/>
  <c r="S29" i="1"/>
  <c r="S35" i="1" s="1"/>
  <c r="S36" i="1" s="1"/>
  <c r="S140" i="1"/>
  <c r="S17" i="9"/>
  <c r="M29" i="1"/>
  <c r="M17" i="9"/>
  <c r="N27" i="1"/>
  <c r="O29" i="1"/>
  <c r="O140" i="1"/>
  <c r="O17" i="9"/>
  <c r="T8" i="1"/>
  <c r="S9" i="1"/>
  <c r="W9" i="1" s="1"/>
  <c r="X7" i="1" l="1"/>
  <c r="Y7" i="1" s="1"/>
  <c r="S72" i="1"/>
  <c r="R29" i="1"/>
  <c r="J72" i="1"/>
  <c r="M72" i="1"/>
  <c r="J29" i="1"/>
  <c r="L72" i="1"/>
  <c r="K72" i="1"/>
  <c r="R17" i="9"/>
  <c r="T72" i="1"/>
  <c r="R140" i="1"/>
  <c r="T143" i="1" s="1"/>
  <c r="T145" i="1" s="1"/>
  <c r="R72" i="1"/>
  <c r="N29" i="1"/>
  <c r="Q72" i="1"/>
  <c r="N17" i="9"/>
  <c r="O72" i="1"/>
  <c r="N72" i="1"/>
  <c r="P72" i="1"/>
  <c r="T9" i="1"/>
  <c r="X9" i="1" s="1"/>
  <c r="S143" i="1" l="1"/>
  <c r="S145" i="1" s="1"/>
  <c r="R143" i="1"/>
  <c r="R145" i="1" s="1"/>
  <c r="U143" i="1"/>
  <c r="U145" i="1" s="1"/>
  <c r="U8" i="1"/>
  <c r="U9" i="1"/>
  <c r="Y9" i="1" s="1"/>
  <c r="AT7" i="1" l="1"/>
  <c r="AT8" i="1" s="1"/>
  <c r="V8" i="1"/>
  <c r="V9" i="1"/>
  <c r="Z9" i="1" s="1"/>
  <c r="AT16" i="1"/>
  <c r="AT17" i="1"/>
  <c r="AT18" i="1"/>
  <c r="AT19" i="1"/>
  <c r="AT15" i="1"/>
  <c r="W8" i="1" l="1"/>
  <c r="V23" i="1"/>
  <c r="V13" i="9" s="1"/>
  <c r="AT9" i="1"/>
  <c r="AT10" i="1" s="1"/>
  <c r="AT32" i="1"/>
  <c r="V28" i="9" l="1"/>
  <c r="W28" i="9"/>
  <c r="V31" i="1"/>
  <c r="AT23" i="1"/>
  <c r="X8" i="1"/>
  <c r="V25" i="1"/>
  <c r="V15" i="9" s="1"/>
  <c r="W30" i="9" l="1"/>
  <c r="V30" i="9"/>
  <c r="X32" i="1"/>
  <c r="Z7" i="1"/>
  <c r="AU7" i="1" s="1"/>
  <c r="Y8" i="1"/>
  <c r="V27" i="1"/>
  <c r="AT26" i="1"/>
  <c r="AT31" i="1"/>
  <c r="AT24" i="1"/>
  <c r="AT25" i="1" s="1"/>
  <c r="X72" i="1" l="1"/>
  <c r="Y72" i="1"/>
  <c r="V140" i="1"/>
  <c r="V17" i="9"/>
  <c r="V72" i="1"/>
  <c r="W72" i="1"/>
  <c r="Z14" i="1"/>
  <c r="AU14" i="1" s="1"/>
  <c r="Z8" i="1"/>
  <c r="V28" i="1"/>
  <c r="AT28" i="1" s="1"/>
  <c r="AT27" i="1"/>
  <c r="Y143" i="1" l="1"/>
  <c r="X143" i="1"/>
  <c r="AZ7" i="1"/>
  <c r="BA7" i="1" s="1"/>
  <c r="BB7" i="1" s="1"/>
  <c r="BC7" i="1" s="1"/>
  <c r="BD7" i="1" s="1"/>
  <c r="BE7" i="1" s="1"/>
  <c r="W143" i="1"/>
  <c r="V143" i="1"/>
  <c r="AU24" i="1"/>
  <c r="AT140" i="1"/>
  <c r="AU15" i="1"/>
  <c r="Z20" i="1"/>
  <c r="Z16" i="1"/>
  <c r="Z17" i="1"/>
  <c r="Z22" i="1"/>
  <c r="Z18" i="1"/>
  <c r="Z21" i="1"/>
  <c r="Z15" i="1"/>
  <c r="Z19" i="1"/>
  <c r="Z32" i="1"/>
  <c r="AU9" i="1" l="1"/>
  <c r="AV9" i="1" s="1"/>
  <c r="AU32" i="1"/>
  <c r="AU16" i="1"/>
  <c r="AU17" i="1"/>
  <c r="AU19" i="1"/>
  <c r="AU18" i="1"/>
  <c r="AU21" i="1"/>
  <c r="Z23" i="1"/>
  <c r="Z31" i="1" s="1"/>
  <c r="AW9" i="1" l="1"/>
  <c r="AX9" i="1" s="1"/>
  <c r="AY9" i="1" s="1"/>
  <c r="AZ9" i="1" s="1"/>
  <c r="BA9" i="1" s="1"/>
  <c r="BB9" i="1" s="1"/>
  <c r="BC9" i="1" s="1"/>
  <c r="BD9" i="1" s="1"/>
  <c r="BE9" i="1" s="1"/>
  <c r="AV15" i="1"/>
  <c r="Z24" i="1"/>
  <c r="Z25" i="1" s="1"/>
  <c r="AX8" i="1"/>
  <c r="AU23" i="1"/>
  <c r="AU31" i="1" s="1"/>
  <c r="AW5" i="8"/>
  <c r="AW7" i="8" s="1"/>
  <c r="AW15" i="1" l="1"/>
  <c r="Z26" i="1"/>
  <c r="Z27" i="1" s="1"/>
  <c r="Z28" i="1" s="1"/>
  <c r="AY8" i="1"/>
  <c r="AU25" i="1"/>
  <c r="AV18" i="1"/>
  <c r="AV16" i="1"/>
  <c r="AV32" i="1"/>
  <c r="AV21" i="1"/>
  <c r="AV17" i="1"/>
  <c r="AV19" i="1"/>
  <c r="AU26" i="1" l="1"/>
  <c r="AU30" i="1" s="1"/>
  <c r="AW21" i="1"/>
  <c r="AZ8" i="1"/>
  <c r="AW19" i="1"/>
  <c r="AW17" i="1"/>
  <c r="AV23" i="1"/>
  <c r="AV31" i="1" s="1"/>
  <c r="AW32" i="1"/>
  <c r="AW18" i="1"/>
  <c r="AW16" i="1"/>
  <c r="AX14" i="1"/>
  <c r="AX15" i="1" s="1"/>
  <c r="AU27" i="1" l="1"/>
  <c r="BA8" i="1"/>
  <c r="AW23" i="1"/>
  <c r="AW31" i="1" s="1"/>
  <c r="AY14" i="1"/>
  <c r="AX19" i="1"/>
  <c r="AX21" i="1"/>
  <c r="AX18" i="1"/>
  <c r="AX32" i="1"/>
  <c r="AX17" i="1"/>
  <c r="AX16" i="1"/>
  <c r="AU40" i="1" l="1"/>
  <c r="AV24" i="1" s="1"/>
  <c r="AV25" i="1" s="1"/>
  <c r="AU28" i="1"/>
  <c r="BB8" i="1"/>
  <c r="AX23" i="1"/>
  <c r="AX31" i="1" s="1"/>
  <c r="AY32" i="1"/>
  <c r="AY19" i="1"/>
  <c r="AY17" i="1"/>
  <c r="AY16" i="1"/>
  <c r="AY18" i="1"/>
  <c r="AY15" i="1"/>
  <c r="AY21" i="1"/>
  <c r="AZ14" i="1"/>
  <c r="AV26" i="1" l="1"/>
  <c r="AV27" i="1" s="1"/>
  <c r="AV40" i="1" s="1"/>
  <c r="AW24" i="1" s="1"/>
  <c r="AW25" i="1" s="1"/>
  <c r="AW26" i="1" s="1"/>
  <c r="AW27" i="1" s="1"/>
  <c r="AW40" i="1" s="1"/>
  <c r="AX24" i="1" s="1"/>
  <c r="AX25" i="1" s="1"/>
  <c r="BC8" i="1"/>
  <c r="AY23" i="1"/>
  <c r="AY31" i="1" s="1"/>
  <c r="BA14" i="1"/>
  <c r="AZ16" i="1"/>
  <c r="AZ19" i="1"/>
  <c r="AZ15" i="1"/>
  <c r="AZ21" i="1"/>
  <c r="AZ17" i="1"/>
  <c r="AZ18" i="1"/>
  <c r="AZ32" i="1"/>
  <c r="AV28" i="1" l="1"/>
  <c r="AX26" i="1"/>
  <c r="AX27" i="1" s="1"/>
  <c r="AX40" i="1" s="1"/>
  <c r="AW28" i="1"/>
  <c r="BD8" i="1"/>
  <c r="AZ23" i="1"/>
  <c r="AZ31" i="1" s="1"/>
  <c r="BA18" i="1"/>
  <c r="BA32" i="1"/>
  <c r="BA17" i="1"/>
  <c r="BA15" i="1"/>
  <c r="BA19" i="1"/>
  <c r="BA21" i="1"/>
  <c r="BA16" i="1"/>
  <c r="BB14" i="1"/>
  <c r="AX28" i="1" l="1"/>
  <c r="BE8" i="1"/>
  <c r="BA23" i="1"/>
  <c r="BA31" i="1" s="1"/>
  <c r="BB16" i="1"/>
  <c r="BB17" i="1"/>
  <c r="BB18" i="1"/>
  <c r="BB32" i="1"/>
  <c r="BB15" i="1"/>
  <c r="BB21" i="1"/>
  <c r="BB19" i="1"/>
  <c r="BC14" i="1"/>
  <c r="AY24" i="1"/>
  <c r="AY25" i="1" s="1"/>
  <c r="AY26" i="1" l="1"/>
  <c r="AY27" i="1" s="1"/>
  <c r="AY40" i="1" s="1"/>
  <c r="AZ24" i="1" s="1"/>
  <c r="AZ25" i="1" s="1"/>
  <c r="BB23" i="1"/>
  <c r="BB31" i="1" s="1"/>
  <c r="BC32" i="1"/>
  <c r="BC16" i="1"/>
  <c r="BC17" i="1"/>
  <c r="BC15" i="1"/>
  <c r="BC18" i="1"/>
  <c r="BC19" i="1"/>
  <c r="BC21" i="1"/>
  <c r="BD14" i="1"/>
  <c r="AZ26" i="1" l="1"/>
  <c r="AZ27" i="1" s="1"/>
  <c r="AZ40" i="1" s="1"/>
  <c r="BA24" i="1" s="1"/>
  <c r="BA25" i="1" s="1"/>
  <c r="AY28" i="1"/>
  <c r="BC23" i="1"/>
  <c r="BC31" i="1" s="1"/>
  <c r="BD21" i="1"/>
  <c r="BD32" i="1"/>
  <c r="BD15" i="1"/>
  <c r="BD17" i="1"/>
  <c r="BD16" i="1"/>
  <c r="BD18" i="1"/>
  <c r="BD19" i="1"/>
  <c r="BE14" i="1"/>
  <c r="BA26" i="1" l="1"/>
  <c r="BA27" i="1" s="1"/>
  <c r="BA40" i="1" s="1"/>
  <c r="BB24" i="1" s="1"/>
  <c r="BB25" i="1" s="1"/>
  <c r="AZ28" i="1"/>
  <c r="BD23" i="1"/>
  <c r="BD31" i="1" s="1"/>
  <c r="BE21" i="1"/>
  <c r="BE32" i="1"/>
  <c r="BE19" i="1"/>
  <c r="BE15" i="1"/>
  <c r="BE17" i="1"/>
  <c r="BE16" i="1"/>
  <c r="BE18" i="1"/>
  <c r="BB26" i="1" l="1"/>
  <c r="BB27" i="1" s="1"/>
  <c r="BB28" i="1" s="1"/>
  <c r="BA28" i="1"/>
  <c r="BE23" i="1"/>
  <c r="BE31" i="1" s="1"/>
  <c r="BB40" i="1" l="1"/>
  <c r="BC24" i="1" s="1"/>
  <c r="BC25" i="1" s="1"/>
  <c r="BC26" i="1" l="1"/>
  <c r="BC27" i="1" s="1"/>
  <c r="BC40" i="1" s="1"/>
  <c r="BD24" i="1" l="1"/>
  <c r="BD25" i="1" s="1"/>
  <c r="BC28" i="1"/>
  <c r="BD26" i="1" l="1"/>
  <c r="BD27" i="1" s="1"/>
  <c r="BD40" i="1" s="1"/>
  <c r="BE24" i="1" l="1"/>
  <c r="BE25" i="1" s="1"/>
  <c r="BD28" i="1"/>
  <c r="BE26" i="1" l="1"/>
  <c r="BE27" i="1" s="1"/>
  <c r="BE40" i="1" l="1"/>
  <c r="BF27" i="1"/>
  <c r="BE28" i="1"/>
  <c r="V121" i="1" l="1"/>
  <c r="V139" i="1" s="1"/>
  <c r="Y142" i="1" l="1"/>
  <c r="Y145" i="1" s="1"/>
  <c r="X142" i="1"/>
  <c r="X145" i="1" s="1"/>
  <c r="V142" i="1"/>
  <c r="V145" i="1" s="1"/>
  <c r="W142" i="1"/>
  <c r="W145" i="1" s="1"/>
  <c r="BG27" i="1" l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HT27" i="1" s="1"/>
  <c r="HU27" i="1" s="1"/>
  <c r="HV27" i="1" s="1"/>
  <c r="HW27" i="1" s="1"/>
  <c r="HX27" i="1" s="1"/>
  <c r="HY27" i="1" s="1"/>
  <c r="HZ27" i="1" s="1"/>
  <c r="IA27" i="1" s="1"/>
  <c r="IB27" i="1" s="1"/>
  <c r="IC27" i="1" s="1"/>
  <c r="ID27" i="1" s="1"/>
  <c r="IE27" i="1" s="1"/>
  <c r="IF27" i="1" s="1"/>
  <c r="IG27" i="1" s="1"/>
  <c r="IH27" i="1" s="1"/>
  <c r="II27" i="1" s="1"/>
  <c r="IJ27" i="1" s="1"/>
  <c r="IK27" i="1" s="1"/>
  <c r="IL27" i="1" s="1"/>
  <c r="IM27" i="1" s="1"/>
  <c r="BH37" i="1" l="1"/>
  <c r="BH39" i="1" s="1"/>
  <c r="BH41" i="1" l="1"/>
  <c r="BH45" i="1" s="1"/>
  <c r="M6" i="2" l="1"/>
  <c r="M9" i="2" s="1"/>
  <c r="M11" i="2" s="1"/>
  <c r="Y137" i="1" l="1"/>
  <c r="Y135" i="1"/>
  <c r="Y128" i="1"/>
  <c r="Y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U4" authorId="0" shapeId="0" xr:uid="{C31A69B5-54EE-DD48-A133-D25BF430A2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4" authorId="0" shapeId="0" xr:uid="{9DA66083-DB4F-B849-A8AC-EFEB6E41F9F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B72" authorId="0" shapeId="0" xr:uid="{BBEB2D2E-CCED-8341-A7B0-20B692FA44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21" authorId="0" shapeId="0" xr:uid="{A9958CA5-7DFB-F248-B9FC-21B1F5F08C4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23" authorId="0" shapeId="0" xr:uid="{FA78137A-DA84-804E-B5F8-9481AF8380A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49" authorId="0" shapeId="0" xr:uid="{CB4DE01D-9B85-9044-9BC7-70513279501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W5" authorId="0" shapeId="0" xr:uid="{076329E2-88AA-7A42-8FEF-42D1A61E51A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costs fo beef, avocados, paper</t>
        </r>
      </text>
    </comment>
    <comment ref="W6" authorId="0" shapeId="0" xr:uid="{4587532C-9BCD-5A48-9F3F-588293EDCDC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Wage inflation</t>
        </r>
      </text>
    </comment>
  </commentList>
</comments>
</file>

<file path=xl/sharedStrings.xml><?xml version="1.0" encoding="utf-8"?>
<sst xmlns="http://schemas.openxmlformats.org/spreadsheetml/2006/main" count="395" uniqueCount="268">
  <si>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</si>
  <si>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</si>
  <si>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</si>
  <si>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</si>
  <si>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</si>
  <si>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</si>
  <si>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</si>
  <si>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</si>
  <si>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</si>
  <si>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</si>
  <si>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</si>
  <si>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</si>
  <si>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Price</t>
  </si>
  <si>
    <t>Shares</t>
  </si>
  <si>
    <t>MC</t>
  </si>
  <si>
    <t>Cash</t>
  </si>
  <si>
    <t>Debt</t>
  </si>
  <si>
    <t>EV</t>
  </si>
  <si>
    <t>Food/beverage</t>
  </si>
  <si>
    <t xml:space="preserve">Delivery services </t>
  </si>
  <si>
    <t xml:space="preserve">Total Revenue </t>
  </si>
  <si>
    <t xml:space="preserve">Food, beverage, packaging </t>
  </si>
  <si>
    <t>Labor</t>
  </si>
  <si>
    <t>Occupancy</t>
  </si>
  <si>
    <t>Other op costs</t>
  </si>
  <si>
    <t>G&amp;A</t>
  </si>
  <si>
    <t>D&amp;A</t>
  </si>
  <si>
    <t>Pre-opening costs</t>
  </si>
  <si>
    <t xml:space="preserve">Income From Operations </t>
  </si>
  <si>
    <t>Interest/other</t>
  </si>
  <si>
    <t>Income Before taxes</t>
  </si>
  <si>
    <t>Taxes</t>
  </si>
  <si>
    <t xml:space="preserve">Net Income </t>
  </si>
  <si>
    <t>shares</t>
  </si>
  <si>
    <t xml:space="preserve">Revenue YoY </t>
  </si>
  <si>
    <t xml:space="preserve">Operating Margin </t>
  </si>
  <si>
    <t>Maturity</t>
  </si>
  <si>
    <t>Discount</t>
  </si>
  <si>
    <t>NPV</t>
  </si>
  <si>
    <t xml:space="preserve">Total Value </t>
  </si>
  <si>
    <t>Estimate</t>
  </si>
  <si>
    <t>Current</t>
  </si>
  <si>
    <t>CFFO</t>
  </si>
  <si>
    <t>Capex</t>
  </si>
  <si>
    <t>Restaurants</t>
  </si>
  <si>
    <t>Closures</t>
  </si>
  <si>
    <t>Relocations</t>
  </si>
  <si>
    <t>Opened</t>
  </si>
  <si>
    <t>Alabama</t>
  </si>
  <si>
    <t>Arizona</t>
  </si>
  <si>
    <t>Arkansas</t>
  </si>
  <si>
    <t xml:space="preserve">Colorado </t>
  </si>
  <si>
    <t>Connecticut</t>
  </si>
  <si>
    <t>California</t>
  </si>
  <si>
    <t>Delaware</t>
  </si>
  <si>
    <t>Georgia</t>
  </si>
  <si>
    <t>Idaho</t>
  </si>
  <si>
    <t>Illinois</t>
  </si>
  <si>
    <t>Indiana</t>
  </si>
  <si>
    <t>iowa</t>
  </si>
  <si>
    <t>Kansas</t>
  </si>
  <si>
    <t>Kentucky</t>
  </si>
  <si>
    <t>Lousiana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</si>
  <si>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</si>
  <si>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</si>
  <si>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</si>
  <si>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</si>
  <si>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</si>
  <si>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</si>
  <si>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</si>
  <si>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</si>
  <si>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</si>
  <si>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</si>
  <si>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</si>
  <si>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</si>
  <si>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</si>
  <si>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</si>
  <si>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</si>
  <si>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</si>
  <si>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</si>
  <si>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</si>
  <si>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 xml:space="preserve">Oregon 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</si>
  <si>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</si>
  <si>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</si>
  <si>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</si>
  <si>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</si>
  <si>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</si>
  <si>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</si>
  <si>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</si>
  <si>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</si>
  <si>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</si>
  <si>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</si>
  <si>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Washington DC</t>
  </si>
  <si>
    <t>West Virginia</t>
  </si>
  <si>
    <t>Wisconsin</t>
  </si>
  <si>
    <t>Wyoming</t>
  </si>
  <si>
    <t>Total U.S. Stores</t>
  </si>
  <si>
    <t>% of TTL</t>
  </si>
  <si>
    <t>Delta</t>
  </si>
  <si>
    <t>Locations</t>
  </si>
  <si>
    <t xml:space="preserve">Q2'21 Revenue </t>
  </si>
  <si>
    <t>PR</t>
  </si>
  <si>
    <t>9/9/21 Press Release</t>
  </si>
  <si>
    <t xml:space="preserve">Contains </t>
  </si>
  <si>
    <t>Q3 results 10/21/21</t>
  </si>
  <si>
    <t>9/1/21 Press Release</t>
  </si>
  <si>
    <t xml:space="preserve">Rolling out extras, feature for reward members to earn extra points </t>
  </si>
  <si>
    <t xml:space="preserve">8/19/21 Press Release </t>
  </si>
  <si>
    <t>menu innovation, testing Chorizo, 1st new plant based option since Sofritas in 2014</t>
  </si>
  <si>
    <t>6/30/21 Press Release</t>
  </si>
  <si>
    <t>Q2'21 earnings . Opened 56 new locations (45 Chipotlanes model)</t>
  </si>
  <si>
    <t>5/10/21 Press Release</t>
  </si>
  <si>
    <t xml:space="preserve">Increases wages </t>
  </si>
  <si>
    <t>Revenue Per Restaurant</t>
  </si>
  <si>
    <t xml:space="preserve">Cash </t>
  </si>
  <si>
    <t>A/R</t>
  </si>
  <si>
    <t xml:space="preserve">Inventory </t>
  </si>
  <si>
    <t xml:space="preserve">Prepaid E &amp; other </t>
  </si>
  <si>
    <t>Income tax rec</t>
  </si>
  <si>
    <t xml:space="preserve">Investments </t>
  </si>
  <si>
    <t xml:space="preserve">Total Current </t>
  </si>
  <si>
    <t>Lease improvements</t>
  </si>
  <si>
    <t>Long term Investments</t>
  </si>
  <si>
    <t xml:space="preserve">Restricted Cash </t>
  </si>
  <si>
    <t xml:space="preserve">Op lease assets </t>
  </si>
  <si>
    <t xml:space="preserve">Other assets </t>
  </si>
  <si>
    <t xml:space="preserve">Goodwill </t>
  </si>
  <si>
    <t xml:space="preserve">Total Assets </t>
  </si>
  <si>
    <t>A/P</t>
  </si>
  <si>
    <t xml:space="preserve">Accrued payroll &amp; benefits </t>
  </si>
  <si>
    <t xml:space="preserve">Accrued liabilities </t>
  </si>
  <si>
    <t xml:space="preserve">Unearned revenue </t>
  </si>
  <si>
    <t>Current op lease liab</t>
  </si>
  <si>
    <t xml:space="preserve">Current Liabilities </t>
  </si>
  <si>
    <t>Long Term Op Lease</t>
  </si>
  <si>
    <t>Deferred income taxes</t>
  </si>
  <si>
    <t xml:space="preserve">Other liabilities </t>
  </si>
  <si>
    <t xml:space="preserve">TL </t>
  </si>
  <si>
    <t xml:space="preserve">Equity </t>
  </si>
  <si>
    <t>TL+-E</t>
  </si>
  <si>
    <t xml:space="preserve">Return on Equity </t>
  </si>
  <si>
    <t xml:space="preserve">Deferred income tax </t>
  </si>
  <si>
    <t>Impairment, closure costs</t>
  </si>
  <si>
    <t>Provision for credit losses</t>
  </si>
  <si>
    <t>SBC</t>
  </si>
  <si>
    <t>Other</t>
  </si>
  <si>
    <t xml:space="preserve">Prepaid E &amp; Other </t>
  </si>
  <si>
    <t>Op Lease</t>
  </si>
  <si>
    <t>Accrued payroll &amp; benefits</t>
  </si>
  <si>
    <t xml:space="preserve">Accrued Liabilities </t>
  </si>
  <si>
    <t xml:space="preserve">Income tax payable/recievable </t>
  </si>
  <si>
    <t xml:space="preserve">Op lease liabilities </t>
  </si>
  <si>
    <t xml:space="preserve">Other long term liabilities </t>
  </si>
  <si>
    <t xml:space="preserve">Investment buys </t>
  </si>
  <si>
    <t xml:space="preserve">Investment maturities </t>
  </si>
  <si>
    <t>Equipment sales</t>
  </si>
  <si>
    <t>Acquisitions of equity method</t>
  </si>
  <si>
    <t>CFFI</t>
  </si>
  <si>
    <t>Acquisition of Treasury stock</t>
  </si>
  <si>
    <t>Tax withholding on SBC</t>
  </si>
  <si>
    <t xml:space="preserve">Other financing activities </t>
  </si>
  <si>
    <t>CFFF</t>
  </si>
  <si>
    <t>Currency adj.</t>
  </si>
  <si>
    <t xml:space="preserve">Net Change in Cash </t>
  </si>
  <si>
    <t>Cash @ Begin</t>
  </si>
  <si>
    <t xml:space="preserve">Cash @ End </t>
  </si>
  <si>
    <t>NI</t>
  </si>
  <si>
    <t>CFFO - Capex - SBC</t>
  </si>
  <si>
    <t>4Q FC</t>
  </si>
  <si>
    <t xml:space="preserve">4Q NI </t>
  </si>
  <si>
    <t xml:space="preserve">4Q FCF - 4Q NI </t>
  </si>
  <si>
    <t xml:space="preserve">Beg Book Value </t>
  </si>
  <si>
    <t xml:space="preserve">ASU Adoption </t>
  </si>
  <si>
    <t xml:space="preserve">Stock plan transactions </t>
  </si>
  <si>
    <t xml:space="preserve">Acquisition of treausry stock </t>
  </si>
  <si>
    <t>Other comp income</t>
  </si>
  <si>
    <t xml:space="preserve">End Book Value </t>
  </si>
  <si>
    <t xml:space="preserve">Net cash </t>
  </si>
  <si>
    <t>ROIC</t>
  </si>
  <si>
    <t>1/3/2022 Press release</t>
  </si>
  <si>
    <t xml:space="preserve">Plant Based Chorizo </t>
  </si>
  <si>
    <t>12/16/21 Press release</t>
  </si>
  <si>
    <t xml:space="preserve">Chipotlanes digital kitchen </t>
  </si>
  <si>
    <t>Q118</t>
  </si>
  <si>
    <t>Q218</t>
  </si>
  <si>
    <t>Q318</t>
  </si>
  <si>
    <t>Q418</t>
  </si>
  <si>
    <t>Q117</t>
  </si>
  <si>
    <t>Q217</t>
  </si>
  <si>
    <t>Q317</t>
  </si>
  <si>
    <t>Q417</t>
  </si>
  <si>
    <t>Impairments</t>
  </si>
  <si>
    <t xml:space="preserve">Digital Sales </t>
  </si>
  <si>
    <t xml:space="preserve">Buybacks </t>
  </si>
  <si>
    <t>Av Price</t>
  </si>
  <si>
    <t>Q122</t>
  </si>
  <si>
    <t>Q222</t>
  </si>
  <si>
    <t>Q322</t>
  </si>
  <si>
    <t>Q422</t>
  </si>
  <si>
    <t>Diluted</t>
  </si>
  <si>
    <t>2/15/2022 Press Release</t>
  </si>
  <si>
    <t>Opened 3000th store</t>
  </si>
  <si>
    <t>3/16/2022 Press Release</t>
  </si>
  <si>
    <t>Chipotle Tests AI Kitchen Assistant</t>
  </si>
  <si>
    <t xml:space="preserve">Miso Robotics </t>
  </si>
  <si>
    <t xml:space="preserve">Goal is to streamline mundane kitche processes </t>
  </si>
  <si>
    <t>3/10/22 Press Release</t>
  </si>
  <si>
    <t xml:space="preserve">1st chicken menu innovation in 29Y hisstory, pollo asado </t>
  </si>
  <si>
    <t>2/23/22 Press Release</t>
  </si>
  <si>
    <t xml:space="preserve">ESG Goals </t>
  </si>
  <si>
    <t xml:space="preserve">Partnerships </t>
  </si>
  <si>
    <t>TL+E</t>
  </si>
  <si>
    <t xml:space="preserve">Deferred rent </t>
  </si>
  <si>
    <t>Deferred income tax assets</t>
  </si>
  <si>
    <t xml:space="preserve">Income tax payable </t>
  </si>
  <si>
    <t>4Q Standard Deviation</t>
  </si>
  <si>
    <t>QoQ Change</t>
  </si>
  <si>
    <t>4Q Std Deviation</t>
  </si>
  <si>
    <t>Model</t>
  </si>
  <si>
    <t>B S Common</t>
  </si>
  <si>
    <t>IS Common</t>
  </si>
  <si>
    <t>2023 EV/S</t>
  </si>
  <si>
    <t>23 REVENUE</t>
  </si>
  <si>
    <t>4/19/22 Press Release</t>
  </si>
  <si>
    <t>Venture to make early stage investments</t>
  </si>
  <si>
    <t>3/28/22 Press Release</t>
  </si>
  <si>
    <t xml:space="preserve">Cash app guac mode </t>
  </si>
  <si>
    <t>3/31/22 Press Release</t>
  </si>
  <si>
    <t>Testing RFID for traceability &amp; inventory purposes</t>
  </si>
  <si>
    <t>4/5/22 Press Release</t>
  </si>
  <si>
    <t xml:space="preserve">Metaverse partnership  </t>
  </si>
  <si>
    <t>Metaverse</t>
  </si>
  <si>
    <t xml:space="preserve">Credit Facility </t>
  </si>
  <si>
    <t>Fee</t>
  </si>
  <si>
    <t>Interest Rate</t>
  </si>
  <si>
    <t xml:space="preserve">Libor </t>
  </si>
  <si>
    <t>4/26/22 Press Release</t>
  </si>
  <si>
    <t>Q1'22 Results</t>
  </si>
  <si>
    <t>5/2/22 Press Release</t>
  </si>
  <si>
    <t>Garlic Guajillo Steak in select markets</t>
  </si>
  <si>
    <t>6/9/22 Press Release</t>
  </si>
  <si>
    <t>Seaosnal drink, watermelon limeade</t>
  </si>
  <si>
    <t>6/16/22 Press Release</t>
  </si>
  <si>
    <t xml:space="preserve">Mexican Cauliflower Rice </t>
  </si>
  <si>
    <t>Dollars for BB</t>
  </si>
  <si>
    <t>Chipotle (CMG)</t>
  </si>
  <si>
    <t>6/28/22 Press Release</t>
  </si>
  <si>
    <t>Teaming up w/ Soccer players for menu releases</t>
  </si>
  <si>
    <t>Nuro</t>
  </si>
  <si>
    <t xml:space="preserve"> </t>
  </si>
  <si>
    <t>Quarter End Price</t>
  </si>
  <si>
    <t>MC (m)</t>
  </si>
  <si>
    <t>EV (m)</t>
  </si>
  <si>
    <t>10/11/2022 Press Releases</t>
  </si>
  <si>
    <t>Marketing</t>
  </si>
  <si>
    <t>9/27/2022 Press Release</t>
  </si>
  <si>
    <t xml:space="preserve">Kitchen Mgt System </t>
  </si>
  <si>
    <t>9/13/22 Press Release</t>
  </si>
  <si>
    <t xml:space="preserve">Garlic Guajillo Steak </t>
  </si>
  <si>
    <t>9/7/22 Press Release</t>
  </si>
  <si>
    <t>88 Club</t>
  </si>
  <si>
    <t>8/30/22 Press Release</t>
  </si>
  <si>
    <t>Chicken Al Pastor</t>
  </si>
  <si>
    <t>8/22/22 Press Release</t>
  </si>
  <si>
    <t>CMG IQ scholarship Marketing</t>
  </si>
  <si>
    <t>7/21/22 Press Release</t>
  </si>
  <si>
    <t>Invests robotic makeline + plant based protein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</si>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</sst>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\x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  <numFmt numFmtId="169" formatCode="#,##0,"/>
    <numFmt numFmtId="170" formatCode="0.0\x"/>
    <numFmt numFmtId="171" formatCode="0.000%"/>
    <numFmt numFmtId="172" formatCode="#,##0.00000,"/>
  </numFmts>
  <fonts count="11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Intel Clear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b/>
      <sz val="10"/>
      <color rgb="FF000000"/>
      <name val="Intel Clear"/>
      <family val="2"/>
    </font>
    <font>
      <sz val="8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4"/>
    <xf numFmtId="0" fontId="5" fillId="0" borderId="0" xfId="4" applyFont="1"/>
    <xf numFmtId="0" fontId="6" fillId="0" borderId="0" xfId="0" applyFont="1"/>
    <xf numFmtId="3" fontId="6" fillId="0" borderId="0" xfId="0" applyNumberFormat="1" applyFont="1"/>
    <xf numFmtId="14" fontId="6" fillId="0" borderId="0" xfId="0" applyNumberFormat="1" applyFont="1"/>
    <xf numFmtId="9" fontId="7" fillId="0" borderId="0" xfId="0" applyNumberFormat="1" applyFont="1"/>
    <xf numFmtId="0" fontId="7" fillId="0" borderId="0" xfId="0" applyFont="1"/>
    <xf numFmtId="170" fontId="6" fillId="0" borderId="0" xfId="1" applyNumberFormat="1" applyFont="1"/>
    <xf numFmtId="166" fontId="6" fillId="0" borderId="0" xfId="1" applyNumberFormat="1" applyFont="1"/>
    <xf numFmtId="3" fontId="7" fillId="0" borderId="0" xfId="0" applyNumberFormat="1" applyFont="1"/>
    <xf numFmtId="165" fontId="6" fillId="0" borderId="0" xfId="0" applyNumberFormat="1" applyFont="1"/>
    <xf numFmtId="14" fontId="5" fillId="0" borderId="0" xfId="4" applyNumberFormat="1" applyFont="1"/>
    <xf numFmtId="9" fontId="6" fillId="0" borderId="0" xfId="2" applyFont="1"/>
    <xf numFmtId="9" fontId="7" fillId="0" borderId="0" xfId="2" applyFont="1"/>
    <xf numFmtId="0" fontId="6" fillId="0" borderId="0" xfId="0" applyFont="1" applyAlignment="1">
      <alignment horizontal="left"/>
    </xf>
    <xf numFmtId="171" fontId="6" fillId="0" borderId="0" xfId="0" applyNumberFormat="1" applyFont="1"/>
    <xf numFmtId="10" fontId="6" fillId="0" borderId="0" xfId="0" applyNumberFormat="1" applyFont="1"/>
    <xf numFmtId="169" fontId="6" fillId="0" borderId="0" xfId="0" applyNumberFormat="1" applyFont="1" applyAlignment="1">
      <alignment horizontal="right"/>
    </xf>
    <xf numFmtId="3" fontId="6" fillId="0" borderId="0" xfId="0" applyNumberFormat="1" applyFont="1" applyAlignment="1"/>
    <xf numFmtId="3" fontId="6" fillId="0" borderId="0" xfId="0" applyNumberFormat="1" applyFont="1" applyAlignment="1">
      <alignment horizontal="right"/>
    </xf>
    <xf numFmtId="9" fontId="6" fillId="0" borderId="0" xfId="0" applyNumberFormat="1" applyFont="1"/>
    <xf numFmtId="3" fontId="7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/>
    <xf numFmtId="1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9" fontId="6" fillId="0" borderId="0" xfId="2" applyFont="1" applyAlignment="1">
      <alignment horizontal="right"/>
    </xf>
    <xf numFmtId="9" fontId="6" fillId="0" borderId="0" xfId="0" applyNumberFormat="1" applyFont="1" applyAlignment="1">
      <alignment horizontal="right"/>
    </xf>
    <xf numFmtId="3" fontId="7" fillId="0" borderId="0" xfId="2" applyNumberFormat="1" applyFont="1" applyAlignment="1">
      <alignment horizontal="left"/>
    </xf>
    <xf numFmtId="3" fontId="7" fillId="0" borderId="0" xfId="2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9" fontId="7" fillId="0" borderId="0" xfId="2" applyFont="1" applyAlignment="1">
      <alignment horizontal="right"/>
    </xf>
    <xf numFmtId="4" fontId="6" fillId="0" borderId="0" xfId="0" applyNumberFormat="1" applyFont="1" applyAlignment="1">
      <alignment horizontal="center"/>
    </xf>
    <xf numFmtId="4" fontId="6" fillId="0" borderId="0" xfId="0" applyNumberFormat="1" applyFont="1" applyAlignment="1"/>
    <xf numFmtId="4" fontId="6" fillId="0" borderId="0" xfId="0" applyNumberFormat="1" applyFont="1" applyAlignment="1">
      <alignment horizontal="right"/>
    </xf>
    <xf numFmtId="9" fontId="6" fillId="0" borderId="0" xfId="2" applyFont="1" applyAlignment="1"/>
    <xf numFmtId="9" fontId="7" fillId="0" borderId="0" xfId="2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0" applyNumberFormat="1" applyFont="1" applyAlignment="1"/>
    <xf numFmtId="9" fontId="7" fillId="0" borderId="0" xfId="0" applyNumberFormat="1" applyFont="1" applyAlignment="1"/>
    <xf numFmtId="169" fontId="6" fillId="0" borderId="0" xfId="0" applyNumberFormat="1" applyFont="1" applyAlignment="1"/>
    <xf numFmtId="9" fontId="6" fillId="0" borderId="0" xfId="2" applyFont="1" applyAlignment="1">
      <alignment horizontal="center"/>
    </xf>
    <xf numFmtId="10" fontId="7" fillId="0" borderId="0" xfId="2" applyNumberFormat="1" applyFont="1"/>
    <xf numFmtId="164" fontId="6" fillId="0" borderId="0" xfId="0" applyNumberFormat="1" applyFont="1"/>
    <xf numFmtId="3" fontId="8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9" fontId="6" fillId="0" borderId="0" xfId="2" applyNumberFormat="1" applyFont="1"/>
    <xf numFmtId="3" fontId="9" fillId="0" borderId="0" xfId="0" applyNumberFormat="1" applyFont="1" applyAlignment="1">
      <alignment horizontal="left"/>
    </xf>
    <xf numFmtId="3" fontId="6" fillId="0" borderId="0" xfId="0" quotePrefix="1" applyNumberFormat="1" applyFont="1" applyAlignment="1">
      <alignment horizontal="left"/>
    </xf>
    <xf numFmtId="168" fontId="6" fillId="0" borderId="0" xfId="2" applyNumberFormat="1" applyFont="1" applyAlignment="1">
      <alignment horizontal="right"/>
    </xf>
    <xf numFmtId="0" fontId="6" fillId="0" borderId="0" xfId="0" applyFont="1" applyAlignment="1">
      <alignment horizontal="right"/>
    </xf>
    <xf numFmtId="169" fontId="7" fillId="0" borderId="0" xfId="0" applyNumberFormat="1" applyFont="1" applyAlignment="1"/>
    <xf numFmtId="4" fontId="7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7" fontId="6" fillId="0" borderId="0" xfId="3" applyNumberFormat="1" applyFont="1" applyAlignment="1">
      <alignment horizontal="center"/>
    </xf>
    <xf numFmtId="3" fontId="7" fillId="0" borderId="0" xfId="1" applyNumberFormat="1" applyFont="1" applyAlignment="1">
      <alignment horizontal="center"/>
    </xf>
    <xf numFmtId="3" fontId="7" fillId="0" borderId="0" xfId="3" applyNumberFormat="1" applyFont="1" applyAlignment="1">
      <alignment horizontal="center"/>
    </xf>
    <xf numFmtId="3" fontId="6" fillId="0" borderId="0" xfId="3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7" fillId="0" borderId="0" xfId="2" applyNumberFormat="1" applyFont="1" applyAlignment="1">
      <alignment horizontal="center"/>
    </xf>
    <xf numFmtId="3" fontId="6" fillId="0" borderId="0" xfId="2" applyNumberFormat="1" applyFont="1" applyAlignment="1">
      <alignment horizontal="center"/>
    </xf>
    <xf numFmtId="9" fontId="6" fillId="0" borderId="0" xfId="3" applyNumberFormat="1" applyFont="1" applyAlignment="1">
      <alignment horizontal="center"/>
    </xf>
    <xf numFmtId="0" fontId="2" fillId="0" borderId="0" xfId="4" applyFont="1"/>
    <xf numFmtId="3" fontId="6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169" fontId="6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4" fontId="6" fillId="2" borderId="0" xfId="0" applyNumberFormat="1" applyFont="1" applyFill="1" applyAlignment="1">
      <alignment horizontal="right"/>
    </xf>
    <xf numFmtId="9" fontId="6" fillId="2" borderId="0" xfId="2" applyFont="1" applyFill="1" applyAlignment="1">
      <alignment horizontal="right"/>
    </xf>
    <xf numFmtId="9" fontId="7" fillId="2" borderId="0" xfId="2" applyFont="1" applyFill="1" applyAlignment="1">
      <alignment horizontal="right"/>
    </xf>
    <xf numFmtId="9" fontId="6" fillId="2" borderId="0" xfId="0" applyNumberFormat="1" applyFont="1" applyFill="1" applyAlignment="1">
      <alignment horizontal="right"/>
    </xf>
    <xf numFmtId="3" fontId="6" fillId="2" borderId="0" xfId="2" applyNumberFormat="1" applyFont="1" applyFill="1" applyAlignment="1">
      <alignment horizontal="right"/>
    </xf>
    <xf numFmtId="3" fontId="6" fillId="0" borderId="0" xfId="2" applyNumberFormat="1" applyFont="1" applyAlignment="1">
      <alignment horizontal="right"/>
    </xf>
    <xf numFmtId="3" fontId="7" fillId="2" borderId="0" xfId="0" applyNumberFormat="1" applyFont="1" applyFill="1" applyAlignment="1">
      <alignment horizontal="left"/>
    </xf>
    <xf numFmtId="1" fontId="7" fillId="0" borderId="0" xfId="0" applyNumberFormat="1" applyFont="1" applyAlignment="1">
      <alignment horizontal="left"/>
    </xf>
    <xf numFmtId="166" fontId="6" fillId="0" borderId="0" xfId="1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167" fontId="6" fillId="0" borderId="0" xfId="3" applyNumberFormat="1" applyFont="1" applyAlignment="1">
      <alignment horizontal="left"/>
    </xf>
    <xf numFmtId="3" fontId="7" fillId="0" borderId="0" xfId="3" applyNumberFormat="1" applyFont="1" applyAlignment="1">
      <alignment horizontal="left"/>
    </xf>
    <xf numFmtId="3" fontId="6" fillId="0" borderId="0" xfId="3" applyNumberFormat="1" applyFont="1" applyAlignment="1">
      <alignment horizontal="left"/>
    </xf>
    <xf numFmtId="9" fontId="6" fillId="0" borderId="0" xfId="3" applyNumberFormat="1" applyFont="1" applyAlignment="1">
      <alignment horizontal="left"/>
    </xf>
    <xf numFmtId="169" fontId="6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left"/>
    </xf>
    <xf numFmtId="9" fontId="6" fillId="0" borderId="0" xfId="2" applyFont="1" applyAlignment="1">
      <alignment horizontal="left"/>
    </xf>
    <xf numFmtId="9" fontId="7" fillId="0" borderId="0" xfId="2" applyFont="1" applyAlignment="1">
      <alignment horizontal="left"/>
    </xf>
    <xf numFmtId="3" fontId="6" fillId="0" borderId="0" xfId="2" applyNumberFormat="1" applyFont="1" applyAlignment="1">
      <alignment horizontal="left"/>
    </xf>
    <xf numFmtId="172" fontId="6" fillId="0" borderId="0" xfId="0" applyNumberFormat="1" applyFont="1" applyAlignment="1">
      <alignment horizontal="left"/>
    </xf>
    <xf numFmtId="169" fontId="7" fillId="0" borderId="0" xfId="2" applyNumberFormat="1" applyFont="1" applyAlignment="1">
      <alignment horizontal="left"/>
    </xf>
    <xf numFmtId="14" fontId="2" fillId="0" borderId="0" xfId="4" applyNumberFormat="1"/>
    <xf numFmtId="14" fontId="2" fillId="0" borderId="0" xfId="4" applyNumberFormat="1" applyAlignment="1">
      <alignment horizontal="left"/>
    </xf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11550</xdr:colOff>
      <xdr:row>0</xdr:row>
      <xdr:rowOff>39077</xdr:rowOff>
    </xdr:from>
    <xdr:to>
      <xdr:col>46</xdr:col>
      <xdr:colOff>25524</xdr:colOff>
      <xdr:row>157</xdr:row>
      <xdr:rowOff>52917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8CECD7-DC57-D041-BDE7-2C9FCF88735B}"/>
            </a:ext>
          </a:extLst>
        </xdr:cNvPr>
        <xdr:cNvCxnSpPr/>
      </xdr:nvCxnSpPr>
      <xdr:spPr>
        <a:xfrm>
          <a:off x="22669844" y="39077"/>
          <a:ext cx="13974" cy="22037134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91092</xdr:colOff>
      <xdr:row>0</xdr:row>
      <xdr:rowOff>0</xdr:rowOff>
    </xdr:from>
    <xdr:to>
      <xdr:col>27</xdr:col>
      <xdr:colOff>91092</xdr:colOff>
      <xdr:row>108</xdr:row>
      <xdr:rowOff>80945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4C0C761-0B6B-D340-8049-AFDE5458879C}"/>
            </a:ext>
          </a:extLst>
        </xdr:cNvPr>
        <xdr:cNvCxnSpPr/>
      </xdr:nvCxnSpPr>
      <xdr:spPr>
        <a:xfrm flipH="1">
          <a:off x="14534456" y="0"/>
          <a:ext cx="0" cy="18784581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693615</xdr:colOff>
      <xdr:row>0</xdr:row>
      <xdr:rowOff>39077</xdr:rowOff>
    </xdr:from>
    <xdr:to>
      <xdr:col>32</xdr:col>
      <xdr:colOff>702129</xdr:colOff>
      <xdr:row>68</xdr:row>
      <xdr:rowOff>159779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B3343BA-CFE2-D24E-81DC-4F43EFDFCA3C}"/>
            </a:ext>
          </a:extLst>
        </xdr:cNvPr>
        <xdr:cNvCxnSpPr/>
      </xdr:nvCxnSpPr>
      <xdr:spPr>
        <a:xfrm>
          <a:off x="18346615" y="39077"/>
          <a:ext cx="8514" cy="16465602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434051</xdr:colOff>
      <xdr:row>0</xdr:row>
      <xdr:rowOff>0</xdr:rowOff>
    </xdr:from>
    <xdr:to>
      <xdr:col>28</xdr:col>
      <xdr:colOff>459451</xdr:colOff>
      <xdr:row>78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1CCD686-6E81-A648-B75A-85B951C8F2E9}"/>
            </a:ext>
          </a:extLst>
        </xdr:cNvPr>
        <xdr:cNvCxnSpPr/>
      </xdr:nvCxnSpPr>
      <xdr:spPr>
        <a:xfrm>
          <a:off x="16188481" y="0"/>
          <a:ext cx="25400" cy="1379316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r.chipotle.com/2022-03-16-CHIPOTLE-TESTS-AI-KITCHEN-ASSISTANT,-CHIPPY" TargetMode="External"/><Relationship Id="rId13" Type="http://schemas.openxmlformats.org/officeDocument/2006/relationships/hyperlink" Target="https://ir.chipotle.com/2022-03-28-GUAC-MODE-IS-BACK-CHIPOTLE-PARTNERS-WITH-CASH-APP-SO-FANS-DONT-LEAVE-MONEY-ON-THE-TABLE" TargetMode="External"/><Relationship Id="rId18" Type="http://schemas.openxmlformats.org/officeDocument/2006/relationships/hyperlink" Target="https://ir.chipotle.com/2022-06-16-CHIPOTLE-TESTS-MEXICAN-CAULIFLOWER-RICE" TargetMode="External"/><Relationship Id="rId3" Type="http://schemas.openxmlformats.org/officeDocument/2006/relationships/hyperlink" Target="https://ir.chipotle.com/2021-08-19-Chipotle-Tests-Plant-Based-Chorizo-In-Select-Markets" TargetMode="External"/><Relationship Id="rId21" Type="http://schemas.openxmlformats.org/officeDocument/2006/relationships/hyperlink" Target="https://ir.chipotle.com/2022-09-27-CHIPOTLE-PILOTS-ADVANCED-TECHNOLOGY-TO-ENHANCE-THE-EMPLOYEE-AND-GUEST-EXPERIENCE" TargetMode="External"/><Relationship Id="rId7" Type="http://schemas.openxmlformats.org/officeDocument/2006/relationships/hyperlink" Target="https://ir.chipotle.com/2021-12-16-CHIPOTLE-TO-OPEN-FIRST-CHIPOTLANE-DIGITAL-KITCHEN" TargetMode="External"/><Relationship Id="rId12" Type="http://schemas.openxmlformats.org/officeDocument/2006/relationships/hyperlink" Target="https://ir.chipotle.com/2022-04-19-CHIPOTLE-ANNOUNCES-50-MILLION-NEW-VENTURE-FUND,-CULTIVATE-NEXT" TargetMode="External"/><Relationship Id="rId17" Type="http://schemas.openxmlformats.org/officeDocument/2006/relationships/hyperlink" Target="https://ir.chipotle.com/2022-06-09-CHIPOTLE-INTRODUCES-FIRST-SEASONAL-DRINK,-WATERMELON-LIMEADE-BY-TRACTOR-BEVERAGE-CO" TargetMode="External"/><Relationship Id="rId2" Type="http://schemas.openxmlformats.org/officeDocument/2006/relationships/hyperlink" Target="https://ir.chipotle.com/2021-09-01-Chipotle-Continues-To-Evolve-Its-Loyalty-Program-And-App-Experience-With-Record-Digital-Sales" TargetMode="External"/><Relationship Id="rId16" Type="http://schemas.openxmlformats.org/officeDocument/2006/relationships/hyperlink" Target="https://ir.chipotle.com/2022-05-02-CHIPOTLE-TESTS-GARLIC-GUAJILLO-STEAK-IN-SELECT-MARKETS" TargetMode="External"/><Relationship Id="rId20" Type="http://schemas.openxmlformats.org/officeDocument/2006/relationships/hyperlink" Target="https://ir.chipotle.com/2022-10-11-BOORITO-RETURNS-TO-CHIPOTLE-RESTAURANTS-FOR-THE-FIRST-TIME-SINCE-2019" TargetMode="External"/><Relationship Id="rId1" Type="http://schemas.openxmlformats.org/officeDocument/2006/relationships/hyperlink" Target="https://ir.chipotle.com/2021-09-09-Chipotle-Mexican-Grill-To-Announce-Third-Quarter-2021-Results-On-October-21,-2021" TargetMode="External"/><Relationship Id="rId6" Type="http://schemas.openxmlformats.org/officeDocument/2006/relationships/hyperlink" Target="https://ir.chipotle.com/2022-01-03-CHIPOTLE-LAUNCHES-PLANT-BASED-CHORIZO-AND-NEW-LIFESTYLE-BOWLS" TargetMode="External"/><Relationship Id="rId11" Type="http://schemas.openxmlformats.org/officeDocument/2006/relationships/hyperlink" Target="https://ir.chipotle.com/2022-02-15-CHIPOTLE-ACHIEVES-3,000TH-RESTAURANT-MILESTONE-WITH-A-CHIPOTLANE-R-IN-PHOENIX" TargetMode="External"/><Relationship Id="rId5" Type="http://schemas.openxmlformats.org/officeDocument/2006/relationships/hyperlink" Target="https://ir.chipotle.com/2021-05-10-Chipotle-Increases-Wages-Resulting-In-15-Per-Hour-Average-Wage-And-Provides-Path-To-Six-Figure-Compensation-In-~3-Years" TargetMode="External"/><Relationship Id="rId15" Type="http://schemas.openxmlformats.org/officeDocument/2006/relationships/hyperlink" Target="https://ir.chipotle.com/2022-04-26-CHIPOTLE-ANNOUNCES-FIRST-QUARTER-2022-RESULTS" TargetMode="External"/><Relationship Id="rId23" Type="http://schemas.openxmlformats.org/officeDocument/2006/relationships/hyperlink" Target="https://ir.chipotle.com/2022-09-07-CHIPOTLE-BRINGS-TOGETHER-THE-88-CLUB-TO-LAUNCH-NATIONAL-TV-AD-AND-NEW-MENU-ITEMS" TargetMode="External"/><Relationship Id="rId10" Type="http://schemas.openxmlformats.org/officeDocument/2006/relationships/hyperlink" Target="https://ir.chipotle.com/2022-03-10-CHIPOTLE-LAUNCHES-POLLO-ASADO-IN-THE-U-S-AND-CANADA" TargetMode="External"/><Relationship Id="rId19" Type="http://schemas.openxmlformats.org/officeDocument/2006/relationships/hyperlink" Target="https://ir.chipotle.com/2022-06-28-CHIPOTLE-TEAMS-UP-WITH-U-S-SOCCER-STARS-ROSE-LAVELLE-AND-SOPHIA-SMITH-TO-LAUNCH-NEW-MENU-ITEMS-AHEAD-OF-QUALIFYING-GAMES" TargetMode="External"/><Relationship Id="rId4" Type="http://schemas.openxmlformats.org/officeDocument/2006/relationships/hyperlink" Target="https://ir.chipotle.com/2021-07-20-Chipotle-Announces-Second-Quarter-2021-Results" TargetMode="External"/><Relationship Id="rId9" Type="http://schemas.openxmlformats.org/officeDocument/2006/relationships/hyperlink" Target="https://misorobotics.com/" TargetMode="External"/><Relationship Id="rId14" Type="http://schemas.openxmlformats.org/officeDocument/2006/relationships/hyperlink" Target="https://ir.chipotle.com/2022-04-05-FANS-CAN-ROLL-BURRITOS-AT-CHIPOTLE-IN-THE-METAVERSE-TO-EARN-BURRITOS-IN-REAL-LIFE" TargetMode="External"/><Relationship Id="rId22" Type="http://schemas.openxmlformats.org/officeDocument/2006/relationships/hyperlink" Target="https://ir.chipotle.com/2022-09-13-CHIPOTLE-INTRODUCES-NEW-GARLIC-GUAJILLO-STEAK-ACROSS-THE-U-S-,-CANADA-AND-THE-METAVER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8013-9F59-6546-8AA7-191A6CA15E5B}">
  <dimension ref="A1:O98"/>
  <sheetViews>
    <sheetView zoomScale="400" zoomScaleNormal="180" workbookViewId="0">
      <selection activeCell="B9" sqref="B9"/>
    </sheetView>
  </sheetViews>
  <sheetFormatPr baseColWidth="10" defaultRowHeight="14"/>
  <cols>
    <col min="1" max="1" width="10.83203125" style="3"/>
    <col min="2" max="2" width="22" style="3" bestFit="1" customWidth="1"/>
    <col min="3" max="3" width="10.83203125" style="3"/>
    <col min="4" max="4" width="9" style="3" customWidth="1"/>
    <col min="5" max="5" width="10.83203125" style="3"/>
    <col min="6" max="6" width="6.6640625" style="3" bestFit="1" customWidth="1"/>
    <col min="7" max="7" width="10.33203125" style="4" bestFit="1" customWidth="1"/>
    <col min="8" max="8" width="5.5" style="3" bestFit="1" customWidth="1"/>
    <col min="9" max="9" width="10.83203125" style="3"/>
    <col min="10" max="10" width="10.6640625" style="3" customWidth="1"/>
    <col min="11" max="11" width="10.83203125" style="3"/>
    <col min="12" max="12" width="12.33203125" style="3" customWidth="1"/>
    <col min="13" max="13" width="11.33203125" style="3" bestFit="1" customWidth="1"/>
    <col min="14" max="14" width="8.1640625" style="3" bestFit="1" customWidth="1"/>
    <col min="15" max="15" width="7.6640625" style="4" bestFit="1" customWidth="1"/>
    <col min="16" max="16384" width="10.83203125" style="3"/>
  </cols>
  <sheetData>
    <row r="1" spans="1:13">
      <c r="A1" s="2" t="s">
        <v>218</v>
      </c>
    </row>
    <row r="2" spans="1:13">
      <c r="A2" s="2" t="s">
        <v>219</v>
      </c>
      <c r="D2" s="5"/>
      <c r="G2" s="6"/>
    </row>
    <row r="3" spans="1:13">
      <c r="A3" s="2" t="s">
        <v>220</v>
      </c>
      <c r="D3" s="3" t="s">
        <v>249</v>
      </c>
      <c r="F3" s="7"/>
      <c r="H3" s="17"/>
    </row>
    <row r="4" spans="1:13">
      <c r="A4" s="1" t="s">
        <v>16</v>
      </c>
      <c r="F4" s="3" t="s">
        <v>12</v>
      </c>
      <c r="G4" s="4">
        <v>1570.61</v>
      </c>
      <c r="J4" s="4"/>
      <c r="L4" s="3" t="s">
        <v>221</v>
      </c>
      <c r="M4" s="8">
        <v>4.5</v>
      </c>
    </row>
    <row r="5" spans="1:13">
      <c r="F5" s="3" t="s">
        <v>13</v>
      </c>
      <c r="G5" s="4">
        <v>27721.112000000001</v>
      </c>
      <c r="H5" s="3" t="s">
        <v>197</v>
      </c>
      <c r="J5" s="4"/>
      <c r="L5" s="3" t="s">
        <v>222</v>
      </c>
      <c r="M5" s="9">
        <f>+Model!AV14</f>
        <v>10218987.798194401</v>
      </c>
    </row>
    <row r="6" spans="1:13">
      <c r="F6" s="3" t="s">
        <v>14</v>
      </c>
      <c r="G6" s="4">
        <f>+G4*G5</f>
        <v>43539055.718319997</v>
      </c>
      <c r="J6" s="4"/>
      <c r="L6" s="3" t="s">
        <v>17</v>
      </c>
      <c r="M6" s="9">
        <f>+M4*M5</f>
        <v>45985445.091874808</v>
      </c>
    </row>
    <row r="7" spans="1:13">
      <c r="F7" s="3" t="s">
        <v>15</v>
      </c>
      <c r="G7" s="4">
        <f>366623+442620+30974</f>
        <v>840217</v>
      </c>
      <c r="H7" s="3" t="str">
        <f>+H5</f>
        <v>Q322</v>
      </c>
      <c r="J7" s="4"/>
      <c r="L7" s="3" t="s">
        <v>114</v>
      </c>
      <c r="M7" s="9">
        <f>+G7</f>
        <v>840217</v>
      </c>
    </row>
    <row r="8" spans="1:13">
      <c r="F8" s="3" t="s">
        <v>16</v>
      </c>
      <c r="G8" s="4">
        <v>0</v>
      </c>
      <c r="H8" s="3" t="str">
        <f>+H7</f>
        <v>Q322</v>
      </c>
      <c r="J8" s="4"/>
      <c r="L8" s="3" t="s">
        <v>16</v>
      </c>
      <c r="M8" s="9">
        <f>+G8</f>
        <v>0</v>
      </c>
    </row>
    <row r="9" spans="1:13">
      <c r="F9" s="3" t="s">
        <v>17</v>
      </c>
      <c r="G9" s="4">
        <f>+G6-G7+G8</f>
        <v>42698838.718319997</v>
      </c>
      <c r="J9" s="4"/>
      <c r="L9" s="3" t="s">
        <v>14</v>
      </c>
      <c r="M9" s="10">
        <f>+M6+M7-M8</f>
        <v>46825662.091874808</v>
      </c>
    </row>
    <row r="10" spans="1:13">
      <c r="F10" s="3" t="s">
        <v>267</v>
      </c>
      <c r="G10" s="11"/>
      <c r="L10" s="3" t="s">
        <v>13</v>
      </c>
      <c r="M10" s="9">
        <f>+G5</f>
        <v>27721.112000000001</v>
      </c>
    </row>
    <row r="11" spans="1:13">
      <c r="G11" s="11"/>
      <c r="L11" s="3" t="s">
        <v>12</v>
      </c>
      <c r="M11" s="9">
        <f>+M9/M10</f>
        <v>1689.1696874163924</v>
      </c>
    </row>
    <row r="13" spans="1:13">
      <c r="D13" s="7"/>
    </row>
    <row r="14" spans="1:13">
      <c r="B14" s="7" t="s">
        <v>101</v>
      </c>
      <c r="C14" s="7" t="s">
        <v>103</v>
      </c>
    </row>
    <row r="15" spans="1:13">
      <c r="B15" s="97" t="s">
        <v>253</v>
      </c>
      <c r="C15" s="3" t="s">
        <v>254</v>
      </c>
    </row>
    <row r="16" spans="1:13">
      <c r="B16" s="98" t="s">
        <v>255</v>
      </c>
      <c r="C16" s="3" t="s">
        <v>256</v>
      </c>
    </row>
    <row r="17" spans="2:3">
      <c r="B17" s="1" t="s">
        <v>257</v>
      </c>
      <c r="C17" s="3" t="s">
        <v>258</v>
      </c>
    </row>
    <row r="18" spans="2:3">
      <c r="B18" s="1" t="s">
        <v>259</v>
      </c>
      <c r="C18" s="3" t="s">
        <v>260</v>
      </c>
    </row>
    <row r="19" spans="2:3">
      <c r="B19" s="1" t="s">
        <v>261</v>
      </c>
      <c r="C19" s="3" t="s">
        <v>262</v>
      </c>
    </row>
    <row r="20" spans="2:3">
      <c r="B20" s="1" t="s">
        <v>263</v>
      </c>
      <c r="C20" s="3" t="s">
        <v>264</v>
      </c>
    </row>
    <row r="21" spans="2:3">
      <c r="B21" s="1" t="s">
        <v>265</v>
      </c>
      <c r="C21" s="3" t="s">
        <v>266</v>
      </c>
    </row>
    <row r="22" spans="2:3">
      <c r="B22" s="69" t="s">
        <v>246</v>
      </c>
      <c r="C22" s="3" t="s">
        <v>247</v>
      </c>
    </row>
    <row r="23" spans="2:3">
      <c r="B23" s="1" t="s">
        <v>242</v>
      </c>
      <c r="C23" s="3" t="s">
        <v>243</v>
      </c>
    </row>
    <row r="24" spans="2:3">
      <c r="B24" s="1" t="s">
        <v>240</v>
      </c>
      <c r="C24" s="3" t="s">
        <v>241</v>
      </c>
    </row>
    <row r="25" spans="2:3">
      <c r="B25" s="1" t="s">
        <v>238</v>
      </c>
      <c r="C25" s="3" t="s">
        <v>239</v>
      </c>
    </row>
    <row r="26" spans="2:3">
      <c r="B26" s="1" t="s">
        <v>236</v>
      </c>
      <c r="C26" s="3" t="s">
        <v>237</v>
      </c>
    </row>
    <row r="27" spans="2:3">
      <c r="B27" s="2" t="s">
        <v>223</v>
      </c>
      <c r="C27" s="3" t="s">
        <v>224</v>
      </c>
    </row>
    <row r="28" spans="2:3">
      <c r="B28" s="2" t="s">
        <v>229</v>
      </c>
      <c r="C28" s="3" t="s">
        <v>230</v>
      </c>
    </row>
    <row r="29" spans="2:3">
      <c r="B29" s="2" t="s">
        <v>227</v>
      </c>
      <c r="C29" s="3" t="s">
        <v>228</v>
      </c>
    </row>
    <row r="30" spans="2:3">
      <c r="B30" s="2" t="s">
        <v>225</v>
      </c>
      <c r="C30" s="3" t="s">
        <v>226</v>
      </c>
    </row>
    <row r="31" spans="2:3">
      <c r="B31" s="12" t="s">
        <v>202</v>
      </c>
      <c r="C31" s="3" t="s">
        <v>203</v>
      </c>
    </row>
    <row r="32" spans="2:3">
      <c r="B32" s="2" t="s">
        <v>206</v>
      </c>
      <c r="C32" s="3" t="s">
        <v>207</v>
      </c>
    </row>
    <row r="33" spans="2:14">
      <c r="B33" s="2" t="s">
        <v>208</v>
      </c>
      <c r="C33" s="3" t="s">
        <v>209</v>
      </c>
    </row>
    <row r="34" spans="2:14">
      <c r="B34" s="12" t="s">
        <v>200</v>
      </c>
      <c r="C34" s="3" t="s">
        <v>201</v>
      </c>
    </row>
    <row r="35" spans="2:14">
      <c r="B35" s="12" t="s">
        <v>179</v>
      </c>
      <c r="C35" s="3" t="s">
        <v>180</v>
      </c>
    </row>
    <row r="36" spans="2:14">
      <c r="B36" s="2" t="s">
        <v>181</v>
      </c>
      <c r="C36" s="3" t="s">
        <v>182</v>
      </c>
    </row>
    <row r="37" spans="2:14">
      <c r="B37" s="2" t="s">
        <v>102</v>
      </c>
      <c r="C37" s="3" t="s">
        <v>104</v>
      </c>
    </row>
    <row r="38" spans="2:14">
      <c r="B38" s="2" t="s">
        <v>105</v>
      </c>
      <c r="C38" s="3" t="s">
        <v>106</v>
      </c>
    </row>
    <row r="39" spans="2:14">
      <c r="B39" s="2" t="s">
        <v>107</v>
      </c>
      <c r="C39" s="3" t="s">
        <v>108</v>
      </c>
    </row>
    <row r="40" spans="2:14">
      <c r="B40" s="2" t="s">
        <v>109</v>
      </c>
      <c r="C40" s="3" t="s">
        <v>110</v>
      </c>
    </row>
    <row r="41" spans="2:14">
      <c r="B41" s="2" t="s">
        <v>111</v>
      </c>
      <c r="C41" s="3" t="s">
        <v>112</v>
      </c>
    </row>
    <row r="44" spans="2:14">
      <c r="B44" s="7" t="s">
        <v>210</v>
      </c>
    </row>
    <row r="45" spans="2:14">
      <c r="B45" s="7" t="s">
        <v>248</v>
      </c>
    </row>
    <row r="46" spans="2:14">
      <c r="B46" s="2" t="s">
        <v>204</v>
      </c>
      <c r="C46" s="3" t="s">
        <v>205</v>
      </c>
    </row>
    <row r="47" spans="2:14">
      <c r="B47" s="3" t="s">
        <v>231</v>
      </c>
    </row>
    <row r="48" spans="2:14">
      <c r="L48" s="7" t="s">
        <v>99</v>
      </c>
      <c r="N48" s="7" t="s">
        <v>97</v>
      </c>
    </row>
    <row r="49" spans="12:15">
      <c r="L49" s="3" t="s">
        <v>48</v>
      </c>
      <c r="M49" s="3">
        <v>19</v>
      </c>
      <c r="N49" s="13">
        <f t="shared" ref="N49:N96" si="0">+M49/$M$97</f>
        <v>6.9444444444444441E-3</v>
      </c>
      <c r="O49" s="4">
        <f t="shared" ref="O49:O96" si="1">+$M$98*N49</f>
        <v>13142.625</v>
      </c>
    </row>
    <row r="50" spans="12:15">
      <c r="L50" s="3" t="s">
        <v>49</v>
      </c>
      <c r="M50" s="3">
        <v>84</v>
      </c>
      <c r="N50" s="13">
        <f t="shared" si="0"/>
        <v>3.0701754385964911E-2</v>
      </c>
      <c r="O50" s="4">
        <f t="shared" si="1"/>
        <v>58104.23684210526</v>
      </c>
    </row>
    <row r="51" spans="12:15">
      <c r="L51" s="3" t="s">
        <v>50</v>
      </c>
      <c r="M51" s="3">
        <v>6</v>
      </c>
      <c r="N51" s="13">
        <f t="shared" si="0"/>
        <v>2.1929824561403508E-3</v>
      </c>
      <c r="O51" s="4">
        <f t="shared" si="1"/>
        <v>4150.3026315789475</v>
      </c>
    </row>
    <row r="52" spans="12:15">
      <c r="L52" s="7" t="s">
        <v>53</v>
      </c>
      <c r="M52" s="7">
        <v>430</v>
      </c>
      <c r="N52" s="14">
        <f t="shared" si="0"/>
        <v>0.15716374269005848</v>
      </c>
      <c r="O52" s="10">
        <f t="shared" si="1"/>
        <v>297438.35526315786</v>
      </c>
    </row>
    <row r="53" spans="12:15">
      <c r="L53" s="3" t="s">
        <v>51</v>
      </c>
      <c r="M53" s="3">
        <v>80</v>
      </c>
      <c r="N53" s="13">
        <f t="shared" si="0"/>
        <v>2.9239766081871343E-2</v>
      </c>
      <c r="O53" s="4">
        <f t="shared" si="1"/>
        <v>55337.368421052626</v>
      </c>
    </row>
    <row r="54" spans="12:15">
      <c r="L54" s="3" t="s">
        <v>52</v>
      </c>
      <c r="M54" s="3">
        <v>29</v>
      </c>
      <c r="N54" s="13">
        <f t="shared" si="0"/>
        <v>1.0599415204678362E-2</v>
      </c>
      <c r="O54" s="4">
        <f t="shared" si="1"/>
        <v>20059.796052631576</v>
      </c>
    </row>
    <row r="55" spans="12:15">
      <c r="L55" s="3" t="s">
        <v>54</v>
      </c>
      <c r="M55" s="3">
        <v>9</v>
      </c>
      <c r="N55" s="13">
        <f t="shared" si="0"/>
        <v>3.2894736842105261E-3</v>
      </c>
      <c r="O55" s="4">
        <f t="shared" si="1"/>
        <v>6225.4539473684208</v>
      </c>
    </row>
    <row r="56" spans="12:15">
      <c r="L56" s="3" t="s">
        <v>55</v>
      </c>
      <c r="M56" s="3">
        <v>188</v>
      </c>
      <c r="N56" s="13">
        <f t="shared" si="0"/>
        <v>6.8713450292397657E-2</v>
      </c>
      <c r="O56" s="4">
        <f t="shared" si="1"/>
        <v>130042.81578947368</v>
      </c>
    </row>
    <row r="57" spans="12:15">
      <c r="L57" s="3" t="s">
        <v>56</v>
      </c>
      <c r="M57" s="3">
        <v>68</v>
      </c>
      <c r="N57" s="13">
        <f t="shared" si="0"/>
        <v>2.4853801169590642E-2</v>
      </c>
      <c r="O57" s="4">
        <f t="shared" si="1"/>
        <v>47036.763157894733</v>
      </c>
    </row>
    <row r="58" spans="12:15">
      <c r="L58" s="3" t="s">
        <v>57</v>
      </c>
      <c r="M58" s="3">
        <v>4</v>
      </c>
      <c r="N58" s="13">
        <f t="shared" si="0"/>
        <v>1.4619883040935672E-3</v>
      </c>
      <c r="O58" s="4">
        <f t="shared" si="1"/>
        <v>2766.8684210526312</v>
      </c>
    </row>
    <row r="59" spans="12:15">
      <c r="L59" s="3" t="s">
        <v>58</v>
      </c>
      <c r="M59" s="3">
        <v>148</v>
      </c>
      <c r="N59" s="13">
        <f t="shared" si="0"/>
        <v>5.4093567251461985E-2</v>
      </c>
      <c r="O59" s="4">
        <f t="shared" si="1"/>
        <v>102374.13157894736</v>
      </c>
    </row>
    <row r="60" spans="12:15">
      <c r="L60" s="3" t="s">
        <v>59</v>
      </c>
      <c r="M60" s="3">
        <v>10</v>
      </c>
      <c r="N60" s="13">
        <f t="shared" si="0"/>
        <v>3.6549707602339179E-3</v>
      </c>
      <c r="O60" s="4">
        <f t="shared" si="1"/>
        <v>6917.1710526315783</v>
      </c>
    </row>
    <row r="61" spans="12:15">
      <c r="L61" s="3" t="s">
        <v>60</v>
      </c>
      <c r="M61" s="3">
        <v>31</v>
      </c>
      <c r="N61" s="13">
        <f t="shared" si="0"/>
        <v>1.1330409356725146E-2</v>
      </c>
      <c r="O61" s="4">
        <f t="shared" si="1"/>
        <v>21443.230263157893</v>
      </c>
    </row>
    <row r="62" spans="12:15">
      <c r="L62" s="3" t="s">
        <v>61</v>
      </c>
      <c r="M62" s="3">
        <v>22</v>
      </c>
      <c r="N62" s="13">
        <f t="shared" si="0"/>
        <v>8.0409356725146194E-3</v>
      </c>
      <c r="O62" s="4">
        <f t="shared" si="1"/>
        <v>15217.776315789473</v>
      </c>
    </row>
    <row r="63" spans="12:15">
      <c r="L63" s="3" t="s">
        <v>62</v>
      </c>
      <c r="M63" s="3">
        <v>11</v>
      </c>
      <c r="N63" s="13">
        <f t="shared" si="0"/>
        <v>4.0204678362573097E-3</v>
      </c>
      <c r="O63" s="4">
        <f t="shared" si="1"/>
        <v>7608.8881578947367</v>
      </c>
    </row>
    <row r="64" spans="12:15">
      <c r="L64" s="3" t="s">
        <v>63</v>
      </c>
      <c r="M64" s="3">
        <v>6</v>
      </c>
      <c r="N64" s="13">
        <f t="shared" si="0"/>
        <v>2.1929824561403508E-3</v>
      </c>
      <c r="O64" s="4">
        <f t="shared" si="1"/>
        <v>4150.3026315789475</v>
      </c>
    </row>
    <row r="65" spans="12:15">
      <c r="L65" s="3" t="s">
        <v>64</v>
      </c>
      <c r="M65" s="3">
        <v>96</v>
      </c>
      <c r="N65" s="13">
        <f t="shared" si="0"/>
        <v>3.5087719298245612E-2</v>
      </c>
      <c r="O65" s="4">
        <f t="shared" si="1"/>
        <v>66404.84210526316</v>
      </c>
    </row>
    <row r="66" spans="12:15">
      <c r="L66" s="3" t="s">
        <v>65</v>
      </c>
      <c r="M66" s="3">
        <v>64</v>
      </c>
      <c r="N66" s="13">
        <f t="shared" si="0"/>
        <v>2.3391812865497075E-2</v>
      </c>
      <c r="O66" s="4">
        <f t="shared" si="1"/>
        <v>44269.8947368421</v>
      </c>
    </row>
    <row r="67" spans="12:15">
      <c r="L67" s="3" t="s">
        <v>66</v>
      </c>
      <c r="M67" s="3">
        <v>44</v>
      </c>
      <c r="N67" s="13">
        <f t="shared" si="0"/>
        <v>1.6081871345029239E-2</v>
      </c>
      <c r="O67" s="4">
        <f t="shared" si="1"/>
        <v>30435.552631578947</v>
      </c>
    </row>
    <row r="68" spans="12:15">
      <c r="L68" s="3" t="s">
        <v>67</v>
      </c>
      <c r="M68" s="3">
        <v>71</v>
      </c>
      <c r="N68" s="13">
        <f t="shared" si="0"/>
        <v>2.5950292397660817E-2</v>
      </c>
      <c r="O68" s="4">
        <f t="shared" si="1"/>
        <v>49111.914473684206</v>
      </c>
    </row>
    <row r="69" spans="12:15">
      <c r="L69" s="3" t="s">
        <v>68</v>
      </c>
      <c r="M69" s="3">
        <v>2</v>
      </c>
      <c r="N69" s="13">
        <f t="shared" si="0"/>
        <v>7.3099415204678359E-4</v>
      </c>
      <c r="O69" s="4">
        <f t="shared" si="1"/>
        <v>1383.4342105263156</v>
      </c>
    </row>
    <row r="70" spans="12:15">
      <c r="L70" s="3" t="s">
        <v>69</v>
      </c>
      <c r="M70" s="3">
        <v>40</v>
      </c>
      <c r="N70" s="13">
        <f t="shared" si="0"/>
        <v>1.4619883040935672E-2</v>
      </c>
      <c r="O70" s="4">
        <f t="shared" si="1"/>
        <v>27668.684210526313</v>
      </c>
    </row>
    <row r="71" spans="12:15">
      <c r="L71" s="3" t="s">
        <v>70</v>
      </c>
      <c r="M71" s="3">
        <v>3</v>
      </c>
      <c r="N71" s="13">
        <f t="shared" si="0"/>
        <v>1.0964912280701754E-3</v>
      </c>
      <c r="O71" s="4">
        <f t="shared" si="1"/>
        <v>2075.1513157894738</v>
      </c>
    </row>
    <row r="72" spans="12:15">
      <c r="L72" s="3" t="s">
        <v>71</v>
      </c>
      <c r="M72" s="3">
        <v>12</v>
      </c>
      <c r="N72" s="13">
        <f t="shared" si="0"/>
        <v>4.3859649122807015E-3</v>
      </c>
      <c r="O72" s="4">
        <f t="shared" si="1"/>
        <v>8300.605263157895</v>
      </c>
    </row>
    <row r="73" spans="12:15">
      <c r="L73" s="3" t="s">
        <v>72</v>
      </c>
      <c r="M73" s="3">
        <v>30</v>
      </c>
      <c r="N73" s="13">
        <f t="shared" si="0"/>
        <v>1.0964912280701754E-2</v>
      </c>
      <c r="O73" s="4">
        <f t="shared" si="1"/>
        <v>20751.513157894737</v>
      </c>
    </row>
    <row r="74" spans="12:15">
      <c r="L74" s="3" t="s">
        <v>73</v>
      </c>
      <c r="M74" s="3">
        <v>11</v>
      </c>
      <c r="N74" s="13">
        <f t="shared" si="0"/>
        <v>4.0204678362573097E-3</v>
      </c>
      <c r="O74" s="4">
        <f t="shared" si="1"/>
        <v>7608.8881578947367</v>
      </c>
    </row>
    <row r="75" spans="12:15">
      <c r="L75" s="3" t="s">
        <v>74</v>
      </c>
      <c r="M75" s="3">
        <v>78</v>
      </c>
      <c r="N75" s="13">
        <f t="shared" si="0"/>
        <v>2.850877192982456E-2</v>
      </c>
      <c r="O75" s="4">
        <f t="shared" si="1"/>
        <v>53953.934210526313</v>
      </c>
    </row>
    <row r="76" spans="12:15">
      <c r="L76" s="3" t="s">
        <v>75</v>
      </c>
      <c r="M76" s="3">
        <v>10</v>
      </c>
      <c r="N76" s="13">
        <f t="shared" si="0"/>
        <v>3.6549707602339179E-3</v>
      </c>
      <c r="O76" s="4">
        <f t="shared" si="1"/>
        <v>6917.1710526315783</v>
      </c>
    </row>
    <row r="77" spans="12:15">
      <c r="L77" s="3" t="s">
        <v>76</v>
      </c>
      <c r="M77" s="3">
        <v>176</v>
      </c>
      <c r="N77" s="13">
        <f t="shared" si="0"/>
        <v>6.4327485380116955E-2</v>
      </c>
      <c r="O77" s="4">
        <f t="shared" si="1"/>
        <v>121742.21052631579</v>
      </c>
    </row>
    <row r="78" spans="12:15">
      <c r="L78" s="3" t="s">
        <v>77</v>
      </c>
      <c r="M78" s="3">
        <v>67</v>
      </c>
      <c r="N78" s="13">
        <f t="shared" si="0"/>
        <v>2.448830409356725E-2</v>
      </c>
      <c r="O78" s="4">
        <f t="shared" si="1"/>
        <v>46345.046052631573</v>
      </c>
    </row>
    <row r="79" spans="12:15">
      <c r="L79" s="3" t="s">
        <v>78</v>
      </c>
      <c r="M79" s="3">
        <v>2</v>
      </c>
      <c r="N79" s="13">
        <f t="shared" si="0"/>
        <v>7.3099415204678359E-4</v>
      </c>
      <c r="O79" s="4">
        <f t="shared" si="1"/>
        <v>1383.4342105263156</v>
      </c>
    </row>
    <row r="80" spans="12:15">
      <c r="L80" s="3" t="s">
        <v>79</v>
      </c>
      <c r="M80" s="3">
        <v>202</v>
      </c>
      <c r="N80" s="13">
        <f t="shared" si="0"/>
        <v>7.3830409356725149E-2</v>
      </c>
      <c r="O80" s="4">
        <f t="shared" si="1"/>
        <v>139726.85526315789</v>
      </c>
    </row>
    <row r="81" spans="12:15">
      <c r="L81" s="3" t="s">
        <v>80</v>
      </c>
      <c r="M81" s="3">
        <v>13</v>
      </c>
      <c r="N81" s="13">
        <f t="shared" si="0"/>
        <v>4.7514619883040933E-3</v>
      </c>
      <c r="O81" s="4">
        <f t="shared" si="1"/>
        <v>8992.3223684210516</v>
      </c>
    </row>
    <row r="82" spans="12:15">
      <c r="L82" s="3" t="s">
        <v>81</v>
      </c>
      <c r="M82" s="3">
        <v>34</v>
      </c>
      <c r="N82" s="13">
        <f t="shared" si="0"/>
        <v>1.2426900584795321E-2</v>
      </c>
      <c r="O82" s="4">
        <f t="shared" si="1"/>
        <v>23518.381578947367</v>
      </c>
    </row>
    <row r="83" spans="12:15">
      <c r="L83" s="3" t="s">
        <v>82</v>
      </c>
      <c r="M83" s="3">
        <v>99</v>
      </c>
      <c r="N83" s="13">
        <f t="shared" si="0"/>
        <v>3.6184210526315791E-2</v>
      </c>
      <c r="O83" s="4">
        <f t="shared" si="1"/>
        <v>68479.993421052641</v>
      </c>
    </row>
    <row r="84" spans="12:15">
      <c r="L84" s="3" t="s">
        <v>83</v>
      </c>
      <c r="M84" s="3">
        <v>10</v>
      </c>
      <c r="N84" s="13">
        <f t="shared" si="0"/>
        <v>3.6549707602339179E-3</v>
      </c>
      <c r="O84" s="4">
        <f t="shared" si="1"/>
        <v>6917.1710526315783</v>
      </c>
    </row>
    <row r="85" spans="12:15">
      <c r="L85" s="3" t="s">
        <v>84</v>
      </c>
      <c r="M85" s="3">
        <v>27</v>
      </c>
      <c r="N85" s="13">
        <f t="shared" si="0"/>
        <v>9.8684210526315784E-3</v>
      </c>
      <c r="O85" s="4">
        <f t="shared" si="1"/>
        <v>18676.361842105263</v>
      </c>
    </row>
    <row r="86" spans="12:15">
      <c r="L86" s="3" t="s">
        <v>85</v>
      </c>
      <c r="M86" s="3">
        <v>1</v>
      </c>
      <c r="N86" s="13">
        <f t="shared" si="0"/>
        <v>3.6549707602339179E-4</v>
      </c>
      <c r="O86" s="4">
        <f t="shared" si="1"/>
        <v>691.7171052631578</v>
      </c>
    </row>
    <row r="87" spans="12:15">
      <c r="L87" s="3" t="s">
        <v>86</v>
      </c>
      <c r="M87" s="3">
        <v>29</v>
      </c>
      <c r="N87" s="13">
        <f t="shared" si="0"/>
        <v>1.0599415204678362E-2</v>
      </c>
      <c r="O87" s="4">
        <f t="shared" si="1"/>
        <v>20059.796052631576</v>
      </c>
    </row>
    <row r="88" spans="12:15">
      <c r="L88" s="3" t="s">
        <v>87</v>
      </c>
      <c r="M88" s="3">
        <v>251</v>
      </c>
      <c r="N88" s="13">
        <f t="shared" si="0"/>
        <v>9.1739766081871343E-2</v>
      </c>
      <c r="O88" s="4">
        <f t="shared" si="1"/>
        <v>173620.99342105264</v>
      </c>
    </row>
    <row r="89" spans="12:15">
      <c r="L89" s="3" t="s">
        <v>88</v>
      </c>
      <c r="M89" s="3">
        <v>11</v>
      </c>
      <c r="N89" s="13">
        <f t="shared" si="0"/>
        <v>4.0204678362573097E-3</v>
      </c>
      <c r="O89" s="4">
        <f t="shared" si="1"/>
        <v>7608.8881578947367</v>
      </c>
    </row>
    <row r="90" spans="12:15">
      <c r="L90" s="3" t="s">
        <v>89</v>
      </c>
      <c r="M90" s="3">
        <v>2</v>
      </c>
      <c r="N90" s="13">
        <f t="shared" si="0"/>
        <v>7.3099415204678359E-4</v>
      </c>
      <c r="O90" s="4">
        <f t="shared" si="1"/>
        <v>1383.4342105263156</v>
      </c>
    </row>
    <row r="91" spans="12:15">
      <c r="L91" s="3" t="s">
        <v>90</v>
      </c>
      <c r="M91" s="3">
        <v>111</v>
      </c>
      <c r="N91" s="13">
        <f t="shared" si="0"/>
        <v>4.0570175438596492E-2</v>
      </c>
      <c r="O91" s="4">
        <f t="shared" si="1"/>
        <v>76780.598684210534</v>
      </c>
    </row>
    <row r="92" spans="12:15">
      <c r="L92" s="3" t="s">
        <v>91</v>
      </c>
      <c r="M92" s="3">
        <v>48</v>
      </c>
      <c r="N92" s="13">
        <f t="shared" si="0"/>
        <v>1.7543859649122806E-2</v>
      </c>
      <c r="O92" s="4">
        <f t="shared" si="1"/>
        <v>33202.42105263158</v>
      </c>
    </row>
    <row r="93" spans="12:15">
      <c r="L93" s="3" t="s">
        <v>92</v>
      </c>
      <c r="M93" s="3">
        <v>19</v>
      </c>
      <c r="N93" s="13">
        <f t="shared" si="0"/>
        <v>6.9444444444444441E-3</v>
      </c>
      <c r="O93" s="4">
        <f t="shared" si="1"/>
        <v>13142.625</v>
      </c>
    </row>
    <row r="94" spans="12:15">
      <c r="L94" s="3" t="s">
        <v>93</v>
      </c>
      <c r="M94" s="3">
        <v>7</v>
      </c>
      <c r="N94" s="13">
        <f t="shared" si="0"/>
        <v>2.5584795321637425E-3</v>
      </c>
      <c r="O94" s="4">
        <f t="shared" si="1"/>
        <v>4842.019736842105</v>
      </c>
    </row>
    <row r="95" spans="12:15">
      <c r="L95" s="3" t="s">
        <v>94</v>
      </c>
      <c r="M95" s="3">
        <v>20</v>
      </c>
      <c r="N95" s="13">
        <f t="shared" si="0"/>
        <v>7.3099415204678359E-3</v>
      </c>
      <c r="O95" s="4">
        <f t="shared" si="1"/>
        <v>13834.342105263157</v>
      </c>
    </row>
    <row r="96" spans="12:15">
      <c r="L96" s="3" t="s">
        <v>95</v>
      </c>
      <c r="M96" s="3">
        <v>1</v>
      </c>
      <c r="N96" s="13">
        <f t="shared" si="0"/>
        <v>3.6549707602339179E-4</v>
      </c>
      <c r="O96" s="4">
        <f t="shared" si="1"/>
        <v>691.7171052631578</v>
      </c>
    </row>
    <row r="97" spans="12:13">
      <c r="L97" s="3" t="s">
        <v>96</v>
      </c>
      <c r="M97" s="3">
        <f>SUM(M49:M96)</f>
        <v>2736</v>
      </c>
    </row>
    <row r="98" spans="12:13">
      <c r="L98" s="3" t="s">
        <v>100</v>
      </c>
      <c r="M98" s="4">
        <f>+Model!T14</f>
        <v>1892538</v>
      </c>
    </row>
  </sheetData>
  <hyperlinks>
    <hyperlink ref="B37" r:id="rId1" xr:uid="{D879A47D-CEDE-6B45-9E60-9F54FB18B685}"/>
    <hyperlink ref="B38" r:id="rId2" xr:uid="{919BA319-D27F-5F45-A159-BD7F47F2F59D}"/>
    <hyperlink ref="B39" r:id="rId3" xr:uid="{B211C8DC-3A52-F14F-8F6D-24C0F5F95485}"/>
    <hyperlink ref="B40" r:id="rId4" xr:uid="{33BCD7E2-316F-0A41-B77C-80F8C21D0669}"/>
    <hyperlink ref="B41" r:id="rId5" xr:uid="{39EC7DB8-A0BC-B149-906C-A4D8AE9C2474}"/>
    <hyperlink ref="B35" r:id="rId6" xr:uid="{27C89C1F-6A3B-8E47-9D36-8C4F95C3DD23}"/>
    <hyperlink ref="B36" r:id="rId7" xr:uid="{332C27BD-6179-A44B-82BA-1BB3D044EC05}"/>
    <hyperlink ref="B31" r:id="rId8" xr:uid="{3D9CDEB0-1E08-1E46-BAE4-80C186F12D19}"/>
    <hyperlink ref="B46" r:id="rId9" xr:uid="{9BE232BB-5FDC-6C4F-A32E-5212308C52F0}"/>
    <hyperlink ref="B32" r:id="rId10" xr:uid="{993F6CD6-AF6A-D34E-A97A-0883743F6E97}"/>
    <hyperlink ref="B34" r:id="rId11" xr:uid="{40FC8D02-2B58-E347-B032-7BA7EFAAD1CA}"/>
    <hyperlink ref="A1" location="Model!A1" display="Model" xr:uid="{4EBDF202-A121-B14F-A255-3F8E62B44989}"/>
    <hyperlink ref="A2" location="'B S Common'!A1" display="B S Common" xr:uid="{59D1F373-5FAF-A446-B11E-AA3B03A9EB22}"/>
    <hyperlink ref="A3" location="'IS Common'!A1" display="IS Common" xr:uid="{3FB542BF-334D-224E-8CF0-80646CB8F5BC}"/>
    <hyperlink ref="B27" r:id="rId12" xr:uid="{4A0C956C-3152-864B-91A8-4119706762C5}"/>
    <hyperlink ref="B30" r:id="rId13" xr:uid="{E98A3860-CE2C-D346-A7F8-3BFECB77F349}"/>
    <hyperlink ref="B28" r:id="rId14" xr:uid="{0BE5ACE2-4857-3B4D-A854-8D959D99B602}"/>
    <hyperlink ref="B26" r:id="rId15" xr:uid="{F45703FF-7DA6-AD43-A4AB-DA9E06AC4711}"/>
    <hyperlink ref="B25" r:id="rId16" xr:uid="{064F4BA5-C4A3-394A-A224-77908E3229CD}"/>
    <hyperlink ref="B24" r:id="rId17" xr:uid="{98142C7F-2AA7-8B44-B252-2DE623CB2A48}"/>
    <hyperlink ref="B23" r:id="rId18" xr:uid="{C0CF27D7-F5D7-D44D-A046-6D01F37E2A6A}"/>
    <hyperlink ref="A4" location="Debt!A1" display="Debt" xr:uid="{3C0065D0-DC58-3F40-A281-6AE601C9C327}"/>
    <hyperlink ref="B22" r:id="rId19" xr:uid="{236EE2B4-06FC-FC43-BCD9-B55CD85EF132}"/>
    <hyperlink ref="B15" r:id="rId20" xr:uid="{58D60953-E809-8344-80E4-753831B5BCCD}"/>
    <hyperlink ref="B16" r:id="rId21" xr:uid="{06E23F18-D0BF-1441-8ECB-A0DF37C02A7E}"/>
    <hyperlink ref="B17" r:id="rId22" xr:uid="{31796C53-3353-614C-850C-37223269C65A}"/>
    <hyperlink ref="B18" r:id="rId23" xr:uid="{F5A9EBA8-65D3-B145-BFD3-96A9517114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3FB4-BD2A-5E41-95A2-2CC4EACD5DFD}">
  <dimension ref="A1:IM151"/>
  <sheetViews>
    <sheetView tabSelected="1" zoomScale="140" zoomScaleNormal="140" workbookViewId="0">
      <pane xSplit="2" ySplit="3" topLeftCell="AJ4" activePane="bottomRight" state="frozen"/>
      <selection pane="topRight" activeCell="B1" sqref="B1"/>
      <selection pane="bottomLeft" activeCell="A2" sqref="A2"/>
      <selection pane="bottomRight" activeCell="BH41" sqref="BH41"/>
    </sheetView>
  </sheetViews>
  <sheetFormatPr baseColWidth="10" defaultRowHeight="14" outlineLevelRow="1" outlineLevelCol="1"/>
  <cols>
    <col min="1" max="1" width="5" style="23" customWidth="1"/>
    <col min="2" max="2" width="25.6640625" style="19" bestFit="1" customWidth="1"/>
    <col min="3" max="11" width="5.83203125" style="23" customWidth="1" outlineLevel="1"/>
    <col min="12" max="13" width="6" style="23" customWidth="1" outlineLevel="1"/>
    <col min="14" max="14" width="6" style="35" customWidth="1" outlineLevel="1"/>
    <col min="15" max="18" width="6.1640625" style="35" bestFit="1" customWidth="1"/>
    <col min="19" max="21" width="7.5" style="35" bestFit="1" customWidth="1"/>
    <col min="22" max="22" width="6.6640625" style="35" bestFit="1" customWidth="1"/>
    <col min="23" max="23" width="7.5" style="35" bestFit="1" customWidth="1"/>
    <col min="24" max="24" width="6.5" style="35" bestFit="1" customWidth="1"/>
    <col min="25" max="26" width="6.1640625" style="35" bestFit="1" customWidth="1"/>
    <col min="27" max="27" width="1" style="72" customWidth="1"/>
    <col min="28" max="28" width="4.1640625" style="20" customWidth="1"/>
    <col min="29" max="29" width="3.6640625" style="20" customWidth="1"/>
    <col min="30" max="31" width="5.1640625" style="23" customWidth="1" outlineLevel="1"/>
    <col min="32" max="41" width="5.6640625" style="23" customWidth="1" outlineLevel="1"/>
    <col min="42" max="43" width="5.6640625" style="23" bestFit="1" customWidth="1"/>
    <col min="44" max="44" width="8.33203125" style="23" bestFit="1" customWidth="1"/>
    <col min="45" max="45" width="5.83203125" style="27" customWidth="1"/>
    <col min="46" max="46" width="5" style="27" customWidth="1"/>
    <col min="47" max="57" width="6.1640625" style="27" customWidth="1"/>
    <col min="58" max="58" width="5.6640625" style="23" bestFit="1" customWidth="1"/>
    <col min="59" max="59" width="10.6640625" style="23" bestFit="1" customWidth="1"/>
    <col min="60" max="62" width="10.33203125" style="23" bestFit="1" customWidth="1"/>
    <col min="63" max="108" width="5.83203125" style="23" bestFit="1" customWidth="1"/>
    <col min="109" max="138" width="6.6640625" style="23" bestFit="1" customWidth="1"/>
    <col min="139" max="224" width="6.83203125" style="23" bestFit="1" customWidth="1"/>
    <col min="225" max="247" width="7.6640625" style="23" bestFit="1" customWidth="1"/>
    <col min="248" max="16384" width="10.83203125" style="23"/>
  </cols>
  <sheetData>
    <row r="1" spans="1:60" s="4" customFormat="1">
      <c r="B1" s="19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70"/>
      <c r="AB1" s="20"/>
      <c r="AC1" s="20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60" s="4" customFormat="1">
      <c r="B2" s="24" t="s">
        <v>245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>
        <v>235</v>
      </c>
      <c r="X2" s="23"/>
      <c r="Y2" s="23"/>
      <c r="Z2" s="23"/>
      <c r="AA2" s="70"/>
      <c r="AB2" s="20"/>
      <c r="AC2" s="20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7"/>
      <c r="AT2" s="27"/>
      <c r="AU2" s="27"/>
      <c r="AV2" s="27">
        <v>380</v>
      </c>
      <c r="AW2" s="27"/>
      <c r="AX2" s="27"/>
      <c r="AY2" s="27"/>
      <c r="AZ2" s="27"/>
      <c r="BA2" s="27"/>
      <c r="BB2" s="27"/>
      <c r="BC2" s="27"/>
      <c r="BD2" s="27"/>
      <c r="BE2" s="27"/>
      <c r="BH2" s="21"/>
    </row>
    <row r="3" spans="1:60" s="32" customFormat="1">
      <c r="C3" s="32" t="s">
        <v>187</v>
      </c>
      <c r="D3" s="32" t="s">
        <v>188</v>
      </c>
      <c r="E3" s="32" t="s">
        <v>189</v>
      </c>
      <c r="F3" s="32" t="s">
        <v>190</v>
      </c>
      <c r="G3" s="32" t="s">
        <v>183</v>
      </c>
      <c r="H3" s="32" t="s">
        <v>184</v>
      </c>
      <c r="I3" s="32" t="s">
        <v>185</v>
      </c>
      <c r="J3" s="32" t="s">
        <v>186</v>
      </c>
      <c r="K3" s="32" t="s">
        <v>0</v>
      </c>
      <c r="L3" s="32" t="s">
        <v>1</v>
      </c>
      <c r="M3" s="32" t="s">
        <v>2</v>
      </c>
      <c r="N3" s="32" t="s">
        <v>3</v>
      </c>
      <c r="O3" s="32" t="s">
        <v>4</v>
      </c>
      <c r="P3" s="32" t="s">
        <v>5</v>
      </c>
      <c r="Q3" s="32" t="s">
        <v>6</v>
      </c>
      <c r="R3" s="32" t="s">
        <v>7</v>
      </c>
      <c r="S3" s="32" t="s">
        <v>8</v>
      </c>
      <c r="T3" s="32" t="s">
        <v>9</v>
      </c>
      <c r="U3" s="32" t="s">
        <v>10</v>
      </c>
      <c r="V3" s="32" t="s">
        <v>11</v>
      </c>
      <c r="W3" s="32" t="s">
        <v>195</v>
      </c>
      <c r="X3" s="32" t="s">
        <v>196</v>
      </c>
      <c r="Y3" s="32" t="s">
        <v>197</v>
      </c>
      <c r="Z3" s="32" t="s">
        <v>198</v>
      </c>
      <c r="AA3" s="80"/>
      <c r="AD3" s="81">
        <f t="shared" ref="AD3:AH3" si="0">+AE3-1</f>
        <v>2005</v>
      </c>
      <c r="AE3" s="81">
        <f t="shared" si="0"/>
        <v>2006</v>
      </c>
      <c r="AF3" s="81">
        <f t="shared" si="0"/>
        <v>2007</v>
      </c>
      <c r="AG3" s="81">
        <f t="shared" si="0"/>
        <v>2008</v>
      </c>
      <c r="AH3" s="81">
        <f t="shared" si="0"/>
        <v>2009</v>
      </c>
      <c r="AI3" s="81">
        <f>+AJ3-1</f>
        <v>2010</v>
      </c>
      <c r="AJ3" s="81">
        <v>2011</v>
      </c>
      <c r="AK3" s="81">
        <v>2012</v>
      </c>
      <c r="AL3" s="81">
        <v>2013</v>
      </c>
      <c r="AM3" s="81">
        <v>2014</v>
      </c>
      <c r="AN3" s="81">
        <f t="shared" ref="AN3:AO3" si="1">+AO3-1</f>
        <v>2015</v>
      </c>
      <c r="AO3" s="81">
        <f t="shared" si="1"/>
        <v>2016</v>
      </c>
      <c r="AP3" s="81">
        <f>+AQ3-1</f>
        <v>2017</v>
      </c>
      <c r="AQ3" s="81">
        <v>2018</v>
      </c>
      <c r="AR3" s="81">
        <v>2019</v>
      </c>
      <c r="AS3" s="81">
        <v>2020</v>
      </c>
      <c r="AT3" s="81">
        <v>2021</v>
      </c>
      <c r="AU3" s="81">
        <f>+AT3+1</f>
        <v>2022</v>
      </c>
      <c r="AV3" s="81">
        <f t="shared" ref="AV3:BC3" si="2">+AU3+1</f>
        <v>2023</v>
      </c>
      <c r="AW3" s="81">
        <f t="shared" si="2"/>
        <v>2024</v>
      </c>
      <c r="AX3" s="81">
        <f t="shared" si="2"/>
        <v>2025</v>
      </c>
      <c r="AY3" s="81">
        <f t="shared" si="2"/>
        <v>2026</v>
      </c>
      <c r="AZ3" s="81">
        <f t="shared" si="2"/>
        <v>2027</v>
      </c>
      <c r="BA3" s="81">
        <f t="shared" si="2"/>
        <v>2028</v>
      </c>
      <c r="BB3" s="81">
        <f t="shared" si="2"/>
        <v>2029</v>
      </c>
      <c r="BC3" s="81">
        <f t="shared" si="2"/>
        <v>2030</v>
      </c>
      <c r="BD3" s="81">
        <f t="shared" ref="BD3" si="3">+BC3+1</f>
        <v>2031</v>
      </c>
      <c r="BE3" s="81">
        <f t="shared" ref="BE3" si="4">+BD3+1</f>
        <v>2032</v>
      </c>
    </row>
    <row r="4" spans="1:60">
      <c r="B4" s="24" t="s">
        <v>47</v>
      </c>
      <c r="C4" s="26">
        <v>57</v>
      </c>
      <c r="D4" s="26">
        <v>50</v>
      </c>
      <c r="E4" s="26">
        <v>38</v>
      </c>
      <c r="F4" s="26"/>
      <c r="G4" s="26">
        <v>35</v>
      </c>
      <c r="H4" s="26">
        <v>34</v>
      </c>
      <c r="I4" s="26">
        <v>28</v>
      </c>
      <c r="J4" s="26"/>
      <c r="K4" s="23">
        <v>15</v>
      </c>
      <c r="L4" s="23">
        <v>20</v>
      </c>
      <c r="M4" s="23">
        <v>25</v>
      </c>
      <c r="N4" s="23">
        <v>80</v>
      </c>
      <c r="O4" s="26">
        <v>19</v>
      </c>
      <c r="P4" s="26">
        <v>37</v>
      </c>
      <c r="Q4" s="26">
        <v>44</v>
      </c>
      <c r="R4" s="26">
        <v>61</v>
      </c>
      <c r="S4" s="26">
        <v>40</v>
      </c>
      <c r="T4" s="23">
        <v>56</v>
      </c>
      <c r="U4" s="23">
        <v>41</v>
      </c>
      <c r="V4" s="23">
        <v>78</v>
      </c>
      <c r="W4" s="23">
        <v>51</v>
      </c>
      <c r="X4" s="23">
        <v>42</v>
      </c>
      <c r="Y4" s="23">
        <f>+$W$2*0.21</f>
        <v>49.35</v>
      </c>
      <c r="Z4" s="23">
        <f>+$W$2*0.44</f>
        <v>103.4</v>
      </c>
      <c r="AA4" s="70"/>
      <c r="AJ4" s="59"/>
      <c r="AK4" s="59"/>
      <c r="AL4" s="59"/>
      <c r="AM4" s="59"/>
      <c r="AN4" s="59"/>
      <c r="AO4" s="59"/>
      <c r="AP4" s="59"/>
      <c r="AQ4" s="60"/>
      <c r="AR4" s="60"/>
      <c r="AS4" s="82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</row>
    <row r="5" spans="1:60">
      <c r="B5" s="19" t="s">
        <v>45</v>
      </c>
      <c r="C5" s="23">
        <v>-1</v>
      </c>
      <c r="D5" s="23">
        <v>-2</v>
      </c>
      <c r="E5" s="23">
        <v>-3</v>
      </c>
      <c r="G5" s="23">
        <v>-1</v>
      </c>
      <c r="H5" s="23">
        <v>-3</v>
      </c>
      <c r="I5" s="23">
        <v>-32</v>
      </c>
      <c r="K5" s="23">
        <v>-2</v>
      </c>
      <c r="L5" s="23">
        <v>-1</v>
      </c>
      <c r="M5" s="23">
        <v>-1</v>
      </c>
      <c r="N5" s="23">
        <v>-3</v>
      </c>
      <c r="O5" s="23">
        <v>-2</v>
      </c>
      <c r="P5" s="23">
        <v>-3</v>
      </c>
      <c r="Q5" s="23">
        <v>-3</v>
      </c>
      <c r="R5" s="23">
        <v>-1</v>
      </c>
      <c r="S5" s="23">
        <v>-5</v>
      </c>
      <c r="T5" s="23">
        <v>-5</v>
      </c>
      <c r="U5" s="23">
        <v>0</v>
      </c>
      <c r="V5" s="23">
        <v>-4</v>
      </c>
      <c r="W5" s="23">
        <v>-1</v>
      </c>
      <c r="X5" s="23">
        <v>-1</v>
      </c>
      <c r="Y5" s="23">
        <v>0</v>
      </c>
      <c r="Z5" s="23">
        <v>0</v>
      </c>
      <c r="AA5" s="70"/>
      <c r="AJ5" s="59"/>
      <c r="AK5" s="59"/>
      <c r="AL5" s="59"/>
      <c r="AM5" s="59"/>
      <c r="AN5" s="59"/>
      <c r="AO5" s="59"/>
      <c r="AP5" s="59"/>
      <c r="AQ5" s="61"/>
      <c r="AR5" s="61"/>
      <c r="AS5" s="84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</row>
    <row r="6" spans="1:60">
      <c r="B6" s="19" t="s">
        <v>46</v>
      </c>
      <c r="D6" s="23">
        <v>0</v>
      </c>
      <c r="E6" s="23">
        <v>0</v>
      </c>
      <c r="G6" s="23">
        <v>-1</v>
      </c>
      <c r="H6" s="23">
        <v>-5</v>
      </c>
      <c r="I6" s="23">
        <v>0</v>
      </c>
      <c r="K6" s="23">
        <v>0</v>
      </c>
      <c r="L6" s="23">
        <v>0</v>
      </c>
      <c r="M6" s="23">
        <v>-1</v>
      </c>
      <c r="N6" s="23">
        <v>-1</v>
      </c>
      <c r="O6" s="23">
        <v>-1</v>
      </c>
      <c r="P6" s="23">
        <v>-3</v>
      </c>
      <c r="Q6" s="23">
        <v>0</v>
      </c>
      <c r="R6" s="23">
        <v>-2</v>
      </c>
      <c r="S6" s="23">
        <v>0</v>
      </c>
      <c r="T6" s="23">
        <v>-1</v>
      </c>
      <c r="U6" s="23">
        <v>-2</v>
      </c>
      <c r="V6" s="23">
        <v>0</v>
      </c>
      <c r="W6" s="23">
        <v>-2</v>
      </c>
      <c r="X6" s="23">
        <v>-3</v>
      </c>
      <c r="Y6" s="23">
        <v>0</v>
      </c>
      <c r="Z6" s="23">
        <v>0</v>
      </c>
      <c r="AA6" s="70"/>
      <c r="AJ6" s="59"/>
      <c r="AK6" s="59"/>
      <c r="AL6" s="59"/>
      <c r="AM6" s="59"/>
      <c r="AN6" s="59"/>
      <c r="AO6" s="59"/>
      <c r="AP6" s="59"/>
      <c r="AQ6" s="61"/>
      <c r="AR6" s="61"/>
      <c r="AS6" s="84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</row>
    <row r="7" spans="1:60" s="26" customFormat="1">
      <c r="B7" s="24" t="s">
        <v>44</v>
      </c>
      <c r="C7" s="26">
        <v>2291</v>
      </c>
      <c r="D7" s="26">
        <f>+C7+SUM(D4:D6)</f>
        <v>2339</v>
      </c>
      <c r="E7" s="26">
        <f>+D7+SUM(E4:E6)</f>
        <v>2374</v>
      </c>
      <c r="F7" s="26">
        <v>2408</v>
      </c>
      <c r="G7" s="26">
        <f>+F7+SUM(G4:G6)</f>
        <v>2441</v>
      </c>
      <c r="H7" s="26">
        <f>+G7+SUM(H4:H6)</f>
        <v>2467</v>
      </c>
      <c r="I7" s="26">
        <f>+H7+SUM(I4:I6)</f>
        <v>2463</v>
      </c>
      <c r="J7" s="26">
        <v>2491</v>
      </c>
      <c r="K7" s="26">
        <f t="shared" ref="K7:O7" si="5">+J7+SUM(K4:K6)</f>
        <v>2504</v>
      </c>
      <c r="L7" s="26">
        <f t="shared" si="5"/>
        <v>2523</v>
      </c>
      <c r="M7" s="26">
        <v>2546</v>
      </c>
      <c r="N7" s="26">
        <f t="shared" si="5"/>
        <v>2622</v>
      </c>
      <c r="O7" s="26">
        <f t="shared" si="5"/>
        <v>2638</v>
      </c>
      <c r="P7" s="26">
        <f t="shared" ref="P7:U7" si="6">+O7+SUM(P4:P6)</f>
        <v>2669</v>
      </c>
      <c r="Q7" s="26">
        <f t="shared" si="6"/>
        <v>2710</v>
      </c>
      <c r="R7" s="26">
        <f t="shared" si="6"/>
        <v>2768</v>
      </c>
      <c r="S7" s="26">
        <f t="shared" si="6"/>
        <v>2803</v>
      </c>
      <c r="T7" s="26">
        <f t="shared" si="6"/>
        <v>2853</v>
      </c>
      <c r="U7" s="26">
        <f t="shared" si="6"/>
        <v>2892</v>
      </c>
      <c r="V7" s="26">
        <f>+U7+SUM(V4:V6)</f>
        <v>2966</v>
      </c>
      <c r="W7" s="26">
        <f t="shared" ref="W7:Z7" si="7">+V7+SUM(W4:W6)</f>
        <v>3014</v>
      </c>
      <c r="X7" s="26">
        <f>+W7+SUM(X4:X6)</f>
        <v>3052</v>
      </c>
      <c r="Y7" s="26">
        <f t="shared" si="7"/>
        <v>3101.35</v>
      </c>
      <c r="Z7" s="26">
        <f t="shared" si="7"/>
        <v>3204.75</v>
      </c>
      <c r="AA7" s="71"/>
      <c r="AB7" s="22"/>
      <c r="AC7" s="22"/>
      <c r="AD7" s="26">
        <v>489</v>
      </c>
      <c r="AE7" s="26">
        <v>581</v>
      </c>
      <c r="AF7" s="26">
        <v>704</v>
      </c>
      <c r="AG7" s="26">
        <v>837</v>
      </c>
      <c r="AH7" s="26">
        <v>956</v>
      </c>
      <c r="AI7" s="26">
        <v>1084</v>
      </c>
      <c r="AJ7" s="26">
        <v>1230</v>
      </c>
      <c r="AK7" s="26">
        <v>1410</v>
      </c>
      <c r="AL7" s="26">
        <v>1595</v>
      </c>
      <c r="AM7" s="26">
        <v>1783</v>
      </c>
      <c r="AN7" s="26">
        <v>2010</v>
      </c>
      <c r="AO7" s="26">
        <v>2250</v>
      </c>
      <c r="AP7" s="26">
        <v>2408</v>
      </c>
      <c r="AQ7" s="62">
        <v>2491</v>
      </c>
      <c r="AR7" s="63">
        <f>+N7</f>
        <v>2622</v>
      </c>
      <c r="AS7" s="85">
        <f>+R7</f>
        <v>2768</v>
      </c>
      <c r="AT7" s="32">
        <f>+V7</f>
        <v>2966</v>
      </c>
      <c r="AU7" s="32">
        <f>+Z7</f>
        <v>3204.75</v>
      </c>
      <c r="AV7" s="32">
        <f>+AU7+$AV$2</f>
        <v>3584.75</v>
      </c>
      <c r="AW7" s="32">
        <f>+AV7+$AV$2</f>
        <v>3964.75</v>
      </c>
      <c r="AX7" s="32">
        <f>+AW7+$AV$2</f>
        <v>4344.75</v>
      </c>
      <c r="AY7" s="32">
        <f>+AX7+$AV$2</f>
        <v>4724.75</v>
      </c>
      <c r="AZ7" s="32">
        <f t="shared" ref="AZ7:BE7" si="8">+AY7+$AV$2</f>
        <v>5104.75</v>
      </c>
      <c r="BA7" s="32">
        <f t="shared" si="8"/>
        <v>5484.75</v>
      </c>
      <c r="BB7" s="32">
        <f t="shared" si="8"/>
        <v>5864.75</v>
      </c>
      <c r="BC7" s="32">
        <f t="shared" si="8"/>
        <v>6244.75</v>
      </c>
      <c r="BD7" s="32">
        <f t="shared" si="8"/>
        <v>6624.75</v>
      </c>
      <c r="BE7" s="32">
        <f t="shared" si="8"/>
        <v>7004.75</v>
      </c>
    </row>
    <row r="8" spans="1:60">
      <c r="B8" s="19" t="s">
        <v>98</v>
      </c>
      <c r="D8" s="23">
        <f t="shared" ref="D8:U8" si="9">+D7-C7</f>
        <v>48</v>
      </c>
      <c r="E8" s="23">
        <f t="shared" si="9"/>
        <v>35</v>
      </c>
      <c r="F8" s="23">
        <f t="shared" si="9"/>
        <v>34</v>
      </c>
      <c r="G8" s="23">
        <f t="shared" si="9"/>
        <v>33</v>
      </c>
      <c r="H8" s="23">
        <f t="shared" si="9"/>
        <v>26</v>
      </c>
      <c r="I8" s="23">
        <f t="shared" si="9"/>
        <v>-4</v>
      </c>
      <c r="J8" s="23">
        <f t="shared" si="9"/>
        <v>28</v>
      </c>
      <c r="K8" s="23">
        <f t="shared" si="9"/>
        <v>13</v>
      </c>
      <c r="L8" s="23">
        <f t="shared" si="9"/>
        <v>19</v>
      </c>
      <c r="M8" s="23">
        <f t="shared" si="9"/>
        <v>23</v>
      </c>
      <c r="N8" s="23">
        <f t="shared" si="9"/>
        <v>76</v>
      </c>
      <c r="O8" s="23">
        <f t="shared" si="9"/>
        <v>16</v>
      </c>
      <c r="P8" s="23">
        <f t="shared" si="9"/>
        <v>31</v>
      </c>
      <c r="Q8" s="23">
        <f t="shared" si="9"/>
        <v>41</v>
      </c>
      <c r="R8" s="23">
        <f t="shared" si="9"/>
        <v>58</v>
      </c>
      <c r="S8" s="23">
        <f t="shared" si="9"/>
        <v>35</v>
      </c>
      <c r="T8" s="23">
        <f t="shared" si="9"/>
        <v>50</v>
      </c>
      <c r="U8" s="23">
        <f t="shared" si="9"/>
        <v>39</v>
      </c>
      <c r="V8" s="23">
        <f>+V7-U7</f>
        <v>74</v>
      </c>
      <c r="W8" s="23">
        <f t="shared" ref="W8:Z8" si="10">+W7-V7</f>
        <v>48</v>
      </c>
      <c r="X8" s="23">
        <f t="shared" si="10"/>
        <v>38</v>
      </c>
      <c r="Y8" s="23">
        <f t="shared" si="10"/>
        <v>49.349999999999909</v>
      </c>
      <c r="Z8" s="23">
        <f t="shared" si="10"/>
        <v>103.40000000000009</v>
      </c>
      <c r="AA8" s="70"/>
      <c r="AE8" s="64">
        <f t="shared" ref="AE8:AR8" si="11">+AE7-AD7</f>
        <v>92</v>
      </c>
      <c r="AF8" s="64">
        <f t="shared" si="11"/>
        <v>123</v>
      </c>
      <c r="AG8" s="64">
        <f t="shared" si="11"/>
        <v>133</v>
      </c>
      <c r="AH8" s="64">
        <f t="shared" si="11"/>
        <v>119</v>
      </c>
      <c r="AI8" s="64">
        <f t="shared" si="11"/>
        <v>128</v>
      </c>
      <c r="AJ8" s="64">
        <f t="shared" si="11"/>
        <v>146</v>
      </c>
      <c r="AK8" s="64">
        <f t="shared" si="11"/>
        <v>180</v>
      </c>
      <c r="AL8" s="64">
        <f t="shared" si="11"/>
        <v>185</v>
      </c>
      <c r="AM8" s="64">
        <f t="shared" si="11"/>
        <v>188</v>
      </c>
      <c r="AN8" s="64">
        <f t="shared" si="11"/>
        <v>227</v>
      </c>
      <c r="AO8" s="64">
        <f t="shared" si="11"/>
        <v>240</v>
      </c>
      <c r="AP8" s="64">
        <f t="shared" si="11"/>
        <v>158</v>
      </c>
      <c r="AQ8" s="64">
        <f t="shared" si="11"/>
        <v>83</v>
      </c>
      <c r="AR8" s="64">
        <f t="shared" si="11"/>
        <v>131</v>
      </c>
      <c r="AS8" s="86">
        <f>+AS7-AR7</f>
        <v>146</v>
      </c>
      <c r="AT8" s="86">
        <f>+AT7-AS7</f>
        <v>198</v>
      </c>
      <c r="AU8" s="86">
        <f>+AU7-AT7</f>
        <v>238.75</v>
      </c>
      <c r="AV8" s="86">
        <f>+AV7-AU7</f>
        <v>380</v>
      </c>
      <c r="AW8" s="86">
        <f>+AW7-AV7</f>
        <v>380</v>
      </c>
      <c r="AX8" s="86">
        <f t="shared" ref="AX8:BE8" si="12">+AX7-AW7</f>
        <v>380</v>
      </c>
      <c r="AY8" s="86">
        <f t="shared" si="12"/>
        <v>380</v>
      </c>
      <c r="AZ8" s="86">
        <f t="shared" si="12"/>
        <v>380</v>
      </c>
      <c r="BA8" s="86">
        <f t="shared" si="12"/>
        <v>380</v>
      </c>
      <c r="BB8" s="86">
        <f t="shared" si="12"/>
        <v>380</v>
      </c>
      <c r="BC8" s="86">
        <f t="shared" si="12"/>
        <v>380</v>
      </c>
      <c r="BD8" s="86">
        <f t="shared" si="12"/>
        <v>380</v>
      </c>
      <c r="BE8" s="86">
        <f t="shared" si="12"/>
        <v>380</v>
      </c>
    </row>
    <row r="9" spans="1:60">
      <c r="B9" s="19" t="s">
        <v>113</v>
      </c>
      <c r="C9" s="23">
        <f t="shared" ref="C9:V9" si="13">+C14/C7</f>
        <v>466.53382802269749</v>
      </c>
      <c r="D9" s="23">
        <f t="shared" si="13"/>
        <v>499.96109448482258</v>
      </c>
      <c r="E9" s="23">
        <f t="shared" si="13"/>
        <v>475.17860151642799</v>
      </c>
      <c r="F9" s="23">
        <f t="shared" si="13"/>
        <v>461.00498338870432</v>
      </c>
      <c r="G9" s="23">
        <f t="shared" si="13"/>
        <v>470.46169602621876</v>
      </c>
      <c r="H9" s="23">
        <f t="shared" si="13"/>
        <v>513.38467774625053</v>
      </c>
      <c r="I9" s="23">
        <f t="shared" si="13"/>
        <v>497.3637840032481</v>
      </c>
      <c r="J9" s="23">
        <f t="shared" si="13"/>
        <v>491.79486150140508</v>
      </c>
      <c r="K9" s="23">
        <f t="shared" si="13"/>
        <v>522.45087859424916</v>
      </c>
      <c r="L9" s="23">
        <f t="shared" si="13"/>
        <v>568.4625445897741</v>
      </c>
      <c r="M9" s="23">
        <f t="shared" si="13"/>
        <v>551.33424980361349</v>
      </c>
      <c r="N9" s="23">
        <f t="shared" si="13"/>
        <v>549.2845156369184</v>
      </c>
      <c r="O9" s="23">
        <f t="shared" si="13"/>
        <v>534.78847611827143</v>
      </c>
      <c r="P9" s="23">
        <f t="shared" si="13"/>
        <v>511.32933683027352</v>
      </c>
      <c r="Q9" s="23">
        <f t="shared" si="13"/>
        <v>590.92767527675278</v>
      </c>
      <c r="R9" s="23">
        <f t="shared" si="13"/>
        <v>580.82008670520236</v>
      </c>
      <c r="S9" s="23">
        <f t="shared" si="13"/>
        <v>621.32536567962893</v>
      </c>
      <c r="T9" s="23">
        <f t="shared" si="13"/>
        <v>663.35015772870668</v>
      </c>
      <c r="U9" s="23">
        <f t="shared" si="13"/>
        <v>675.07434301521437</v>
      </c>
      <c r="V9" s="23">
        <f t="shared" si="13"/>
        <v>661.03607552258939</v>
      </c>
      <c r="W9" s="23">
        <f>+S9*1.1</f>
        <v>683.45790224759185</v>
      </c>
      <c r="X9" s="23">
        <f t="shared" ref="X9:Z9" si="14">+T9*1.1</f>
        <v>729.68517350157742</v>
      </c>
      <c r="Y9" s="23">
        <f t="shared" si="14"/>
        <v>742.58177731673584</v>
      </c>
      <c r="Z9" s="23">
        <f t="shared" si="14"/>
        <v>727.13968307484834</v>
      </c>
      <c r="AA9" s="70"/>
      <c r="AE9" s="64">
        <f t="shared" ref="AE9:AP9" si="15">+AE14/AE7</f>
        <v>1416.4027538726334</v>
      </c>
      <c r="AF9" s="64">
        <f t="shared" si="15"/>
        <v>1542.3039772727273</v>
      </c>
      <c r="AG9" s="64">
        <f t="shared" si="15"/>
        <v>1591.3596176821984</v>
      </c>
      <c r="AH9" s="64">
        <f t="shared" si="15"/>
        <v>1588.3023012552301</v>
      </c>
      <c r="AI9" s="64">
        <f t="shared" si="15"/>
        <v>1693.6549815498156</v>
      </c>
      <c r="AJ9" s="64">
        <f t="shared" si="15"/>
        <v>1845.1609756097562</v>
      </c>
      <c r="AK9" s="64">
        <f t="shared" si="15"/>
        <v>1937.0382978723405</v>
      </c>
      <c r="AL9" s="64">
        <f t="shared" si="15"/>
        <v>2015.4175548589342</v>
      </c>
      <c r="AM9" s="64">
        <f t="shared" si="15"/>
        <v>2304.1329220415032</v>
      </c>
      <c r="AN9" s="64">
        <f t="shared" si="15"/>
        <v>2239.4144278606964</v>
      </c>
      <c r="AO9" s="64">
        <f t="shared" si="15"/>
        <v>1735.2817777777777</v>
      </c>
      <c r="AP9" s="64">
        <f t="shared" si="15"/>
        <v>1858.9750830564783</v>
      </c>
      <c r="AQ9" s="64">
        <f>+AQ14/AQ7</f>
        <v>1953.0248896025691</v>
      </c>
      <c r="AR9" s="64">
        <f>+AR14/AR7</f>
        <v>2130.5755148741418</v>
      </c>
      <c r="AS9" s="86">
        <f>+AS14/AS7</f>
        <v>2162.0787572254335</v>
      </c>
      <c r="AT9" s="86">
        <f>+AT14/AT7</f>
        <v>2544.5249494268373</v>
      </c>
      <c r="AU9" s="27">
        <f>+AU14/AU7</f>
        <v>2741.0418595316701</v>
      </c>
      <c r="AV9" s="27">
        <f>+AU9*1.04</f>
        <v>2850.683533912937</v>
      </c>
      <c r="AW9" s="27">
        <f t="shared" ref="AW9:BE9" si="16">+AV9*1.04</f>
        <v>2964.7108752694548</v>
      </c>
      <c r="AX9" s="27">
        <f t="shared" si="16"/>
        <v>3083.2993102802329</v>
      </c>
      <c r="AY9" s="27">
        <f t="shared" si="16"/>
        <v>3206.6312826914423</v>
      </c>
      <c r="AZ9" s="27">
        <f t="shared" si="16"/>
        <v>3334.8965339991</v>
      </c>
      <c r="BA9" s="27">
        <f t="shared" si="16"/>
        <v>3468.2923953590644</v>
      </c>
      <c r="BB9" s="27">
        <f t="shared" si="16"/>
        <v>3607.0240911734272</v>
      </c>
      <c r="BC9" s="27">
        <f t="shared" si="16"/>
        <v>3751.3050548203646</v>
      </c>
      <c r="BD9" s="27">
        <f t="shared" si="16"/>
        <v>3901.3572570131792</v>
      </c>
      <c r="BE9" s="27">
        <f t="shared" si="16"/>
        <v>4057.4115472937065</v>
      </c>
    </row>
    <row r="10" spans="1:60">
      <c r="B10" s="19" t="s">
        <v>192</v>
      </c>
      <c r="N10" s="23"/>
      <c r="O10" s="23"/>
      <c r="P10" s="23"/>
      <c r="Q10" s="23"/>
      <c r="R10" s="23"/>
      <c r="S10" s="23">
        <f>869.8*1000</f>
        <v>869800</v>
      </c>
      <c r="T10" s="23">
        <f>916.5*1000</f>
        <v>916500</v>
      </c>
      <c r="U10" s="23">
        <f>840.4*1000</f>
        <v>840400</v>
      </c>
      <c r="V10" s="23"/>
      <c r="W10" s="23"/>
      <c r="X10" s="23"/>
      <c r="Y10" s="23"/>
      <c r="Z10" s="23"/>
      <c r="AA10" s="70"/>
      <c r="AF10" s="68">
        <f t="shared" ref="AF10:AS10" si="17">+AF9/AE9-1</f>
        <v>8.888801088240128E-2</v>
      </c>
      <c r="AG10" s="68">
        <f t="shared" si="17"/>
        <v>3.1806726256530027E-2</v>
      </c>
      <c r="AH10" s="68">
        <f t="shared" si="17"/>
        <v>-1.9211976934674357E-3</v>
      </c>
      <c r="AI10" s="68">
        <f t="shared" si="17"/>
        <v>6.6330370617309953E-2</v>
      </c>
      <c r="AJ10" s="68">
        <f t="shared" si="17"/>
        <v>8.9455051772883376E-2</v>
      </c>
      <c r="AK10" s="68">
        <f t="shared" si="17"/>
        <v>4.9793662166642383E-2</v>
      </c>
      <c r="AL10" s="68">
        <f t="shared" si="17"/>
        <v>4.0463452412214052E-2</v>
      </c>
      <c r="AM10" s="68">
        <f t="shared" si="17"/>
        <v>0.14325337520580295</v>
      </c>
      <c r="AN10" s="68">
        <f t="shared" si="17"/>
        <v>-2.808800376128695E-2</v>
      </c>
      <c r="AO10" s="68">
        <f t="shared" si="17"/>
        <v>-0.22511806828203507</v>
      </c>
      <c r="AP10" s="68">
        <f t="shared" si="17"/>
        <v>7.1281394677643384E-2</v>
      </c>
      <c r="AQ10" s="68">
        <f t="shared" si="17"/>
        <v>5.0592290022229092E-2</v>
      </c>
      <c r="AR10" s="68">
        <f>+AR9/AQ9-1</f>
        <v>9.0910579899318833E-2</v>
      </c>
      <c r="AS10" s="87">
        <f t="shared" si="17"/>
        <v>1.4786259454949491E-2</v>
      </c>
      <c r="AT10" s="87">
        <f>+AT9/AS9-1</f>
        <v>0.17688818731663214</v>
      </c>
    </row>
    <row r="11" spans="1:60">
      <c r="N11" s="23"/>
      <c r="O11" s="23"/>
      <c r="P11" s="23"/>
      <c r="Q11" s="23"/>
      <c r="R11" s="23"/>
      <c r="S11" s="23"/>
      <c r="T11" s="42"/>
      <c r="U11" s="42"/>
      <c r="V11" s="23"/>
      <c r="W11" s="23"/>
      <c r="X11" s="23"/>
      <c r="Y11" s="23"/>
      <c r="Z11" s="23"/>
      <c r="AA11" s="70"/>
      <c r="AP11" s="65"/>
      <c r="AQ11" s="64"/>
      <c r="AR11" s="64"/>
      <c r="AS11" s="86"/>
      <c r="AT11" s="86"/>
    </row>
    <row r="12" spans="1:60">
      <c r="B12" s="19" t="s">
        <v>18</v>
      </c>
      <c r="M12" s="35">
        <v>1397333</v>
      </c>
      <c r="O12" s="35">
        <v>1402117</v>
      </c>
      <c r="P12" s="35">
        <v>0</v>
      </c>
      <c r="Q12" s="35">
        <v>1581335</v>
      </c>
      <c r="R12" s="35">
        <f t="shared" ref="R12:R28" si="18">+AS12-SUM(O12:Q12)</f>
        <v>2937093</v>
      </c>
      <c r="S12" s="35">
        <v>1715990</v>
      </c>
      <c r="T12" s="35">
        <v>1869365</v>
      </c>
      <c r="U12" s="35">
        <v>1932409</v>
      </c>
      <c r="V12" s="35">
        <v>1939405</v>
      </c>
      <c r="W12" s="35">
        <v>1998956</v>
      </c>
      <c r="X12" s="35">
        <v>2192802</v>
      </c>
      <c r="Y12" s="35">
        <v>2202336</v>
      </c>
      <c r="AB12" s="18"/>
      <c r="AC12" s="18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>
        <v>4860626</v>
      </c>
      <c r="AR12" s="35">
        <v>5561036</v>
      </c>
      <c r="AS12" s="88">
        <v>5920545</v>
      </c>
    </row>
    <row r="13" spans="1:60">
      <c r="B13" s="19" t="s">
        <v>19</v>
      </c>
      <c r="M13" s="35">
        <v>6364</v>
      </c>
      <c r="O13" s="35">
        <v>8655</v>
      </c>
      <c r="P13" s="35">
        <v>0</v>
      </c>
      <c r="Q13" s="35">
        <v>20079</v>
      </c>
      <c r="R13" s="35">
        <f t="shared" si="18"/>
        <v>35355</v>
      </c>
      <c r="S13" s="35">
        <v>25585</v>
      </c>
      <c r="T13" s="35">
        <v>23173</v>
      </c>
      <c r="U13" s="35">
        <v>19906</v>
      </c>
      <c r="V13" s="35">
        <v>21228</v>
      </c>
      <c r="W13" s="35">
        <v>21583</v>
      </c>
      <c r="X13" s="35">
        <v>20537</v>
      </c>
      <c r="Y13" s="35">
        <v>17839</v>
      </c>
      <c r="AB13" s="18"/>
      <c r="AC13" s="18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>
        <v>4359</v>
      </c>
      <c r="AR13" s="35">
        <v>25333</v>
      </c>
      <c r="AS13" s="88">
        <v>64089</v>
      </c>
    </row>
    <row r="14" spans="1:60" s="34" customFormat="1">
      <c r="A14" s="26"/>
      <c r="B14" s="24" t="s">
        <v>20</v>
      </c>
      <c r="C14" s="34">
        <v>1068829</v>
      </c>
      <c r="D14" s="34">
        <v>1169409</v>
      </c>
      <c r="E14" s="34">
        <v>1128074</v>
      </c>
      <c r="F14" s="34">
        <f t="shared" ref="F14:F28" si="19">+AP14-SUM(C14:E14)</f>
        <v>1110100</v>
      </c>
      <c r="G14" s="34">
        <v>1148397</v>
      </c>
      <c r="H14" s="34">
        <v>1266520</v>
      </c>
      <c r="I14" s="34">
        <v>1225007</v>
      </c>
      <c r="J14" s="34">
        <f>+AQ14-SUM(G14:I14)</f>
        <v>1225061</v>
      </c>
      <c r="K14" s="34">
        <v>1308217</v>
      </c>
      <c r="L14" s="34">
        <v>1434231</v>
      </c>
      <c r="M14" s="34">
        <f>+SUM(M12:M13)</f>
        <v>1403697</v>
      </c>
      <c r="N14" s="34">
        <f t="shared" ref="N14:N28" si="20">+AR14-SUM(K14:M14)</f>
        <v>1440224</v>
      </c>
      <c r="O14" s="34">
        <f>+SUM(O12:O13)</f>
        <v>1410772</v>
      </c>
      <c r="P14" s="34">
        <v>1364738</v>
      </c>
      <c r="Q14" s="34">
        <f>+SUM(Q12:Q13)</f>
        <v>1601414</v>
      </c>
      <c r="R14" s="34">
        <f t="shared" si="18"/>
        <v>1607710</v>
      </c>
      <c r="S14" s="34">
        <f t="shared" ref="S14:Y14" si="21">+SUM(S12:S13)</f>
        <v>1741575</v>
      </c>
      <c r="T14" s="34">
        <f t="shared" si="21"/>
        <v>1892538</v>
      </c>
      <c r="U14" s="34">
        <f t="shared" si="21"/>
        <v>1952315</v>
      </c>
      <c r="V14" s="34">
        <f t="shared" si="21"/>
        <v>1960633</v>
      </c>
      <c r="W14" s="34">
        <f t="shared" si="21"/>
        <v>2020539</v>
      </c>
      <c r="X14" s="34">
        <f t="shared" si="21"/>
        <v>2213339</v>
      </c>
      <c r="Y14" s="34">
        <f t="shared" si="21"/>
        <v>2220175</v>
      </c>
      <c r="Z14" s="34">
        <f>+Z7*Z9</f>
        <v>2330300.8993341201</v>
      </c>
      <c r="AA14" s="73"/>
      <c r="AB14" s="33"/>
      <c r="AC14" s="33"/>
      <c r="AD14" s="34">
        <v>627695</v>
      </c>
      <c r="AE14" s="34">
        <v>822930</v>
      </c>
      <c r="AF14" s="34">
        <v>1085782</v>
      </c>
      <c r="AG14" s="34">
        <v>1331968</v>
      </c>
      <c r="AH14" s="34">
        <v>1518417</v>
      </c>
      <c r="AI14" s="34">
        <v>1835922</v>
      </c>
      <c r="AJ14" s="34">
        <v>2269548</v>
      </c>
      <c r="AK14" s="34">
        <v>2731224</v>
      </c>
      <c r="AL14" s="34">
        <v>3214591</v>
      </c>
      <c r="AM14" s="34">
        <v>4108269</v>
      </c>
      <c r="AN14" s="34">
        <v>4501223</v>
      </c>
      <c r="AO14" s="34">
        <v>3904384</v>
      </c>
      <c r="AP14" s="34">
        <v>4476412</v>
      </c>
      <c r="AQ14" s="34">
        <f>+SUM(AQ12:AQ13)</f>
        <v>4864985</v>
      </c>
      <c r="AR14" s="34">
        <f>+SUM(AR12:AR13)</f>
        <v>5586369</v>
      </c>
      <c r="AS14" s="89">
        <f>+SUM(AS12:AS13)</f>
        <v>5984634</v>
      </c>
      <c r="AT14" s="89">
        <f t="shared" ref="AT14:AT19" si="22">SUM(S14:V14)</f>
        <v>7547061</v>
      </c>
      <c r="AU14" s="89">
        <f>+SUM(W14:Z14)</f>
        <v>8784353.8993341196</v>
      </c>
      <c r="AV14" s="89">
        <f>+AV7*AV9</f>
        <v>10218987.798194401</v>
      </c>
      <c r="AW14" s="89">
        <f>+AW7*AW9</f>
        <v>11754337.442724571</v>
      </c>
      <c r="AX14" s="89">
        <f t="shared" ref="AX14:BE14" si="23">+AX7*AX9</f>
        <v>13396164.678340042</v>
      </c>
      <c r="AY14" s="89">
        <f t="shared" si="23"/>
        <v>15150531.152896391</v>
      </c>
      <c r="AZ14" s="89">
        <f t="shared" si="23"/>
        <v>17023813.081931908</v>
      </c>
      <c r="BA14" s="89">
        <f t="shared" si="23"/>
        <v>19022716.715445627</v>
      </c>
      <c r="BB14" s="89">
        <f t="shared" si="23"/>
        <v>21154294.538709357</v>
      </c>
      <c r="BC14" s="89">
        <f t="shared" si="23"/>
        <v>23425962.241089471</v>
      </c>
      <c r="BD14" s="89">
        <f t="shared" si="23"/>
        <v>25845516.48839806</v>
      </c>
      <c r="BE14" s="89">
        <f t="shared" si="23"/>
        <v>28421153.535905592</v>
      </c>
    </row>
    <row r="15" spans="1:60" s="35" customFormat="1">
      <c r="A15" s="23"/>
      <c r="B15" s="19" t="s">
        <v>21</v>
      </c>
      <c r="C15" s="35">
        <v>361795</v>
      </c>
      <c r="D15" s="35">
        <v>399152</v>
      </c>
      <c r="E15" s="35">
        <v>394567</v>
      </c>
      <c r="F15" s="35">
        <f t="shared" si="19"/>
        <v>379914</v>
      </c>
      <c r="G15" s="35">
        <v>371915</v>
      </c>
      <c r="H15" s="35">
        <v>413096</v>
      </c>
      <c r="I15" s="35">
        <v>409213</v>
      </c>
      <c r="J15" s="35">
        <f t="shared" ref="J15:J28" si="24">+AQ15-SUM(G15:I15)</f>
        <v>406536</v>
      </c>
      <c r="K15" s="35">
        <v>421367</v>
      </c>
      <c r="L15" s="35">
        <v>483284</v>
      </c>
      <c r="M15" s="35">
        <v>466496</v>
      </c>
      <c r="N15" s="35">
        <f t="shared" si="20"/>
        <v>476769</v>
      </c>
      <c r="O15" s="35">
        <v>462299</v>
      </c>
      <c r="P15" s="35">
        <v>454756</v>
      </c>
      <c r="Q15" s="35">
        <v>517261</v>
      </c>
      <c r="R15" s="35">
        <f t="shared" si="18"/>
        <v>498450</v>
      </c>
      <c r="S15" s="35">
        <v>522671</v>
      </c>
      <c r="T15" s="35">
        <v>574478</v>
      </c>
      <c r="U15" s="35">
        <v>591332</v>
      </c>
      <c r="V15" s="35">
        <v>620150</v>
      </c>
      <c r="W15" s="35">
        <v>626926</v>
      </c>
      <c r="X15" s="35">
        <v>673928</v>
      </c>
      <c r="Y15" s="35">
        <v>662540</v>
      </c>
      <c r="Z15" s="35">
        <f t="shared" ref="Z15" si="25">+Z14*(V15/V14)</f>
        <v>737076.29256574519</v>
      </c>
      <c r="AA15" s="72"/>
      <c r="AB15" s="29"/>
      <c r="AC15" s="18"/>
      <c r="AJ15" s="35">
        <v>738720</v>
      </c>
      <c r="AK15" s="35">
        <v>891003</v>
      </c>
      <c r="AL15" s="35">
        <v>1073514</v>
      </c>
      <c r="AM15" s="35">
        <v>1420994</v>
      </c>
      <c r="AN15" s="35">
        <v>1503835</v>
      </c>
      <c r="AO15" s="35">
        <v>1365580</v>
      </c>
      <c r="AP15" s="35">
        <v>1535428</v>
      </c>
      <c r="AQ15" s="35">
        <v>1600760</v>
      </c>
      <c r="AR15" s="35">
        <v>1847916</v>
      </c>
      <c r="AS15" s="88">
        <v>1932766</v>
      </c>
      <c r="AT15" s="88">
        <f t="shared" si="22"/>
        <v>2308631</v>
      </c>
      <c r="AU15" s="88">
        <f>+AU14*(AT15/AT14)</f>
        <v>2687116.445325356</v>
      </c>
      <c r="AV15" s="88">
        <f>+AV14*(AU15/AU14)</f>
        <v>3125968.1112334109</v>
      </c>
      <c r="AW15" s="88">
        <f>+AW14*(AV15/AV14)</f>
        <v>3595628.5241015898</v>
      </c>
      <c r="AX15" s="88">
        <f>+AX14*(AW15/AW14)</f>
        <v>4097860.221021249</v>
      </c>
      <c r="AY15" s="88">
        <f t="shared" ref="AY15:BC15" si="26">+AY14*(AX15/AX14)</f>
        <v>4634517.4480559183</v>
      </c>
      <c r="AZ15" s="88">
        <f t="shared" si="26"/>
        <v>5207550.6768997284</v>
      </c>
      <c r="BA15" s="88">
        <f t="shared" si="26"/>
        <v>5819011.3361341525</v>
      </c>
      <c r="BB15" s="88">
        <f t="shared" si="26"/>
        <v>6471056.7670242926</v>
      </c>
      <c r="BC15" s="88">
        <f t="shared" si="26"/>
        <v>7165955.4142478276</v>
      </c>
      <c r="BD15" s="88">
        <f t="shared" ref="BD15" si="27">+BD14*(BC15/BC14)</f>
        <v>7906092.2624220075</v>
      </c>
      <c r="BE15" s="88">
        <f t="shared" ref="BE15" si="28">+BE14*(BD15/BD14)</f>
        <v>8693974.5297873262</v>
      </c>
    </row>
    <row r="16" spans="1:60" s="35" customFormat="1">
      <c r="A16" s="23"/>
      <c r="B16" s="19" t="s">
        <v>22</v>
      </c>
      <c r="C16" s="35">
        <v>287851</v>
      </c>
      <c r="D16" s="35">
        <v>305851</v>
      </c>
      <c r="E16" s="35">
        <v>306862</v>
      </c>
      <c r="F16" s="35">
        <f t="shared" si="19"/>
        <v>305428</v>
      </c>
      <c r="G16" s="35">
        <v>318863</v>
      </c>
      <c r="H16" s="35">
        <v>341842</v>
      </c>
      <c r="I16" s="35">
        <v>332865</v>
      </c>
      <c r="J16" s="35">
        <f t="shared" si="24"/>
        <v>332509</v>
      </c>
      <c r="K16" s="35">
        <v>348842</v>
      </c>
      <c r="L16" s="35">
        <v>368053</v>
      </c>
      <c r="M16" s="35">
        <v>373645</v>
      </c>
      <c r="N16" s="35">
        <f t="shared" si="20"/>
        <v>381520</v>
      </c>
      <c r="O16" s="35">
        <v>393565</v>
      </c>
      <c r="P16" s="35">
        <v>385266</v>
      </c>
      <c r="Q16" s="35">
        <v>405818</v>
      </c>
      <c r="R16" s="35">
        <f t="shared" si="18"/>
        <v>408364</v>
      </c>
      <c r="S16" s="35">
        <v>433669</v>
      </c>
      <c r="T16" s="35">
        <v>464506</v>
      </c>
      <c r="U16" s="35">
        <v>502757</v>
      </c>
      <c r="V16" s="35">
        <v>516829</v>
      </c>
      <c r="W16" s="35">
        <v>531940</v>
      </c>
      <c r="X16" s="35">
        <v>549926</v>
      </c>
      <c r="Y16" s="35">
        <v>557178</v>
      </c>
      <c r="Z16" s="35">
        <f t="shared" ref="Z16" si="29">+Z14*(V16/V14)</f>
        <v>614274.61615812546</v>
      </c>
      <c r="AA16" s="72"/>
      <c r="AB16" s="18"/>
      <c r="AC16" s="18"/>
      <c r="AJ16" s="35">
        <v>543119</v>
      </c>
      <c r="AK16" s="35">
        <v>641836</v>
      </c>
      <c r="AL16" s="35">
        <v>739800</v>
      </c>
      <c r="AM16" s="35">
        <v>904407</v>
      </c>
      <c r="AN16" s="35">
        <v>1045726</v>
      </c>
      <c r="AO16" s="35">
        <v>1105001</v>
      </c>
      <c r="AP16" s="35">
        <v>1205992</v>
      </c>
      <c r="AQ16" s="35">
        <v>1326079</v>
      </c>
      <c r="AR16" s="35">
        <v>1472060</v>
      </c>
      <c r="AS16" s="88">
        <v>1593013</v>
      </c>
      <c r="AT16" s="88">
        <f t="shared" si="22"/>
        <v>1917761</v>
      </c>
      <c r="AU16" s="88">
        <f>+AU14*(AT16/AT14)</f>
        <v>2232165.7819303307</v>
      </c>
      <c r="AV16" s="88">
        <f>+AV14*(AU16/AU14)</f>
        <v>2596716.2924551815</v>
      </c>
      <c r="AW16" s="88">
        <f t="shared" ref="AW16:BC16" si="30">+AW14*(AV16/AV14)</f>
        <v>2986859.378570932</v>
      </c>
      <c r="AX16" s="88">
        <f t="shared" si="30"/>
        <v>3404059.1655080141</v>
      </c>
      <c r="AY16" s="88">
        <f t="shared" si="30"/>
        <v>3849855.9603943494</v>
      </c>
      <c r="AZ16" s="88">
        <f t="shared" si="30"/>
        <v>4325870.0042067794</v>
      </c>
      <c r="BA16" s="88">
        <f t="shared" si="30"/>
        <v>4833805.4019875713</v>
      </c>
      <c r="BB16" s="88">
        <f t="shared" si="30"/>
        <v>5375454.2395840976</v>
      </c>
      <c r="BC16" s="88">
        <f t="shared" si="30"/>
        <v>5952700.8955451651</v>
      </c>
      <c r="BD16" s="88">
        <f t="shared" ref="BD16" si="31">+BD14*(BC16/BC14)</f>
        <v>6567526.5571997836</v>
      </c>
      <c r="BE16" s="88">
        <f t="shared" ref="BE16" si="32">+BE14*(BD16/BD14)</f>
        <v>7222013.950353899</v>
      </c>
    </row>
    <row r="17" spans="1:247" s="35" customFormat="1">
      <c r="A17" s="23"/>
      <c r="B17" s="19" t="s">
        <v>23</v>
      </c>
      <c r="C17" s="35">
        <v>78962</v>
      </c>
      <c r="D17" s="35">
        <v>80321</v>
      </c>
      <c r="E17" s="35">
        <v>83199</v>
      </c>
      <c r="F17" s="35">
        <f t="shared" si="19"/>
        <v>84650</v>
      </c>
      <c r="G17" s="35">
        <v>85256</v>
      </c>
      <c r="H17" s="35">
        <v>86772</v>
      </c>
      <c r="I17" s="35">
        <v>86691</v>
      </c>
      <c r="J17" s="35">
        <f t="shared" si="24"/>
        <v>88404</v>
      </c>
      <c r="K17" s="35">
        <v>88770</v>
      </c>
      <c r="L17" s="35">
        <v>89923</v>
      </c>
      <c r="M17" s="35">
        <v>91409</v>
      </c>
      <c r="N17" s="35">
        <f t="shared" si="20"/>
        <v>92970</v>
      </c>
      <c r="O17" s="35">
        <v>95279</v>
      </c>
      <c r="P17" s="35">
        <v>95576</v>
      </c>
      <c r="Q17" s="35">
        <v>97694</v>
      </c>
      <c r="R17" s="35">
        <f t="shared" si="18"/>
        <v>99213</v>
      </c>
      <c r="S17" s="35">
        <v>101769</v>
      </c>
      <c r="T17" s="35">
        <v>103430</v>
      </c>
      <c r="U17" s="35">
        <v>104223</v>
      </c>
      <c r="V17" s="35">
        <v>107184</v>
      </c>
      <c r="W17" s="35">
        <v>112032</v>
      </c>
      <c r="X17" s="35">
        <v>113919</v>
      </c>
      <c r="Y17" s="35">
        <v>115826</v>
      </c>
      <c r="Z17" s="35">
        <f t="shared" ref="Z17" si="33">+Z14*(V17/V14)</f>
        <v>127393.02643290626</v>
      </c>
      <c r="AA17" s="72"/>
      <c r="AB17" s="18"/>
      <c r="AC17" s="18"/>
      <c r="AJ17" s="35">
        <v>147274</v>
      </c>
      <c r="AK17" s="35">
        <v>171435</v>
      </c>
      <c r="AL17" s="35">
        <v>199107</v>
      </c>
      <c r="AM17" s="35">
        <v>230868</v>
      </c>
      <c r="AN17" s="35">
        <v>262412</v>
      </c>
      <c r="AO17" s="35">
        <v>293636</v>
      </c>
      <c r="AP17" s="35">
        <v>327132</v>
      </c>
      <c r="AQ17" s="35">
        <v>347123</v>
      </c>
      <c r="AR17" s="35">
        <v>363072</v>
      </c>
      <c r="AS17" s="88">
        <v>387762</v>
      </c>
      <c r="AT17" s="88">
        <f t="shared" si="22"/>
        <v>416606</v>
      </c>
      <c r="AU17" s="88">
        <f t="shared" ref="AU17:BC17" si="34">+AU14*(AT17/AT14)</f>
        <v>484905.91775871295</v>
      </c>
      <c r="AV17" s="88">
        <f t="shared" si="34"/>
        <v>564099.27396301378</v>
      </c>
      <c r="AW17" s="88">
        <f t="shared" si="34"/>
        <v>648852.24919524475</v>
      </c>
      <c r="AX17" s="88">
        <f t="shared" si="34"/>
        <v>739482.90360771329</v>
      </c>
      <c r="AY17" s="88">
        <f t="shared" si="34"/>
        <v>836325.8467744668</v>
      </c>
      <c r="AZ17" s="88">
        <f t="shared" si="34"/>
        <v>939733.0527487885</v>
      </c>
      <c r="BA17" s="88">
        <f t="shared" si="34"/>
        <v>1050074.7138462167</v>
      </c>
      <c r="BB17" s="88">
        <f t="shared" si="34"/>
        <v>1167740.1349470413</v>
      </c>
      <c r="BC17" s="88">
        <f t="shared" si="34"/>
        <v>1293138.6701937777</v>
      </c>
      <c r="BD17" s="88">
        <f t="shared" ref="BD17" si="35">+BD14*(BC17/BC14)</f>
        <v>1426700.7040443379</v>
      </c>
      <c r="BE17" s="88">
        <f t="shared" ref="BE17" si="36">+BE14*(BD17/BD14)</f>
        <v>1568878.6787306326</v>
      </c>
    </row>
    <row r="18" spans="1:247" s="35" customFormat="1">
      <c r="A18" s="23"/>
      <c r="B18" s="19" t="s">
        <v>24</v>
      </c>
      <c r="C18" s="35">
        <v>150609</v>
      </c>
      <c r="D18" s="35">
        <v>163685</v>
      </c>
      <c r="E18" s="35">
        <v>162312</v>
      </c>
      <c r="F18" s="35">
        <f t="shared" si="19"/>
        <v>175038</v>
      </c>
      <c r="G18" s="35">
        <v>148069</v>
      </c>
      <c r="H18" s="35">
        <v>175171</v>
      </c>
      <c r="I18" s="35">
        <v>167488</v>
      </c>
      <c r="J18" s="35">
        <f t="shared" si="24"/>
        <v>189303</v>
      </c>
      <c r="K18" s="35">
        <v>174743</v>
      </c>
      <c r="L18" s="35">
        <v>193309</v>
      </c>
      <c r="M18" s="35">
        <v>180259</v>
      </c>
      <c r="N18" s="35">
        <f t="shared" si="20"/>
        <v>212070</v>
      </c>
      <c r="O18" s="35">
        <v>210762</v>
      </c>
      <c r="P18" s="35">
        <v>262378</v>
      </c>
      <c r="Q18" s="35">
        <v>268416</v>
      </c>
      <c r="R18" s="35">
        <f t="shared" si="18"/>
        <v>288456</v>
      </c>
      <c r="S18" s="35">
        <v>294710</v>
      </c>
      <c r="T18" s="35">
        <v>287242</v>
      </c>
      <c r="U18" s="35">
        <v>294650</v>
      </c>
      <c r="V18" s="35">
        <v>320452</v>
      </c>
      <c r="W18" s="35">
        <v>330695</v>
      </c>
      <c r="X18" s="35">
        <v>317481</v>
      </c>
      <c r="Y18" s="35">
        <v>322085</v>
      </c>
      <c r="Z18" s="35">
        <f t="shared" ref="Z18" si="37">+Z14*(V18/V14)</f>
        <v>380871.67960215779</v>
      </c>
      <c r="AA18" s="72"/>
      <c r="AB18" s="18"/>
      <c r="AC18" s="18"/>
      <c r="AJ18" s="35">
        <v>251208</v>
      </c>
      <c r="AK18" s="35">
        <v>286610</v>
      </c>
      <c r="AL18" s="35">
        <v>347401</v>
      </c>
      <c r="AM18" s="35">
        <v>434244</v>
      </c>
      <c r="AN18" s="35">
        <v>514963</v>
      </c>
      <c r="AO18" s="35">
        <v>641953</v>
      </c>
      <c r="AP18" s="35">
        <v>651644</v>
      </c>
      <c r="AQ18" s="35">
        <v>680031</v>
      </c>
      <c r="AR18" s="35">
        <v>760381</v>
      </c>
      <c r="AS18" s="88">
        <v>1030012</v>
      </c>
      <c r="AT18" s="88">
        <f t="shared" si="22"/>
        <v>1197054</v>
      </c>
      <c r="AU18" s="88">
        <f t="shared" ref="AU18:BC18" si="38">+AU14*(AT18/AT14)</f>
        <v>1393303.4293234816</v>
      </c>
      <c r="AV18" s="88">
        <f t="shared" si="38"/>
        <v>1620853.4977761277</v>
      </c>
      <c r="AW18" s="88">
        <f t="shared" si="38"/>
        <v>1864378.2862180679</v>
      </c>
      <c r="AX18" s="88">
        <f t="shared" si="38"/>
        <v>2124791.6921389215</v>
      </c>
      <c r="AY18" s="88">
        <f t="shared" si="38"/>
        <v>2403055.1652754941</v>
      </c>
      <c r="AZ18" s="88">
        <f t="shared" si="38"/>
        <v>2700180.0495555708</v>
      </c>
      <c r="BA18" s="88">
        <f t="shared" si="38"/>
        <v>3017230.0363136125</v>
      </c>
      <c r="BB18" s="88">
        <f t="shared" si="38"/>
        <v>3355323.7339330092</v>
      </c>
      <c r="BC18" s="88">
        <f t="shared" si="38"/>
        <v>3715637.3593038553</v>
      </c>
      <c r="BD18" s="88">
        <f t="shared" ref="BD18" si="39">+BD14*(BC18/BC14)</f>
        <v>4099407.5567300767</v>
      </c>
      <c r="BE18" s="88">
        <f t="shared" ref="BE18" si="40">+BE14*(BD18/BD14)</f>
        <v>4507934.3501755092</v>
      </c>
    </row>
    <row r="19" spans="1:247" s="35" customFormat="1">
      <c r="A19" s="23"/>
      <c r="B19" s="19" t="s">
        <v>25</v>
      </c>
      <c r="C19" s="35">
        <v>69441</v>
      </c>
      <c r="D19" s="35">
        <v>70075</v>
      </c>
      <c r="E19" s="35">
        <v>99182</v>
      </c>
      <c r="F19" s="35">
        <f t="shared" si="19"/>
        <v>57690</v>
      </c>
      <c r="G19" s="35">
        <v>77063</v>
      </c>
      <c r="H19" s="35">
        <v>85153</v>
      </c>
      <c r="I19" s="35">
        <v>109524</v>
      </c>
      <c r="J19" s="35">
        <f t="shared" si="24"/>
        <v>103720</v>
      </c>
      <c r="K19" s="35">
        <v>102671</v>
      </c>
      <c r="L19" s="35">
        <v>121395</v>
      </c>
      <c r="M19" s="35">
        <v>115070</v>
      </c>
      <c r="N19" s="35">
        <f t="shared" si="20"/>
        <v>112416</v>
      </c>
      <c r="O19" s="35">
        <v>106470</v>
      </c>
      <c r="P19" s="35">
        <v>102647</v>
      </c>
      <c r="Q19" s="35">
        <v>133150</v>
      </c>
      <c r="R19" s="35">
        <f t="shared" si="18"/>
        <v>124024</v>
      </c>
      <c r="S19" s="35">
        <v>155103</v>
      </c>
      <c r="T19" s="35">
        <v>146044</v>
      </c>
      <c r="U19" s="35">
        <v>145930</v>
      </c>
      <c r="V19" s="35">
        <v>159777</v>
      </c>
      <c r="W19" s="35">
        <v>147402</v>
      </c>
      <c r="X19" s="35">
        <v>140820</v>
      </c>
      <c r="Y19" s="35">
        <v>140896</v>
      </c>
      <c r="Z19" s="35">
        <f t="shared" ref="Z19" si="41">+Z14*(V19/V14)</f>
        <v>189902.18301584627</v>
      </c>
      <c r="AA19" s="72"/>
      <c r="AB19" s="18"/>
      <c r="AC19" s="18"/>
      <c r="AJ19" s="35">
        <v>149426</v>
      </c>
      <c r="AK19" s="35">
        <v>183409</v>
      </c>
      <c r="AL19" s="35">
        <v>203733</v>
      </c>
      <c r="AM19" s="35">
        <v>273897</v>
      </c>
      <c r="AN19" s="35">
        <v>250214</v>
      </c>
      <c r="AO19" s="35">
        <v>276240</v>
      </c>
      <c r="AP19" s="35">
        <v>296388</v>
      </c>
      <c r="AQ19" s="35">
        <v>375460</v>
      </c>
      <c r="AR19" s="35">
        <v>451552</v>
      </c>
      <c r="AS19" s="88">
        <v>466291</v>
      </c>
      <c r="AT19" s="88">
        <f t="shared" si="22"/>
        <v>606854</v>
      </c>
      <c r="AU19" s="88">
        <f>+AU14*(AT19/AT14)</f>
        <v>706343.87362531025</v>
      </c>
      <c r="AV19" s="88">
        <f t="shared" ref="AV19:BC19" si="42">+AV14*(AU19/AU14)</f>
        <v>821701.80170605017</v>
      </c>
      <c r="AW19" s="88">
        <f t="shared" si="42"/>
        <v>945158.21383544884</v>
      </c>
      <c r="AX19" s="88">
        <f t="shared" si="42"/>
        <v>1077176.4160524695</v>
      </c>
      <c r="AY19" s="88">
        <f t="shared" si="42"/>
        <v>1218243.8213047152</v>
      </c>
      <c r="AZ19" s="88">
        <f t="shared" si="42"/>
        <v>1368873.136711457</v>
      </c>
      <c r="BA19" s="88">
        <f t="shared" si="42"/>
        <v>1529603.6072366501</v>
      </c>
      <c r="BB19" s="88">
        <f t="shared" si="42"/>
        <v>1701002.3183851207</v>
      </c>
      <c r="BC19" s="88">
        <f t="shared" si="42"/>
        <v>1883665.5606538903</v>
      </c>
      <c r="BD19" s="88">
        <f t="shared" ref="BD19" si="43">+BD14*(BC19/BC14)</f>
        <v>2078220.2585947451</v>
      </c>
      <c r="BE19" s="88">
        <f t="shared" ref="BE19" si="44">+BE14*(BD19/BD14)</f>
        <v>2285325.4674738222</v>
      </c>
    </row>
    <row r="20" spans="1:247" s="35" customFormat="1">
      <c r="A20" s="23"/>
      <c r="B20" s="19" t="s">
        <v>26</v>
      </c>
      <c r="C20" s="35">
        <v>39279</v>
      </c>
      <c r="D20" s="35">
        <v>41081</v>
      </c>
      <c r="E20" s="35">
        <v>41546</v>
      </c>
      <c r="F20" s="35">
        <f t="shared" si="19"/>
        <v>41442</v>
      </c>
      <c r="G20" s="35">
        <v>46915</v>
      </c>
      <c r="H20" s="35">
        <v>49193</v>
      </c>
      <c r="I20" s="35">
        <v>52654</v>
      </c>
      <c r="J20" s="35">
        <f t="shared" si="24"/>
        <v>53217</v>
      </c>
      <c r="K20" s="35">
        <v>53781</v>
      </c>
      <c r="L20" s="35">
        <v>51642</v>
      </c>
      <c r="M20" s="35">
        <v>52206</v>
      </c>
      <c r="N20" s="35">
        <f t="shared" si="20"/>
        <v>55149</v>
      </c>
      <c r="O20" s="35">
        <v>58374</v>
      </c>
      <c r="P20" s="35">
        <v>60024</v>
      </c>
      <c r="Q20" s="35">
        <v>60180</v>
      </c>
      <c r="R20" s="35">
        <f t="shared" si="18"/>
        <v>59956</v>
      </c>
      <c r="S20" s="35">
        <v>63122</v>
      </c>
      <c r="T20" s="35">
        <v>62082</v>
      </c>
      <c r="U20" s="35">
        <v>63191</v>
      </c>
      <c r="V20" s="35">
        <v>66262</v>
      </c>
      <c r="W20" s="35">
        <v>71665</v>
      </c>
      <c r="X20" s="35">
        <v>69733</v>
      </c>
      <c r="Y20" s="35">
        <v>71416</v>
      </c>
      <c r="Z20" s="35">
        <f t="shared" ref="Z20" si="45">+Z14*(V20/V14)</f>
        <v>78755.380630478758</v>
      </c>
      <c r="AA20" s="72"/>
      <c r="AB20" s="18"/>
      <c r="AC20" s="18"/>
      <c r="AJ20" s="35">
        <v>74938</v>
      </c>
      <c r="AK20" s="35">
        <v>84130</v>
      </c>
      <c r="AL20" s="35">
        <v>96054</v>
      </c>
      <c r="AM20" s="35">
        <v>110474</v>
      </c>
      <c r="AN20" s="35">
        <v>130368</v>
      </c>
      <c r="AO20" s="35">
        <v>146368</v>
      </c>
      <c r="AP20" s="35">
        <v>163348</v>
      </c>
      <c r="AQ20" s="35">
        <v>201979</v>
      </c>
      <c r="AR20" s="35">
        <v>212778</v>
      </c>
      <c r="AS20" s="88">
        <v>238534</v>
      </c>
      <c r="AT20" s="88">
        <v>254657</v>
      </c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</row>
    <row r="21" spans="1:247" s="35" customFormat="1">
      <c r="A21" s="23"/>
      <c r="B21" s="19" t="s">
        <v>27</v>
      </c>
      <c r="C21" s="35">
        <v>4069</v>
      </c>
      <c r="D21" s="35">
        <v>2903</v>
      </c>
      <c r="E21" s="35">
        <v>2792</v>
      </c>
      <c r="F21" s="35">
        <f t="shared" si="19"/>
        <v>2577</v>
      </c>
      <c r="G21" s="35">
        <v>2649</v>
      </c>
      <c r="H21" s="35">
        <v>2014</v>
      </c>
      <c r="I21" s="35">
        <v>2127</v>
      </c>
      <c r="J21" s="35">
        <f t="shared" si="24"/>
        <v>1756</v>
      </c>
      <c r="K21" s="35">
        <v>940</v>
      </c>
      <c r="L21" s="35">
        <v>2118</v>
      </c>
      <c r="M21" s="35">
        <v>3064</v>
      </c>
      <c r="N21" s="35">
        <f t="shared" si="20"/>
        <v>4986</v>
      </c>
      <c r="O21" s="35">
        <v>3566</v>
      </c>
      <c r="P21" s="35">
        <v>3644</v>
      </c>
      <c r="Q21" s="35">
        <v>3808</v>
      </c>
      <c r="R21" s="35">
        <f t="shared" si="18"/>
        <v>4497</v>
      </c>
      <c r="S21" s="35">
        <v>3421</v>
      </c>
      <c r="T21" s="35">
        <v>4965</v>
      </c>
      <c r="U21" s="35">
        <v>5894</v>
      </c>
      <c r="V21" s="35">
        <v>6984</v>
      </c>
      <c r="W21" s="35">
        <v>5348</v>
      </c>
      <c r="X21" s="35">
        <v>5253</v>
      </c>
      <c r="Y21" s="35">
        <v>7618</v>
      </c>
      <c r="Z21" s="35">
        <f t="shared" ref="Z21" si="46">+Z14*(V21/V14)</f>
        <v>8300.799527983816</v>
      </c>
      <c r="AA21" s="72"/>
      <c r="AB21" s="18"/>
      <c r="AC21" s="18"/>
      <c r="AJ21" s="35">
        <v>8495</v>
      </c>
      <c r="AK21" s="35">
        <v>11909</v>
      </c>
      <c r="AL21" s="35">
        <v>15511</v>
      </c>
      <c r="AM21" s="35">
        <v>15609</v>
      </c>
      <c r="AN21" s="35">
        <v>16922</v>
      </c>
      <c r="AO21" s="35">
        <v>17162</v>
      </c>
      <c r="AP21" s="35">
        <v>12341</v>
      </c>
      <c r="AQ21" s="35">
        <v>8546</v>
      </c>
      <c r="AR21" s="35">
        <v>11108</v>
      </c>
      <c r="AS21" s="88">
        <v>15515</v>
      </c>
      <c r="AT21" s="88">
        <f>+SUM(S21:V21)</f>
        <v>21264</v>
      </c>
      <c r="AU21" s="88">
        <f t="shared" ref="AU21:BC21" si="47">+AU14*(AT21/AT14)</f>
        <v>24750.098258837541</v>
      </c>
      <c r="AV21" s="88">
        <f t="shared" si="47"/>
        <v>28792.208853327906</v>
      </c>
      <c r="AW21" s="88">
        <f t="shared" si="47"/>
        <v>33118.088138163359</v>
      </c>
      <c r="AX21" s="88">
        <f t="shared" si="47"/>
        <v>37743.970231620326</v>
      </c>
      <c r="AY21" s="88">
        <f t="shared" si="47"/>
        <v>42686.933951532781</v>
      </c>
      <c r="AZ21" s="88">
        <f t="shared" si="47"/>
        <v>47964.944416667648</v>
      </c>
      <c r="BA21" s="88">
        <f t="shared" si="47"/>
        <v>53596.896624690839</v>
      </c>
      <c r="BB21" s="88">
        <f t="shared" si="47"/>
        <v>59602.661098289238</v>
      </c>
      <c r="BC21" s="88">
        <f t="shared" si="47"/>
        <v>66003.131695175995</v>
      </c>
      <c r="BD21" s="88">
        <f t="shared" ref="BD21" si="48">+BD14*(BC21/BC14)</f>
        <v>72820.275682056439</v>
      </c>
      <c r="BE21" s="88">
        <f t="shared" ref="BE21" si="49">+BE14*(BD21/BD14)</f>
        <v>80077.186177175026</v>
      </c>
    </row>
    <row r="22" spans="1:247" s="35" customFormat="1">
      <c r="A22" s="23"/>
      <c r="B22" s="19" t="s">
        <v>191</v>
      </c>
      <c r="C22" s="35">
        <v>3650</v>
      </c>
      <c r="D22" s="35">
        <v>-384</v>
      </c>
      <c r="E22" s="35">
        <v>6747</v>
      </c>
      <c r="F22" s="35">
        <f t="shared" si="19"/>
        <v>3332</v>
      </c>
      <c r="G22" s="35">
        <v>4859</v>
      </c>
      <c r="H22" s="35">
        <v>45322</v>
      </c>
      <c r="I22" s="35">
        <v>6454</v>
      </c>
      <c r="J22" s="35">
        <f t="shared" si="24"/>
        <v>10004</v>
      </c>
      <c r="K22" s="35">
        <v>6942</v>
      </c>
      <c r="L22" s="35">
        <v>4487</v>
      </c>
      <c r="M22" s="35">
        <v>5927</v>
      </c>
      <c r="N22" s="35">
        <f t="shared" si="20"/>
        <v>5738</v>
      </c>
      <c r="O22" s="35">
        <v>9336</v>
      </c>
      <c r="P22" s="35">
        <v>5386</v>
      </c>
      <c r="Q22" s="35">
        <v>7991</v>
      </c>
      <c r="R22" s="35">
        <f t="shared" si="18"/>
        <v>7864</v>
      </c>
      <c r="S22" s="35">
        <v>5668</v>
      </c>
      <c r="T22" s="35">
        <v>4266</v>
      </c>
      <c r="U22" s="35">
        <v>4658</v>
      </c>
      <c r="V22" s="35">
        <v>4699</v>
      </c>
      <c r="W22" s="35">
        <v>4310</v>
      </c>
      <c r="X22" s="35">
        <v>4681</v>
      </c>
      <c r="Y22" s="35">
        <v>6363</v>
      </c>
      <c r="Z22" s="35">
        <f t="shared" ref="Z22" si="50">+Z14*(V22/V14)</f>
        <v>5584.973794672961</v>
      </c>
      <c r="AA22" s="72"/>
      <c r="AB22" s="18"/>
      <c r="AC22" s="18"/>
      <c r="AJ22" s="35">
        <v>5806</v>
      </c>
      <c r="AK22" s="35">
        <v>5027</v>
      </c>
      <c r="AL22" s="35">
        <v>6751</v>
      </c>
      <c r="AM22" s="35">
        <v>6979</v>
      </c>
      <c r="AN22" s="35">
        <v>13194</v>
      </c>
      <c r="AO22" s="35">
        <v>23877</v>
      </c>
      <c r="AP22" s="35">
        <v>13345</v>
      </c>
      <c r="AQ22" s="35">
        <v>66639</v>
      </c>
      <c r="AR22" s="35">
        <v>23094</v>
      </c>
      <c r="AS22" s="88">
        <v>30577</v>
      </c>
      <c r="AT22" s="88">
        <f>+SUM(S22:V22)</f>
        <v>19291</v>
      </c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</row>
    <row r="23" spans="1:247" s="35" customFormat="1">
      <c r="A23" s="23"/>
      <c r="B23" s="19" t="s">
        <v>28</v>
      </c>
      <c r="C23" s="35">
        <f>+C14-SUM(C15:C22)</f>
        <v>73173</v>
      </c>
      <c r="D23" s="35">
        <f>+D14-SUM(D15:D22)</f>
        <v>106725</v>
      </c>
      <c r="E23" s="35">
        <f>+E14-SUM(E15:E22)</f>
        <v>30867</v>
      </c>
      <c r="F23" s="35">
        <f t="shared" si="19"/>
        <v>60029</v>
      </c>
      <c r="G23" s="35">
        <f>+G14-SUM(G15:G22)</f>
        <v>92808</v>
      </c>
      <c r="H23" s="35">
        <f>+H14-SUM(H15:H22)</f>
        <v>67957</v>
      </c>
      <c r="I23" s="35">
        <f>+I14-SUM(I15:I22)</f>
        <v>57991</v>
      </c>
      <c r="J23" s="35">
        <f t="shared" si="24"/>
        <v>39612</v>
      </c>
      <c r="K23" s="35">
        <f>+K14-SUM(K15:K22)</f>
        <v>110161</v>
      </c>
      <c r="L23" s="35">
        <f>+L14-SUM(L15:L22)</f>
        <v>120020</v>
      </c>
      <c r="M23" s="35">
        <f>+M14-SUM(M15:M22)</f>
        <v>115621</v>
      </c>
      <c r="N23" s="35">
        <f t="shared" si="20"/>
        <v>98606</v>
      </c>
      <c r="O23" s="35">
        <f>+O14-SUM(O15:O22)</f>
        <v>71121</v>
      </c>
      <c r="P23" s="35">
        <f>+P14-SUM(P15:P22)</f>
        <v>-4939</v>
      </c>
      <c r="Q23" s="35">
        <f>+Q14-SUM(Q15:Q22)</f>
        <v>107096</v>
      </c>
      <c r="R23" s="35">
        <f t="shared" si="18"/>
        <v>116886</v>
      </c>
      <c r="S23" s="35">
        <f>+S14-SUM(S15:S22)</f>
        <v>161442</v>
      </c>
      <c r="T23" s="35">
        <f>+T14-SUM(T15:T22)</f>
        <v>245525</v>
      </c>
      <c r="U23" s="35">
        <f>+U14-SUM(U15:U22)</f>
        <v>239680</v>
      </c>
      <c r="V23" s="35">
        <f t="shared" ref="V23" si="51">+V14-SUM(V15:V22)</f>
        <v>158296</v>
      </c>
      <c r="W23" s="35">
        <f>+W14-SUM(W15:W22)</f>
        <v>190221</v>
      </c>
      <c r="X23" s="35">
        <f>+X14-SUM(X15:X22)</f>
        <v>337598</v>
      </c>
      <c r="Y23" s="35">
        <f>+Y14-SUM(Y15:Y22)</f>
        <v>336253</v>
      </c>
      <c r="Z23" s="35">
        <f t="shared" ref="Z23" si="52">+Z14-SUM(Z15:Z22)</f>
        <v>188141.94760620361</v>
      </c>
      <c r="AA23" s="72"/>
      <c r="AB23" s="18"/>
      <c r="AC23" s="18"/>
      <c r="AJ23" s="35">
        <f t="shared" ref="AJ23:AS23" si="53">+AJ14-SUM(AJ15:AJ22)</f>
        <v>350562</v>
      </c>
      <c r="AK23" s="35">
        <f t="shared" si="53"/>
        <v>455865</v>
      </c>
      <c r="AL23" s="35">
        <f t="shared" si="53"/>
        <v>532720</v>
      </c>
      <c r="AM23" s="35">
        <f t="shared" si="53"/>
        <v>710797</v>
      </c>
      <c r="AN23" s="35">
        <f t="shared" si="53"/>
        <v>763589</v>
      </c>
      <c r="AO23" s="35">
        <f t="shared" si="53"/>
        <v>34567</v>
      </c>
      <c r="AP23" s="35">
        <f t="shared" si="53"/>
        <v>270794</v>
      </c>
      <c r="AQ23" s="35">
        <f t="shared" si="53"/>
        <v>258368</v>
      </c>
      <c r="AR23" s="35">
        <f t="shared" si="53"/>
        <v>444408</v>
      </c>
      <c r="AS23" s="88">
        <f t="shared" si="53"/>
        <v>290164</v>
      </c>
      <c r="AT23" s="88">
        <f>SUM(S23:V23)</f>
        <v>804943</v>
      </c>
      <c r="AU23" s="88">
        <f>+AU14-SUM(AU15:AU22)</f>
        <v>1255768.3531120913</v>
      </c>
      <c r="AV23" s="88">
        <f t="shared" ref="AV23:BC23" si="54">+AV14-SUM(AV15:AV22)</f>
        <v>1460856.6122072879</v>
      </c>
      <c r="AW23" s="88">
        <f t="shared" si="54"/>
        <v>1680342.7026651241</v>
      </c>
      <c r="AX23" s="88">
        <f t="shared" si="54"/>
        <v>1915050.3097800538</v>
      </c>
      <c r="AY23" s="88">
        <f t="shared" si="54"/>
        <v>2165845.9771399163</v>
      </c>
      <c r="AZ23" s="88">
        <f t="shared" si="54"/>
        <v>2433641.2173929159</v>
      </c>
      <c r="BA23" s="88">
        <f t="shared" si="54"/>
        <v>2719394.723302735</v>
      </c>
      <c r="BB23" s="88">
        <f t="shared" si="54"/>
        <v>3024114.6837375052</v>
      </c>
      <c r="BC23" s="88">
        <f t="shared" si="54"/>
        <v>3348861.2094497755</v>
      </c>
      <c r="BD23" s="88">
        <f t="shared" ref="BD23:BE23" si="55">+BD14-SUM(BD15:BD22)</f>
        <v>3694748.8737250529</v>
      </c>
      <c r="BE23" s="88">
        <f t="shared" si="55"/>
        <v>4062949.3732072264</v>
      </c>
    </row>
    <row r="24" spans="1:247" s="35" customFormat="1">
      <c r="A24" s="23"/>
      <c r="B24" s="19" t="s">
        <v>29</v>
      </c>
      <c r="C24" s="35">
        <v>1188</v>
      </c>
      <c r="D24" s="35">
        <v>1049</v>
      </c>
      <c r="E24" s="35">
        <v>1275</v>
      </c>
      <c r="F24" s="35">
        <f t="shared" si="19"/>
        <v>1437</v>
      </c>
      <c r="G24" s="35">
        <v>1394</v>
      </c>
      <c r="H24" s="35">
        <v>2323</v>
      </c>
      <c r="I24" s="35">
        <v>2493</v>
      </c>
      <c r="J24" s="35">
        <f t="shared" si="24"/>
        <v>3858</v>
      </c>
      <c r="K24" s="35">
        <v>3129</v>
      </c>
      <c r="L24" s="35">
        <v>3947</v>
      </c>
      <c r="M24" s="35">
        <v>4411</v>
      </c>
      <c r="N24" s="35">
        <f t="shared" si="20"/>
        <v>2840</v>
      </c>
      <c r="O24" s="35">
        <v>2743</v>
      </c>
      <c r="P24" s="35">
        <v>623</v>
      </c>
      <c r="Q24" s="35">
        <v>-595</v>
      </c>
      <c r="R24" s="35">
        <f t="shared" si="18"/>
        <v>846</v>
      </c>
      <c r="S24" s="35">
        <v>-2168</v>
      </c>
      <c r="T24" s="35">
        <v>851</v>
      </c>
      <c r="U24" s="35">
        <v>-126</v>
      </c>
      <c r="V24" s="35">
        <v>9263</v>
      </c>
      <c r="W24" s="35">
        <v>-213</v>
      </c>
      <c r="X24" s="35">
        <v>10572</v>
      </c>
      <c r="Y24" s="35">
        <v>3712</v>
      </c>
      <c r="Z24" s="35">
        <f t="shared" ref="Z24" si="56">+Z23*(Y24/Y23)</f>
        <v>2076.9566651129589</v>
      </c>
      <c r="AA24" s="72"/>
      <c r="AB24" s="18"/>
      <c r="AC24" s="18"/>
      <c r="AJ24" s="35">
        <v>-857</v>
      </c>
      <c r="AK24" s="35">
        <v>1820</v>
      </c>
      <c r="AL24" s="35">
        <v>1751</v>
      </c>
      <c r="AM24" s="35">
        <v>3503</v>
      </c>
      <c r="AN24" s="35">
        <v>6278</v>
      </c>
      <c r="AO24" s="35">
        <v>4172</v>
      </c>
      <c r="AP24" s="35">
        <v>4949</v>
      </c>
      <c r="AQ24" s="35">
        <v>10068</v>
      </c>
      <c r="AR24" s="35">
        <v>14327</v>
      </c>
      <c r="AS24" s="88">
        <v>3617</v>
      </c>
      <c r="AT24" s="88">
        <f>+AT23*(AS24/AS23)</f>
        <v>10033.907827986932</v>
      </c>
      <c r="AU24" s="88">
        <f t="shared" ref="AU24:BE24" si="57">+AT40*$BH$34</f>
        <v>12574.95</v>
      </c>
      <c r="AV24" s="88">
        <f t="shared" si="57"/>
        <v>22087.524773340683</v>
      </c>
      <c r="AW24" s="88">
        <f t="shared" si="57"/>
        <v>33209.605800695397</v>
      </c>
      <c r="AX24" s="88">
        <f t="shared" si="57"/>
        <v>46061.248114189038</v>
      </c>
      <c r="AY24" s="88">
        <f t="shared" si="57"/>
        <v>60769.584798395859</v>
      </c>
      <c r="AZ24" s="88">
        <f t="shared" si="57"/>
        <v>77469.201512933199</v>
      </c>
      <c r="BA24" s="88">
        <f t="shared" si="57"/>
        <v>96302.529654727055</v>
      </c>
      <c r="BB24" s="88">
        <f t="shared" si="57"/>
        <v>117420.25905190804</v>
      </c>
      <c r="BC24" s="88">
        <f t="shared" si="57"/>
        <v>140981.77112282862</v>
      </c>
      <c r="BD24" s="88">
        <f t="shared" si="57"/>
        <v>167155.59347712316</v>
      </c>
      <c r="BE24" s="88">
        <f t="shared" si="57"/>
        <v>196119.87698113947</v>
      </c>
    </row>
    <row r="25" spans="1:247" s="35" customFormat="1">
      <c r="A25" s="23"/>
      <c r="B25" s="19" t="s">
        <v>30</v>
      </c>
      <c r="C25" s="35">
        <f>+C23+C24</f>
        <v>74361</v>
      </c>
      <c r="D25" s="35">
        <f>+D23+D24</f>
        <v>107774</v>
      </c>
      <c r="E25" s="35">
        <f>+E23+E24</f>
        <v>32142</v>
      </c>
      <c r="F25" s="35">
        <f t="shared" si="19"/>
        <v>61466</v>
      </c>
      <c r="G25" s="35">
        <f>+G23+G24</f>
        <v>94202</v>
      </c>
      <c r="H25" s="35">
        <f>+H23+H24</f>
        <v>70280</v>
      </c>
      <c r="I25" s="35">
        <f>+I23+I24</f>
        <v>60484</v>
      </c>
      <c r="J25" s="35">
        <f t="shared" si="24"/>
        <v>43470</v>
      </c>
      <c r="K25" s="35">
        <f>+K23+K24</f>
        <v>113290</v>
      </c>
      <c r="L25" s="35">
        <f>+L23+L24</f>
        <v>123967</v>
      </c>
      <c r="M25" s="35">
        <f>+M23+M24</f>
        <v>120032</v>
      </c>
      <c r="N25" s="35">
        <f t="shared" si="20"/>
        <v>101446</v>
      </c>
      <c r="O25" s="35">
        <f>+O23+O24</f>
        <v>73864</v>
      </c>
      <c r="P25" s="35">
        <f>+P23+P24</f>
        <v>-4316</v>
      </c>
      <c r="Q25" s="35">
        <f>+Q23+Q24</f>
        <v>106501</v>
      </c>
      <c r="R25" s="35">
        <f t="shared" si="18"/>
        <v>117732</v>
      </c>
      <c r="S25" s="35">
        <f>+S23+S24</f>
        <v>159274</v>
      </c>
      <c r="T25" s="35">
        <f>+T23+T24</f>
        <v>246376</v>
      </c>
      <c r="U25" s="35">
        <f>+U23+U24</f>
        <v>239554</v>
      </c>
      <c r="V25" s="35">
        <f t="shared" ref="V25" si="58">+V23+V24</f>
        <v>167559</v>
      </c>
      <c r="W25" s="35">
        <f>+W23+W24</f>
        <v>190008</v>
      </c>
      <c r="X25" s="35">
        <f>+X23+X24</f>
        <v>348170</v>
      </c>
      <c r="Y25" s="35">
        <f>+Y23+Y24</f>
        <v>339965</v>
      </c>
      <c r="Z25" s="35">
        <f t="shared" ref="Z25" si="59">+Z23+Z24</f>
        <v>190218.90427131657</v>
      </c>
      <c r="AA25" s="72"/>
      <c r="AB25" s="18"/>
      <c r="AC25" s="18"/>
      <c r="AJ25" s="35">
        <f t="shared" ref="AJ25:AT25" si="60">+AJ23+AJ24</f>
        <v>349705</v>
      </c>
      <c r="AK25" s="35">
        <f t="shared" si="60"/>
        <v>457685</v>
      </c>
      <c r="AL25" s="35">
        <f t="shared" si="60"/>
        <v>534471</v>
      </c>
      <c r="AM25" s="35">
        <f t="shared" si="60"/>
        <v>714300</v>
      </c>
      <c r="AN25" s="35">
        <f t="shared" si="60"/>
        <v>769867</v>
      </c>
      <c r="AO25" s="35">
        <f t="shared" si="60"/>
        <v>38739</v>
      </c>
      <c r="AP25" s="35">
        <f t="shared" si="60"/>
        <v>275743</v>
      </c>
      <c r="AQ25" s="35">
        <f t="shared" si="60"/>
        <v>268436</v>
      </c>
      <c r="AR25" s="35">
        <f t="shared" si="60"/>
        <v>458735</v>
      </c>
      <c r="AS25" s="88">
        <f t="shared" si="60"/>
        <v>293781</v>
      </c>
      <c r="AT25" s="88">
        <f t="shared" si="60"/>
        <v>814976.90782798699</v>
      </c>
      <c r="AU25" s="88">
        <f t="shared" ref="AU25:BC25" si="61">+AU23+AU24</f>
        <v>1268343.3031120913</v>
      </c>
      <c r="AV25" s="88">
        <f t="shared" si="61"/>
        <v>1482944.1369806286</v>
      </c>
      <c r="AW25" s="88">
        <f t="shared" si="61"/>
        <v>1713552.3084658196</v>
      </c>
      <c r="AX25" s="88">
        <f t="shared" si="61"/>
        <v>1961111.5578942429</v>
      </c>
      <c r="AY25" s="88">
        <f t="shared" si="61"/>
        <v>2226615.5619383119</v>
      </c>
      <c r="AZ25" s="88">
        <f t="shared" si="61"/>
        <v>2511110.4189058491</v>
      </c>
      <c r="BA25" s="88">
        <f t="shared" si="61"/>
        <v>2815697.2529574619</v>
      </c>
      <c r="BB25" s="88">
        <f t="shared" si="61"/>
        <v>3141534.942789413</v>
      </c>
      <c r="BC25" s="88">
        <f t="shared" si="61"/>
        <v>3489842.9805726041</v>
      </c>
      <c r="BD25" s="88">
        <f t="shared" ref="BD25:BE25" si="62">+BD23+BD24</f>
        <v>3861904.4672021759</v>
      </c>
      <c r="BE25" s="88">
        <f t="shared" si="62"/>
        <v>4259069.2501883656</v>
      </c>
    </row>
    <row r="26" spans="1:247" s="35" customFormat="1">
      <c r="A26" s="23"/>
      <c r="B26" s="19" t="s">
        <v>31</v>
      </c>
      <c r="C26" s="35">
        <v>-28241</v>
      </c>
      <c r="D26" s="35">
        <v>-41044</v>
      </c>
      <c r="E26" s="35">
        <v>-12532</v>
      </c>
      <c r="F26" s="35">
        <f t="shared" si="19"/>
        <v>181307</v>
      </c>
      <c r="G26" s="35">
        <v>-34756</v>
      </c>
      <c r="H26" s="35">
        <v>-23396</v>
      </c>
      <c r="I26" s="35">
        <v>-22280</v>
      </c>
      <c r="J26" s="35">
        <f t="shared" si="24"/>
        <v>-11451</v>
      </c>
      <c r="K26" s="35">
        <v>-25158</v>
      </c>
      <c r="L26" s="35">
        <v>-32939</v>
      </c>
      <c r="M26" s="35">
        <v>-21450</v>
      </c>
      <c r="N26" s="35">
        <f t="shared" si="20"/>
        <v>-28580</v>
      </c>
      <c r="O26" s="35">
        <v>2524</v>
      </c>
      <c r="P26" s="35">
        <v>12491</v>
      </c>
      <c r="Q26" s="35">
        <v>-26257</v>
      </c>
      <c r="R26" s="35">
        <f t="shared" si="18"/>
        <v>72927</v>
      </c>
      <c r="S26" s="35">
        <v>-32173</v>
      </c>
      <c r="T26" s="35">
        <v>-58402</v>
      </c>
      <c r="U26" s="35">
        <v>-35120</v>
      </c>
      <c r="V26" s="35">
        <v>-34084</v>
      </c>
      <c r="W26" s="35">
        <v>-31714</v>
      </c>
      <c r="X26" s="35">
        <v>-88228</v>
      </c>
      <c r="Y26" s="35">
        <v>-82827</v>
      </c>
      <c r="Z26" s="35">
        <f t="shared" ref="Z26" si="63">+Z25*(Y26/Y25)</f>
        <v>-46343.774165223884</v>
      </c>
      <c r="AA26" s="72"/>
      <c r="AB26" s="18"/>
      <c r="AC26" s="18"/>
      <c r="AJ26" s="35">
        <v>-134760</v>
      </c>
      <c r="AK26" s="35">
        <v>-179685</v>
      </c>
      <c r="AL26" s="35">
        <v>-207033</v>
      </c>
      <c r="AM26" s="35">
        <v>-268929</v>
      </c>
      <c r="AN26" s="35">
        <v>-294265</v>
      </c>
      <c r="AO26" s="35">
        <v>-15801</v>
      </c>
      <c r="AP26" s="35">
        <v>99490</v>
      </c>
      <c r="AQ26" s="35">
        <v>-91883</v>
      </c>
      <c r="AR26" s="35">
        <v>-108127</v>
      </c>
      <c r="AS26" s="88">
        <v>61685</v>
      </c>
      <c r="AT26" s="88">
        <f>SUM(S26:V26)</f>
        <v>-159779</v>
      </c>
      <c r="AU26" s="88">
        <f>+AU25*0.25</f>
        <v>317085.82577802282</v>
      </c>
      <c r="AV26" s="88">
        <f t="shared" ref="AV26:BC26" si="64">+AV25*(AU26/AU25)</f>
        <v>370736.03424515715</v>
      </c>
      <c r="AW26" s="88">
        <f t="shared" si="64"/>
        <v>428388.07711645489</v>
      </c>
      <c r="AX26" s="88">
        <f t="shared" si="64"/>
        <v>490277.88947356073</v>
      </c>
      <c r="AY26" s="88">
        <f t="shared" si="64"/>
        <v>556653.89048457798</v>
      </c>
      <c r="AZ26" s="88">
        <f t="shared" si="64"/>
        <v>627777.60472646228</v>
      </c>
      <c r="BA26" s="88">
        <f t="shared" si="64"/>
        <v>703924.31323936547</v>
      </c>
      <c r="BB26" s="88">
        <f t="shared" si="64"/>
        <v>785383.73569735326</v>
      </c>
      <c r="BC26" s="88">
        <f t="shared" si="64"/>
        <v>872460.74514315103</v>
      </c>
      <c r="BD26" s="88">
        <f t="shared" ref="BD26" si="65">+BD25*(BC26/BC25)</f>
        <v>965476.11680054397</v>
      </c>
      <c r="BE26" s="88">
        <f t="shared" ref="BE26" si="66">+BE25*(BD26/BD25)</f>
        <v>1064767.3125470914</v>
      </c>
    </row>
    <row r="27" spans="1:247" s="34" customFormat="1">
      <c r="A27" s="26"/>
      <c r="B27" s="24" t="s">
        <v>32</v>
      </c>
      <c r="C27" s="34">
        <f>+C25+C26</f>
        <v>46120</v>
      </c>
      <c r="D27" s="34">
        <f>+D25+D26</f>
        <v>66730</v>
      </c>
      <c r="E27" s="34">
        <f>+E25+E26</f>
        <v>19610</v>
      </c>
      <c r="F27" s="34">
        <f t="shared" si="19"/>
        <v>242773</v>
      </c>
      <c r="G27" s="34">
        <f>+G25+G26</f>
        <v>59446</v>
      </c>
      <c r="H27" s="34">
        <f>+H25+H26</f>
        <v>46884</v>
      </c>
      <c r="I27" s="34">
        <f>+I25+I26</f>
        <v>38204</v>
      </c>
      <c r="J27" s="34">
        <f t="shared" si="24"/>
        <v>32019</v>
      </c>
      <c r="K27" s="34">
        <f>+K25+K26</f>
        <v>88132</v>
      </c>
      <c r="L27" s="34">
        <f>+L25+L26</f>
        <v>91028</v>
      </c>
      <c r="M27" s="34">
        <f>+M25+M26</f>
        <v>98582</v>
      </c>
      <c r="N27" s="34">
        <f t="shared" si="20"/>
        <v>72866</v>
      </c>
      <c r="O27" s="34">
        <f>+O25+O26</f>
        <v>76388</v>
      </c>
      <c r="P27" s="34">
        <f>+P25+P26</f>
        <v>8175</v>
      </c>
      <c r="Q27" s="34">
        <f>+Q25+Q26</f>
        <v>80244</v>
      </c>
      <c r="R27" s="34">
        <f t="shared" si="18"/>
        <v>190659</v>
      </c>
      <c r="S27" s="34">
        <f>+S25+S26</f>
        <v>127101</v>
      </c>
      <c r="T27" s="34">
        <f>+T25+T26</f>
        <v>187974</v>
      </c>
      <c r="U27" s="34">
        <f>+U25+U26</f>
        <v>204434</v>
      </c>
      <c r="V27" s="34">
        <f t="shared" ref="V27" si="67">+V25+V26</f>
        <v>133475</v>
      </c>
      <c r="W27" s="34">
        <f>+W25+W26</f>
        <v>158294</v>
      </c>
      <c r="X27" s="34">
        <f>+X25+X26</f>
        <v>259942</v>
      </c>
      <c r="Y27" s="34">
        <f>+Y25+Y26</f>
        <v>257138</v>
      </c>
      <c r="Z27" s="34">
        <f t="shared" ref="Z27" si="68">+Z25+Z26</f>
        <v>143875.13010609269</v>
      </c>
      <c r="AA27" s="73"/>
      <c r="AB27" s="33"/>
      <c r="AC27" s="33"/>
      <c r="AJ27" s="34">
        <f t="shared" ref="AJ27:AS27" si="69">+AJ25+AJ26</f>
        <v>214945</v>
      </c>
      <c r="AK27" s="34">
        <f t="shared" si="69"/>
        <v>278000</v>
      </c>
      <c r="AL27" s="34">
        <f t="shared" si="69"/>
        <v>327438</v>
      </c>
      <c r="AM27" s="34">
        <f t="shared" si="69"/>
        <v>445371</v>
      </c>
      <c r="AN27" s="34">
        <f t="shared" si="69"/>
        <v>475602</v>
      </c>
      <c r="AO27" s="34">
        <f t="shared" si="69"/>
        <v>22938</v>
      </c>
      <c r="AP27" s="34">
        <f t="shared" si="69"/>
        <v>375233</v>
      </c>
      <c r="AQ27" s="34">
        <f t="shared" si="69"/>
        <v>176553</v>
      </c>
      <c r="AR27" s="34">
        <f t="shared" si="69"/>
        <v>350608</v>
      </c>
      <c r="AS27" s="89">
        <f t="shared" si="69"/>
        <v>355466</v>
      </c>
      <c r="AT27" s="89">
        <f>SUM(S27:V27)</f>
        <v>652984</v>
      </c>
      <c r="AU27" s="89">
        <f>+AU25-AU26</f>
        <v>951257.47733406839</v>
      </c>
      <c r="AV27" s="89">
        <f t="shared" ref="AV27:BE27" si="70">+AV25-AV26</f>
        <v>1112208.1027354714</v>
      </c>
      <c r="AW27" s="89">
        <f t="shared" si="70"/>
        <v>1285164.2313493646</v>
      </c>
      <c r="AX27" s="89">
        <f t="shared" si="70"/>
        <v>1470833.6684206822</v>
      </c>
      <c r="AY27" s="89">
        <f t="shared" si="70"/>
        <v>1669961.6714537339</v>
      </c>
      <c r="AZ27" s="89">
        <f t="shared" si="70"/>
        <v>1883332.8141793869</v>
      </c>
      <c r="BA27" s="89">
        <f t="shared" si="70"/>
        <v>2111772.9397180965</v>
      </c>
      <c r="BB27" s="89">
        <f t="shared" si="70"/>
        <v>2356151.2070920598</v>
      </c>
      <c r="BC27" s="89">
        <f t="shared" si="70"/>
        <v>2617382.2354294532</v>
      </c>
      <c r="BD27" s="89">
        <f t="shared" si="70"/>
        <v>2896428.350401632</v>
      </c>
      <c r="BE27" s="89">
        <f t="shared" si="70"/>
        <v>3194301.9376412742</v>
      </c>
      <c r="BF27" s="34">
        <f>BE27*(1+$BH$35)</f>
        <v>3258187.9763940996</v>
      </c>
      <c r="BG27" s="34">
        <f t="shared" ref="BG27:CL27" si="71">+BF27*(1+$BH$35)</f>
        <v>3323351.7359219817</v>
      </c>
      <c r="BH27" s="34">
        <f t="shared" si="71"/>
        <v>3389818.7706404217</v>
      </c>
      <c r="BI27" s="34">
        <f t="shared" si="71"/>
        <v>3457615.1460532299</v>
      </c>
      <c r="BJ27" s="34">
        <f t="shared" si="71"/>
        <v>3526767.4489742946</v>
      </c>
      <c r="BK27" s="34">
        <f t="shared" si="71"/>
        <v>3597302.7979537807</v>
      </c>
      <c r="BL27" s="34">
        <f t="shared" si="71"/>
        <v>3669248.8539128564</v>
      </c>
      <c r="BM27" s="34">
        <f t="shared" si="71"/>
        <v>3742633.8309911136</v>
      </c>
      <c r="BN27" s="34">
        <f t="shared" si="71"/>
        <v>3817486.5076109357</v>
      </c>
      <c r="BO27" s="34">
        <f t="shared" si="71"/>
        <v>3893836.2377631543</v>
      </c>
      <c r="BP27" s="34">
        <f t="shared" si="71"/>
        <v>3971712.9625184173</v>
      </c>
      <c r="BQ27" s="34">
        <f t="shared" si="71"/>
        <v>4051147.2217687857</v>
      </c>
      <c r="BR27" s="34">
        <f t="shared" si="71"/>
        <v>4132170.1662041615</v>
      </c>
      <c r="BS27" s="34">
        <f t="shared" si="71"/>
        <v>4214813.5695282444</v>
      </c>
      <c r="BT27" s="34">
        <f t="shared" si="71"/>
        <v>4299109.8409188092</v>
      </c>
      <c r="BU27" s="34">
        <f t="shared" si="71"/>
        <v>4385092.0377371851</v>
      </c>
      <c r="BV27" s="34">
        <f t="shared" si="71"/>
        <v>4472793.8784919288</v>
      </c>
      <c r="BW27" s="34">
        <f t="shared" si="71"/>
        <v>4562249.7560617672</v>
      </c>
      <c r="BX27" s="34">
        <f t="shared" si="71"/>
        <v>4653494.7511830023</v>
      </c>
      <c r="BY27" s="34">
        <f t="shared" si="71"/>
        <v>4746564.6462066621</v>
      </c>
      <c r="BZ27" s="34">
        <f t="shared" si="71"/>
        <v>4841495.9391307952</v>
      </c>
      <c r="CA27" s="34">
        <f t="shared" si="71"/>
        <v>4938325.8579134112</v>
      </c>
      <c r="CB27" s="34">
        <f t="shared" si="71"/>
        <v>5037092.3750716792</v>
      </c>
      <c r="CC27" s="34">
        <f t="shared" si="71"/>
        <v>5137834.2225731127</v>
      </c>
      <c r="CD27" s="34">
        <f t="shared" si="71"/>
        <v>5240590.9070245754</v>
      </c>
      <c r="CE27" s="34">
        <f t="shared" si="71"/>
        <v>5345402.7251650672</v>
      </c>
      <c r="CF27" s="34">
        <f t="shared" si="71"/>
        <v>5452310.7796683684</v>
      </c>
      <c r="CG27" s="34">
        <f t="shared" si="71"/>
        <v>5561356.9952617362</v>
      </c>
      <c r="CH27" s="34">
        <f t="shared" si="71"/>
        <v>5672584.135166971</v>
      </c>
      <c r="CI27" s="34">
        <f t="shared" si="71"/>
        <v>5786035.8178703105</v>
      </c>
      <c r="CJ27" s="34">
        <f t="shared" si="71"/>
        <v>5901756.5342277167</v>
      </c>
      <c r="CK27" s="34">
        <f t="shared" si="71"/>
        <v>6019791.6649122713</v>
      </c>
      <c r="CL27" s="34">
        <f t="shared" si="71"/>
        <v>6140187.4982105168</v>
      </c>
      <c r="CM27" s="34">
        <f t="shared" ref="CM27:DR27" si="72">+CL27*(1+$BH$35)</f>
        <v>6262991.248174727</v>
      </c>
      <c r="CN27" s="34">
        <f t="shared" si="72"/>
        <v>6388251.0731382212</v>
      </c>
      <c r="CO27" s="34">
        <f t="shared" si="72"/>
        <v>6516016.0946009858</v>
      </c>
      <c r="CP27" s="34">
        <f t="shared" si="72"/>
        <v>6646336.4164930061</v>
      </c>
      <c r="CQ27" s="34">
        <f t="shared" si="72"/>
        <v>6779263.1448228667</v>
      </c>
      <c r="CR27" s="34">
        <f t="shared" si="72"/>
        <v>6914848.4077193243</v>
      </c>
      <c r="CS27" s="34">
        <f t="shared" si="72"/>
        <v>7053145.375873711</v>
      </c>
      <c r="CT27" s="34">
        <f t="shared" si="72"/>
        <v>7194208.2833911851</v>
      </c>
      <c r="CU27" s="34">
        <f t="shared" si="72"/>
        <v>7338092.4490590086</v>
      </c>
      <c r="CV27" s="34">
        <f t="shared" si="72"/>
        <v>7484854.2980401888</v>
      </c>
      <c r="CW27" s="34">
        <f t="shared" si="72"/>
        <v>7634551.3840009924</v>
      </c>
      <c r="CX27" s="34">
        <f t="shared" si="72"/>
        <v>7787242.4116810123</v>
      </c>
      <c r="CY27" s="34">
        <f t="shared" si="72"/>
        <v>7942987.2599146329</v>
      </c>
      <c r="CZ27" s="34">
        <f t="shared" si="72"/>
        <v>8101847.0051129255</v>
      </c>
      <c r="DA27" s="34">
        <f t="shared" si="72"/>
        <v>8263883.9452151842</v>
      </c>
      <c r="DB27" s="34">
        <f t="shared" si="72"/>
        <v>8429161.6241194885</v>
      </c>
      <c r="DC27" s="34">
        <f t="shared" si="72"/>
        <v>8597744.856601879</v>
      </c>
      <c r="DD27" s="34">
        <f t="shared" si="72"/>
        <v>8769699.7537339162</v>
      </c>
      <c r="DE27" s="34">
        <f t="shared" si="72"/>
        <v>8945093.7488085944</v>
      </c>
      <c r="DF27" s="34">
        <f t="shared" si="72"/>
        <v>9123995.6237847656</v>
      </c>
      <c r="DG27" s="34">
        <f t="shared" si="72"/>
        <v>9306475.5362604614</v>
      </c>
      <c r="DH27" s="34">
        <f t="shared" si="72"/>
        <v>9492605.0469856709</v>
      </c>
      <c r="DI27" s="34">
        <f t="shared" si="72"/>
        <v>9682457.1479253843</v>
      </c>
      <c r="DJ27" s="34">
        <f t="shared" si="72"/>
        <v>9876106.2908838913</v>
      </c>
      <c r="DK27" s="34">
        <f t="shared" si="72"/>
        <v>10073628.41670157</v>
      </c>
      <c r="DL27" s="34">
        <f t="shared" si="72"/>
        <v>10275100.985035602</v>
      </c>
      <c r="DM27" s="34">
        <f t="shared" si="72"/>
        <v>10480603.004736314</v>
      </c>
      <c r="DN27" s="34">
        <f t="shared" si="72"/>
        <v>10690215.064831041</v>
      </c>
      <c r="DO27" s="34">
        <f t="shared" si="72"/>
        <v>10904019.366127662</v>
      </c>
      <c r="DP27" s="34">
        <f t="shared" si="72"/>
        <v>11122099.753450217</v>
      </c>
      <c r="DQ27" s="34">
        <f t="shared" si="72"/>
        <v>11344541.748519221</v>
      </c>
      <c r="DR27" s="34">
        <f t="shared" si="72"/>
        <v>11571432.583489606</v>
      </c>
      <c r="DS27" s="34">
        <f t="shared" ref="DS27:EX27" si="73">+DR27*(1+$BH$35)</f>
        <v>11802861.235159399</v>
      </c>
      <c r="DT27" s="34">
        <f t="shared" si="73"/>
        <v>12038918.459862588</v>
      </c>
      <c r="DU27" s="34">
        <f t="shared" si="73"/>
        <v>12279696.829059839</v>
      </c>
      <c r="DV27" s="34">
        <f t="shared" si="73"/>
        <v>12525290.765641036</v>
      </c>
      <c r="DW27" s="34">
        <f t="shared" si="73"/>
        <v>12775796.580953857</v>
      </c>
      <c r="DX27" s="34">
        <f t="shared" si="73"/>
        <v>13031312.512572935</v>
      </c>
      <c r="DY27" s="34">
        <f t="shared" si="73"/>
        <v>13291938.762824394</v>
      </c>
      <c r="DZ27" s="34">
        <f t="shared" si="73"/>
        <v>13557777.538080882</v>
      </c>
      <c r="EA27" s="34">
        <f t="shared" si="73"/>
        <v>13828933.0888425</v>
      </c>
      <c r="EB27" s="34">
        <f t="shared" si="73"/>
        <v>14105511.75061935</v>
      </c>
      <c r="EC27" s="34">
        <f t="shared" si="73"/>
        <v>14387621.985631738</v>
      </c>
      <c r="ED27" s="34">
        <f t="shared" si="73"/>
        <v>14675374.425344372</v>
      </c>
      <c r="EE27" s="34">
        <f t="shared" si="73"/>
        <v>14968881.913851259</v>
      </c>
      <c r="EF27" s="34">
        <f t="shared" si="73"/>
        <v>15268259.552128285</v>
      </c>
      <c r="EG27" s="34">
        <f t="shared" si="73"/>
        <v>15573624.743170852</v>
      </c>
      <c r="EH27" s="34">
        <f t="shared" si="73"/>
        <v>15885097.238034269</v>
      </c>
      <c r="EI27" s="34">
        <f t="shared" si="73"/>
        <v>16202799.182794955</v>
      </c>
      <c r="EJ27" s="34">
        <f t="shared" si="73"/>
        <v>16526855.166450854</v>
      </c>
      <c r="EK27" s="34">
        <f t="shared" si="73"/>
        <v>16857392.269779872</v>
      </c>
      <c r="EL27" s="34">
        <f t="shared" si="73"/>
        <v>17194540.115175471</v>
      </c>
      <c r="EM27" s="34">
        <f t="shared" si="73"/>
        <v>17538430.917478979</v>
      </c>
      <c r="EN27" s="34">
        <f t="shared" si="73"/>
        <v>17889199.535828557</v>
      </c>
      <c r="EO27" s="34">
        <f t="shared" si="73"/>
        <v>18246983.52654513</v>
      </c>
      <c r="EP27" s="34">
        <f t="shared" si="73"/>
        <v>18611923.197076034</v>
      </c>
      <c r="EQ27" s="34">
        <f t="shared" si="73"/>
        <v>18984161.661017556</v>
      </c>
      <c r="ER27" s="34">
        <f t="shared" si="73"/>
        <v>19363844.894237906</v>
      </c>
      <c r="ES27" s="34">
        <f t="shared" si="73"/>
        <v>19751121.792122666</v>
      </c>
      <c r="ET27" s="34">
        <f t="shared" si="73"/>
        <v>20146144.22796512</v>
      </c>
      <c r="EU27" s="34">
        <f t="shared" si="73"/>
        <v>20549067.112524424</v>
      </c>
      <c r="EV27" s="34">
        <f t="shared" si="73"/>
        <v>20960048.454774912</v>
      </c>
      <c r="EW27" s="34">
        <f t="shared" si="73"/>
        <v>21379249.423870411</v>
      </c>
      <c r="EX27" s="34">
        <f t="shared" si="73"/>
        <v>21806834.41234782</v>
      </c>
      <c r="EY27" s="34">
        <f t="shared" ref="EY27:GD27" si="74">+EX27*(1+$BH$35)</f>
        <v>22242971.100594778</v>
      </c>
      <c r="EZ27" s="34">
        <f t="shared" si="74"/>
        <v>22687830.522606675</v>
      </c>
      <c r="FA27" s="34">
        <f t="shared" si="74"/>
        <v>23141587.133058809</v>
      </c>
      <c r="FB27" s="34">
        <f t="shared" si="74"/>
        <v>23604418.875719987</v>
      </c>
      <c r="FC27" s="34">
        <f t="shared" si="74"/>
        <v>24076507.253234386</v>
      </c>
      <c r="FD27" s="34">
        <f t="shared" si="74"/>
        <v>24558037.398299076</v>
      </c>
      <c r="FE27" s="34">
        <f t="shared" si="74"/>
        <v>25049198.146265056</v>
      </c>
      <c r="FF27" s="34">
        <f t="shared" si="74"/>
        <v>25550182.109190356</v>
      </c>
      <c r="FG27" s="34">
        <f t="shared" si="74"/>
        <v>26061185.751374163</v>
      </c>
      <c r="FH27" s="34">
        <f t="shared" si="74"/>
        <v>26582409.466401648</v>
      </c>
      <c r="FI27" s="34">
        <f t="shared" si="74"/>
        <v>27114057.655729681</v>
      </c>
      <c r="FJ27" s="34">
        <f t="shared" si="74"/>
        <v>27656338.808844276</v>
      </c>
      <c r="FK27" s="34">
        <f t="shared" si="74"/>
        <v>28209465.585021161</v>
      </c>
      <c r="FL27" s="34">
        <f t="shared" si="74"/>
        <v>28773654.896721583</v>
      </c>
      <c r="FM27" s="34">
        <f t="shared" si="74"/>
        <v>29349127.994656015</v>
      </c>
      <c r="FN27" s="34">
        <f t="shared" si="74"/>
        <v>29936110.554549135</v>
      </c>
      <c r="FO27" s="34">
        <f t="shared" si="74"/>
        <v>30534832.765640117</v>
      </c>
      <c r="FP27" s="34">
        <f t="shared" si="74"/>
        <v>31145529.42095292</v>
      </c>
      <c r="FQ27" s="34">
        <f t="shared" si="74"/>
        <v>31768440.009371977</v>
      </c>
      <c r="FR27" s="34">
        <f t="shared" si="74"/>
        <v>32403808.809559416</v>
      </c>
      <c r="FS27" s="34">
        <f t="shared" si="74"/>
        <v>33051884.985750604</v>
      </c>
      <c r="FT27" s="34">
        <f t="shared" si="74"/>
        <v>33712922.685465619</v>
      </c>
      <c r="FU27" s="34">
        <f t="shared" si="74"/>
        <v>34387181.139174931</v>
      </c>
      <c r="FV27" s="34">
        <f t="shared" si="74"/>
        <v>35074924.761958428</v>
      </c>
      <c r="FW27" s="34">
        <f t="shared" si="74"/>
        <v>35776423.257197596</v>
      </c>
      <c r="FX27" s="34">
        <f t="shared" si="74"/>
        <v>36491951.722341552</v>
      </c>
      <c r="FY27" s="34">
        <f t="shared" si="74"/>
        <v>37221790.75678838</v>
      </c>
      <c r="FZ27" s="34">
        <f t="shared" si="74"/>
        <v>37966226.57192415</v>
      </c>
      <c r="GA27" s="34">
        <f t="shared" si="74"/>
        <v>38725551.103362635</v>
      </c>
      <c r="GB27" s="34">
        <f t="shared" si="74"/>
        <v>39500062.125429891</v>
      </c>
      <c r="GC27" s="34">
        <f t="shared" si="74"/>
        <v>40290063.367938489</v>
      </c>
      <c r="GD27" s="34">
        <f t="shared" si="74"/>
        <v>41095864.635297261</v>
      </c>
      <c r="GE27" s="34">
        <f t="shared" ref="GE27:HJ27" si="75">+GD27*(1+$BH$35)</f>
        <v>41917781.928003207</v>
      </c>
      <c r="GF27" s="34">
        <f t="shared" si="75"/>
        <v>42756137.566563271</v>
      </c>
      <c r="GG27" s="34">
        <f t="shared" si="75"/>
        <v>43611260.317894541</v>
      </c>
      <c r="GH27" s="34">
        <f t="shared" si="75"/>
        <v>44483485.52425243</v>
      </c>
      <c r="GI27" s="34">
        <f t="shared" si="75"/>
        <v>45373155.234737478</v>
      </c>
      <c r="GJ27" s="34">
        <f t="shared" si="75"/>
        <v>46280618.339432232</v>
      </c>
      <c r="GK27" s="34">
        <f t="shared" si="75"/>
        <v>47206230.70622088</v>
      </c>
      <c r="GL27" s="34">
        <f t="shared" si="75"/>
        <v>48150355.320345297</v>
      </c>
      <c r="GM27" s="34">
        <f t="shared" si="75"/>
        <v>49113362.426752202</v>
      </c>
      <c r="GN27" s="34">
        <f t="shared" si="75"/>
        <v>50095629.675287247</v>
      </c>
      <c r="GO27" s="34">
        <f t="shared" si="75"/>
        <v>51097542.268792994</v>
      </c>
      <c r="GP27" s="34">
        <f t="shared" si="75"/>
        <v>52119493.114168853</v>
      </c>
      <c r="GQ27" s="34">
        <f t="shared" si="75"/>
        <v>53161882.976452231</v>
      </c>
      <c r="GR27" s="34">
        <f t="shared" si="75"/>
        <v>54225120.635981277</v>
      </c>
      <c r="GS27" s="34">
        <f t="shared" si="75"/>
        <v>55309623.048700906</v>
      </c>
      <c r="GT27" s="34">
        <f t="shared" si="75"/>
        <v>56415815.509674929</v>
      </c>
      <c r="GU27" s="34">
        <f t="shared" si="75"/>
        <v>57544131.81986843</v>
      </c>
      <c r="GV27" s="34">
        <f t="shared" si="75"/>
        <v>58695014.4562658</v>
      </c>
      <c r="GW27" s="34">
        <f t="shared" si="75"/>
        <v>59868914.745391116</v>
      </c>
      <c r="GX27" s="34">
        <f t="shared" si="75"/>
        <v>61066293.040298939</v>
      </c>
      <c r="GY27" s="34">
        <f t="shared" si="75"/>
        <v>62287618.90110492</v>
      </c>
      <c r="GZ27" s="34">
        <f t="shared" si="75"/>
        <v>63533371.279127017</v>
      </c>
      <c r="HA27" s="34">
        <f t="shared" si="75"/>
        <v>64804038.70470956</v>
      </c>
      <c r="HB27" s="34">
        <f t="shared" si="75"/>
        <v>66100119.478803754</v>
      </c>
      <c r="HC27" s="34">
        <f t="shared" si="75"/>
        <v>67422121.868379831</v>
      </c>
      <c r="HD27" s="34">
        <f t="shared" si="75"/>
        <v>68770564.305747434</v>
      </c>
      <c r="HE27" s="34">
        <f t="shared" si="75"/>
        <v>70145975.591862381</v>
      </c>
      <c r="HF27" s="34">
        <f t="shared" si="75"/>
        <v>71548895.103699625</v>
      </c>
      <c r="HG27" s="34">
        <f t="shared" si="75"/>
        <v>72979873.005773619</v>
      </c>
      <c r="HH27" s="34">
        <f t="shared" si="75"/>
        <v>74439470.465889096</v>
      </c>
      <c r="HI27" s="34">
        <f t="shared" si="75"/>
        <v>75928259.875206873</v>
      </c>
      <c r="HJ27" s="34">
        <f t="shared" si="75"/>
        <v>77446825.072711006</v>
      </c>
      <c r="HK27" s="34">
        <f t="shared" ref="HK27:IM27" si="76">+HJ27*(1+$BH$35)</f>
        <v>78995761.574165225</v>
      </c>
      <c r="HL27" s="34">
        <f t="shared" si="76"/>
        <v>80575676.805648535</v>
      </c>
      <c r="HM27" s="34">
        <f t="shared" si="76"/>
        <v>82187190.341761515</v>
      </c>
      <c r="HN27" s="34">
        <f t="shared" si="76"/>
        <v>83830934.148596749</v>
      </c>
      <c r="HO27" s="34">
        <f t="shared" si="76"/>
        <v>85507552.831568688</v>
      </c>
      <c r="HP27" s="34">
        <f t="shared" si="76"/>
        <v>87217703.88820006</v>
      </c>
      <c r="HQ27" s="34">
        <f t="shared" si="76"/>
        <v>88962057.965964064</v>
      </c>
      <c r="HR27" s="34">
        <f t="shared" si="76"/>
        <v>90741299.125283346</v>
      </c>
      <c r="HS27" s="34">
        <f t="shared" si="76"/>
        <v>92556125.10778901</v>
      </c>
      <c r="HT27" s="34">
        <f t="shared" si="76"/>
        <v>94407247.609944791</v>
      </c>
      <c r="HU27" s="34">
        <f t="shared" si="76"/>
        <v>96295392.562143683</v>
      </c>
      <c r="HV27" s="34">
        <f t="shared" si="76"/>
        <v>98221300.413386554</v>
      </c>
      <c r="HW27" s="34">
        <f t="shared" si="76"/>
        <v>100185726.42165428</v>
      </c>
      <c r="HX27" s="34">
        <f t="shared" si="76"/>
        <v>102189440.95008737</v>
      </c>
      <c r="HY27" s="34">
        <f t="shared" si="76"/>
        <v>104233229.76908912</v>
      </c>
      <c r="HZ27" s="34">
        <f t="shared" si="76"/>
        <v>106317894.3644709</v>
      </c>
      <c r="IA27" s="34">
        <f t="shared" si="76"/>
        <v>108444252.25176032</v>
      </c>
      <c r="IB27" s="34">
        <f t="shared" si="76"/>
        <v>110613137.29679553</v>
      </c>
      <c r="IC27" s="34">
        <f t="shared" si="76"/>
        <v>112825400.04273145</v>
      </c>
      <c r="ID27" s="34">
        <f t="shared" si="76"/>
        <v>115081908.04358608</v>
      </c>
      <c r="IE27" s="34">
        <f t="shared" si="76"/>
        <v>117383546.2044578</v>
      </c>
      <c r="IF27" s="34">
        <f t="shared" si="76"/>
        <v>119731217.12854697</v>
      </c>
      <c r="IG27" s="34">
        <f t="shared" si="76"/>
        <v>122125841.47111791</v>
      </c>
      <c r="IH27" s="34">
        <f t="shared" si="76"/>
        <v>124568358.30054027</v>
      </c>
      <c r="II27" s="34">
        <f t="shared" si="76"/>
        <v>127059725.46655108</v>
      </c>
      <c r="IJ27" s="34">
        <f t="shared" si="76"/>
        <v>129600919.9758821</v>
      </c>
      <c r="IK27" s="34">
        <f t="shared" si="76"/>
        <v>132192938.37539974</v>
      </c>
      <c r="IL27" s="34">
        <f t="shared" si="76"/>
        <v>134836797.14290774</v>
      </c>
      <c r="IM27" s="34">
        <f t="shared" si="76"/>
        <v>137533533.0857659</v>
      </c>
    </row>
    <row r="28" spans="1:247" s="37" customFormat="1">
      <c r="B28" s="38" t="s">
        <v>199</v>
      </c>
      <c r="C28" s="37">
        <v>1.6</v>
      </c>
      <c r="D28" s="37">
        <v>2.3199999999999998</v>
      </c>
      <c r="E28" s="37">
        <v>0.69</v>
      </c>
      <c r="F28" s="37">
        <f t="shared" si="19"/>
        <v>1.5600000000000005</v>
      </c>
      <c r="G28" s="37">
        <v>2.13</v>
      </c>
      <c r="H28" s="37">
        <v>1.68</v>
      </c>
      <c r="I28" s="37">
        <v>1.37</v>
      </c>
      <c r="J28" s="57">
        <f t="shared" si="24"/>
        <v>1.1299999999999999</v>
      </c>
      <c r="K28" s="37">
        <v>3.13</v>
      </c>
      <c r="L28" s="37">
        <v>3.22</v>
      </c>
      <c r="M28" s="37">
        <v>3.47</v>
      </c>
      <c r="N28" s="57">
        <f t="shared" si="20"/>
        <v>2.5600000000000005</v>
      </c>
      <c r="O28" s="37">
        <v>2.7</v>
      </c>
      <c r="P28" s="37">
        <v>0.28999999999999998</v>
      </c>
      <c r="Q28" s="37">
        <v>2.82</v>
      </c>
      <c r="R28" s="57">
        <f t="shared" si="18"/>
        <v>6.7099999999999991</v>
      </c>
      <c r="S28" s="37">
        <v>4.45</v>
      </c>
      <c r="T28" s="37">
        <v>0.28999999999999998</v>
      </c>
      <c r="U28" s="37">
        <f>+U27/U29</f>
        <v>7.1794205443371375</v>
      </c>
      <c r="V28" s="37">
        <f t="shared" ref="V28" si="77">+V27/V29</f>
        <v>4.6857995436194484</v>
      </c>
      <c r="W28" s="37">
        <f>+W27/W29</f>
        <v>5.5932299212041974</v>
      </c>
      <c r="X28" s="37">
        <f>+X27/X29</f>
        <v>9.2532393564003979</v>
      </c>
      <c r="Y28" s="37">
        <f>+Y27/Y29</f>
        <v>9.1979539276005156</v>
      </c>
      <c r="Z28" s="37">
        <f t="shared" ref="Z28" si="78">+Z27/Z29</f>
        <v>5.1464848371044747</v>
      </c>
      <c r="AA28" s="74"/>
      <c r="AB28" s="39"/>
      <c r="AC28" s="39"/>
      <c r="AJ28" s="37">
        <v>6.76</v>
      </c>
      <c r="AK28" s="37">
        <v>8.75</v>
      </c>
      <c r="AL28" s="37">
        <v>10.47</v>
      </c>
      <c r="AM28" s="37">
        <v>14.13</v>
      </c>
      <c r="AN28" s="37">
        <v>15.1</v>
      </c>
      <c r="AO28" s="37">
        <v>0.77</v>
      </c>
      <c r="AP28" s="37">
        <v>6.17</v>
      </c>
      <c r="AQ28" s="37">
        <v>6.31</v>
      </c>
      <c r="AR28" s="37">
        <v>12.38</v>
      </c>
      <c r="AS28" s="90">
        <v>12.52</v>
      </c>
      <c r="AT28" s="91">
        <f>SUM(S28:V28)</f>
        <v>16.605220087956585</v>
      </c>
      <c r="AU28" s="90">
        <f>+AU27/AU29</f>
        <v>33.504592889960044</v>
      </c>
      <c r="AV28" s="90">
        <f>+AV27/AV29</f>
        <v>39.173494641535626</v>
      </c>
      <c r="AW28" s="90">
        <f t="shared" ref="AW28:BC28" si="79">+AW27/AW29</f>
        <v>45.265246680397127</v>
      </c>
      <c r="AX28" s="90">
        <f t="shared" si="79"/>
        <v>51.804778877943157</v>
      </c>
      <c r="AY28" s="90">
        <f t="shared" si="79"/>
        <v>58.818340225508905</v>
      </c>
      <c r="AZ28" s="90">
        <f t="shared" si="79"/>
        <v>66.333564485846537</v>
      </c>
      <c r="BA28" s="90">
        <f t="shared" si="79"/>
        <v>74.379538986205631</v>
      </c>
      <c r="BB28" s="90">
        <f t="shared" si="79"/>
        <v>82.986876699297795</v>
      </c>
      <c r="BC28" s="90">
        <f t="shared" si="79"/>
        <v>92.187791765110461</v>
      </c>
      <c r="BD28" s="90">
        <f t="shared" ref="BD28:BE28" si="80">+BD27/BD29</f>
        <v>102.01617861350574</v>
      </c>
      <c r="BE28" s="90">
        <f t="shared" si="80"/>
        <v>112.50769485483494</v>
      </c>
    </row>
    <row r="29" spans="1:247" s="35" customFormat="1">
      <c r="A29" s="23"/>
      <c r="B29" s="19" t="s">
        <v>33</v>
      </c>
      <c r="C29" s="35">
        <f t="shared" ref="C29" si="81">+C27/C28</f>
        <v>28825</v>
      </c>
      <c r="D29" s="35">
        <f t="shared" ref="D29" si="82">+D27/D28</f>
        <v>28762.931034482761</v>
      </c>
      <c r="E29" s="35">
        <f t="shared" ref="E29" si="83">+E27/E28</f>
        <v>28420.289855072468</v>
      </c>
      <c r="F29" s="35">
        <f>+F27/F28</f>
        <v>155623.71794871791</v>
      </c>
      <c r="G29" s="35">
        <f t="shared" ref="G29" si="84">+G27/G28</f>
        <v>27908.920187793428</v>
      </c>
      <c r="H29" s="35">
        <f t="shared" ref="H29" si="85">+H27/H28</f>
        <v>27907.142857142859</v>
      </c>
      <c r="I29" s="35">
        <f t="shared" ref="I29" si="86">+I27/I28</f>
        <v>27886.131386861311</v>
      </c>
      <c r="J29" s="35">
        <f>+J27/J28</f>
        <v>28335.3982300885</v>
      </c>
      <c r="K29" s="35">
        <f t="shared" ref="K29:S29" si="87">+K27/K28</f>
        <v>28157.188498402556</v>
      </c>
      <c r="L29" s="35">
        <f t="shared" si="87"/>
        <v>28269.565217391304</v>
      </c>
      <c r="M29" s="35">
        <f t="shared" si="87"/>
        <v>28409.79827089337</v>
      </c>
      <c r="N29" s="35">
        <f t="shared" si="87"/>
        <v>28463.281249999993</v>
      </c>
      <c r="O29" s="35">
        <f t="shared" si="87"/>
        <v>28291.85185185185</v>
      </c>
      <c r="P29" s="35">
        <f t="shared" si="87"/>
        <v>28189.655172413793</v>
      </c>
      <c r="Q29" s="35">
        <f t="shared" si="87"/>
        <v>28455.319148936171</v>
      </c>
      <c r="R29" s="35">
        <f t="shared" si="87"/>
        <v>28414.15797317437</v>
      </c>
      <c r="S29" s="35">
        <f t="shared" si="87"/>
        <v>28562.02247191011</v>
      </c>
      <c r="T29" s="35">
        <v>28501</v>
      </c>
      <c r="U29" s="35">
        <v>28475</v>
      </c>
      <c r="V29" s="35">
        <v>28485</v>
      </c>
      <c r="W29" s="35">
        <v>28301</v>
      </c>
      <c r="X29" s="35">
        <v>28092</v>
      </c>
      <c r="Y29" s="35">
        <v>27956</v>
      </c>
      <c r="Z29" s="35">
        <f t="shared" ref="Z29" si="88">+Y29</f>
        <v>27956</v>
      </c>
      <c r="AA29" s="72"/>
      <c r="AB29" s="18"/>
      <c r="AC29" s="18"/>
      <c r="AJ29" s="35">
        <f t="shared" ref="AJ29:AS29" si="89">+AJ27/AJ28</f>
        <v>31796.597633136094</v>
      </c>
      <c r="AK29" s="35">
        <f t="shared" si="89"/>
        <v>31771.428571428572</v>
      </c>
      <c r="AL29" s="35">
        <f t="shared" si="89"/>
        <v>31273.925501432663</v>
      </c>
      <c r="AM29" s="35">
        <f t="shared" si="89"/>
        <v>31519.532908704881</v>
      </c>
      <c r="AN29" s="35">
        <f t="shared" si="89"/>
        <v>31496.821192052979</v>
      </c>
      <c r="AO29" s="35">
        <f t="shared" si="89"/>
        <v>29789.610389610389</v>
      </c>
      <c r="AP29" s="35">
        <f t="shared" si="89"/>
        <v>60815.721231766613</v>
      </c>
      <c r="AQ29" s="35">
        <f t="shared" si="89"/>
        <v>27979.873217115692</v>
      </c>
      <c r="AR29" s="35">
        <f t="shared" si="89"/>
        <v>28320.516962843292</v>
      </c>
      <c r="AS29" s="88">
        <f t="shared" si="89"/>
        <v>28391.853035143769</v>
      </c>
      <c r="AT29" s="88">
        <f>+AS29</f>
        <v>28391.853035143769</v>
      </c>
      <c r="AU29" s="88">
        <f t="shared" ref="AU29:BC29" si="90">+AT29</f>
        <v>28391.853035143769</v>
      </c>
      <c r="AV29" s="88">
        <f t="shared" si="90"/>
        <v>28391.853035143769</v>
      </c>
      <c r="AW29" s="88">
        <f t="shared" si="90"/>
        <v>28391.853035143769</v>
      </c>
      <c r="AX29" s="88">
        <f t="shared" si="90"/>
        <v>28391.853035143769</v>
      </c>
      <c r="AY29" s="88">
        <f t="shared" si="90"/>
        <v>28391.853035143769</v>
      </c>
      <c r="AZ29" s="88">
        <f t="shared" si="90"/>
        <v>28391.853035143769</v>
      </c>
      <c r="BA29" s="88">
        <f t="shared" si="90"/>
        <v>28391.853035143769</v>
      </c>
      <c r="BB29" s="88">
        <f t="shared" si="90"/>
        <v>28391.853035143769</v>
      </c>
      <c r="BC29" s="88">
        <f t="shared" si="90"/>
        <v>28391.853035143769</v>
      </c>
      <c r="BD29" s="88">
        <f t="shared" ref="BD29" si="91">+BC29</f>
        <v>28391.853035143769</v>
      </c>
      <c r="BE29" s="88">
        <f t="shared" ref="BE29" si="92">+BD29</f>
        <v>28391.853035143769</v>
      </c>
    </row>
    <row r="30" spans="1:247"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70"/>
      <c r="AU30" s="50">
        <f>+AU26/AU25</f>
        <v>0.25</v>
      </c>
    </row>
    <row r="31" spans="1:247">
      <c r="B31" s="40" t="s">
        <v>35</v>
      </c>
      <c r="C31" s="46">
        <f t="shared" ref="C31:Q31" si="93">+C23/C14</f>
        <v>6.8460904410340667E-2</v>
      </c>
      <c r="D31" s="46">
        <f t="shared" si="93"/>
        <v>9.1264048763093159E-2</v>
      </c>
      <c r="E31" s="46">
        <f t="shared" si="93"/>
        <v>2.7362566640131765E-2</v>
      </c>
      <c r="F31" s="46">
        <f t="shared" si="93"/>
        <v>5.4075308530762992E-2</v>
      </c>
      <c r="G31" s="46">
        <f t="shared" si="93"/>
        <v>8.0815258138082907E-2</v>
      </c>
      <c r="H31" s="46">
        <f t="shared" si="93"/>
        <v>5.3656476013012031E-2</v>
      </c>
      <c r="I31" s="46">
        <f t="shared" si="93"/>
        <v>4.7339321326327115E-2</v>
      </c>
      <c r="J31" s="46">
        <f t="shared" si="93"/>
        <v>3.2334716393714269E-2</v>
      </c>
      <c r="K31" s="46">
        <f t="shared" si="93"/>
        <v>8.420697789434016E-2</v>
      </c>
      <c r="L31" s="46">
        <f t="shared" si="93"/>
        <v>8.3682475138244811E-2</v>
      </c>
      <c r="M31" s="46">
        <f t="shared" si="93"/>
        <v>8.2368915798779932E-2</v>
      </c>
      <c r="N31" s="46">
        <f t="shared" si="93"/>
        <v>6.846573866287467E-2</v>
      </c>
      <c r="O31" s="46">
        <f t="shared" si="93"/>
        <v>5.0412823617140119E-2</v>
      </c>
      <c r="P31" s="46">
        <f t="shared" si="93"/>
        <v>-3.619009656065853E-3</v>
      </c>
      <c r="Q31" s="46">
        <f t="shared" si="93"/>
        <v>6.6875898424767113E-2</v>
      </c>
      <c r="R31" s="46">
        <f t="shared" ref="R31:Z31" si="94">+R23/R14</f>
        <v>7.2703410440937727E-2</v>
      </c>
      <c r="S31" s="46">
        <f t="shared" si="94"/>
        <v>9.269885017871754E-2</v>
      </c>
      <c r="T31" s="46">
        <f t="shared" si="94"/>
        <v>0.12973319426082858</v>
      </c>
      <c r="U31" s="46">
        <f t="shared" si="94"/>
        <v>0.12276707396091308</v>
      </c>
      <c r="V31" s="46">
        <f t="shared" si="94"/>
        <v>8.0737190488990029E-2</v>
      </c>
      <c r="W31" s="46">
        <f t="shared" si="94"/>
        <v>9.4143691361562434E-2</v>
      </c>
      <c r="X31" s="46">
        <f t="shared" si="94"/>
        <v>0.15252882635692047</v>
      </c>
      <c r="Y31" s="46">
        <f t="shared" si="94"/>
        <v>0.15145337642302972</v>
      </c>
      <c r="Z31" s="46">
        <f t="shared" si="94"/>
        <v>8.0737190488990015E-2</v>
      </c>
      <c r="AA31" s="75"/>
      <c r="AB31" s="28"/>
      <c r="AC31" s="28"/>
      <c r="AD31" s="46"/>
      <c r="AE31" s="46"/>
      <c r="AF31" s="46"/>
      <c r="AG31" s="46"/>
      <c r="AH31" s="46"/>
      <c r="AI31" s="46"/>
      <c r="AJ31" s="46">
        <f t="shared" ref="AJ31:AS31" si="95">+AJ23/AJ14</f>
        <v>0.15446335569902025</v>
      </c>
      <c r="AK31" s="46">
        <f t="shared" si="95"/>
        <v>0.16690868270050352</v>
      </c>
      <c r="AL31" s="46">
        <f t="shared" si="95"/>
        <v>0.16571937145347573</v>
      </c>
      <c r="AM31" s="46">
        <f t="shared" si="95"/>
        <v>0.17301617785982368</v>
      </c>
      <c r="AN31" s="46">
        <f t="shared" si="95"/>
        <v>0.16964033996982597</v>
      </c>
      <c r="AO31" s="46">
        <f t="shared" si="95"/>
        <v>8.8533812247975612E-3</v>
      </c>
      <c r="AP31" s="46">
        <f t="shared" si="95"/>
        <v>6.0493538128304547E-2</v>
      </c>
      <c r="AQ31" s="46">
        <f>+AQ23/AQ14</f>
        <v>5.3107666313462427E-2</v>
      </c>
      <c r="AR31" s="46">
        <f t="shared" si="95"/>
        <v>7.9552210031238538E-2</v>
      </c>
      <c r="AS31" s="92">
        <f t="shared" si="95"/>
        <v>4.8484836332514235E-2</v>
      </c>
      <c r="AT31" s="92">
        <f t="shared" ref="AT31:BC31" si="96">+AT23/AT14</f>
        <v>0.10665648521987565</v>
      </c>
      <c r="AU31" s="92">
        <f>+AU23/AU14</f>
        <v>0.14295511855542184</v>
      </c>
      <c r="AV31" s="92">
        <f t="shared" si="96"/>
        <v>0.14295511855542165</v>
      </c>
      <c r="AW31" s="92">
        <f t="shared" si="96"/>
        <v>0.14295511855542176</v>
      </c>
      <c r="AX31" s="92">
        <f t="shared" si="96"/>
        <v>0.14295511855542173</v>
      </c>
      <c r="AY31" s="92">
        <f t="shared" si="96"/>
        <v>0.1429551185554219</v>
      </c>
      <c r="AZ31" s="92">
        <f t="shared" si="96"/>
        <v>0.14295511855542176</v>
      </c>
      <c r="BA31" s="92">
        <f t="shared" si="96"/>
        <v>0.14295511855542187</v>
      </c>
      <c r="BB31" s="92">
        <f t="shared" si="96"/>
        <v>0.14295511855542167</v>
      </c>
      <c r="BC31" s="92">
        <f t="shared" si="96"/>
        <v>0.14295511855542162</v>
      </c>
      <c r="BD31" s="92">
        <f t="shared" ref="BD31:BE31" si="97">+BD23/BD14</f>
        <v>0.14295511855542178</v>
      </c>
      <c r="BE31" s="92">
        <f t="shared" si="97"/>
        <v>0.1429551185554217</v>
      </c>
    </row>
    <row r="32" spans="1:247" s="41" customFormat="1">
      <c r="B32" s="24" t="s">
        <v>34</v>
      </c>
      <c r="C32" s="26"/>
      <c r="D32" s="26"/>
      <c r="E32" s="26"/>
      <c r="F32" s="26"/>
      <c r="G32" s="41">
        <f t="shared" ref="G32" si="98">+G14/C14-1</f>
        <v>7.4444087875609632E-2</v>
      </c>
      <c r="H32" s="41">
        <f t="shared" ref="H32" si="99">+H14/D14-1</f>
        <v>8.3042801962358803E-2</v>
      </c>
      <c r="I32" s="41">
        <f t="shared" ref="I32" si="100">+I14/E14-1</f>
        <v>8.5927873526027598E-2</v>
      </c>
      <c r="J32" s="41">
        <f t="shared" ref="J32" si="101">+J14/F14-1</f>
        <v>0.10355913881632284</v>
      </c>
      <c r="K32" s="41">
        <f t="shared" ref="K32" si="102">+K14/G14-1</f>
        <v>0.13916790099590992</v>
      </c>
      <c r="L32" s="41">
        <f t="shared" ref="L32" si="103">+L14/H14-1</f>
        <v>0.13241875375043421</v>
      </c>
      <c r="M32" s="41">
        <f t="shared" ref="M32" si="104">+M14/I14-1</f>
        <v>0.14586855422050649</v>
      </c>
      <c r="N32" s="41">
        <f t="shared" ref="N32" si="105">+N14/J14-1</f>
        <v>0.17563451942393082</v>
      </c>
      <c r="O32" s="41">
        <f t="shared" ref="O32:T32" si="106">+O14/K14-1</f>
        <v>7.8392957743248948E-2</v>
      </c>
      <c r="P32" s="41">
        <f t="shared" si="106"/>
        <v>-4.8453143182653258E-2</v>
      </c>
      <c r="Q32" s="41">
        <f t="shared" si="106"/>
        <v>0.14085447215460323</v>
      </c>
      <c r="R32" s="41">
        <f t="shared" si="106"/>
        <v>0.11629163241273588</v>
      </c>
      <c r="S32" s="41">
        <f t="shared" si="106"/>
        <v>0.23448367276923565</v>
      </c>
      <c r="T32" s="41">
        <f t="shared" si="106"/>
        <v>0.38674089825299807</v>
      </c>
      <c r="U32" s="41">
        <f t="shared" ref="U32" si="107">+U14/Q14-1</f>
        <v>0.21911947816117516</v>
      </c>
      <c r="V32" s="41">
        <f t="shared" ref="V32" si="108">+V14/R14-1</f>
        <v>0.21951906749351568</v>
      </c>
      <c r="W32" s="41">
        <f>+W14/S14-1</f>
        <v>0.1601791481848327</v>
      </c>
      <c r="X32" s="41">
        <f t="shared" ref="X32:Y32" si="109">+X14/T14-1</f>
        <v>0.16950835333293179</v>
      </c>
      <c r="Y32" s="41">
        <f t="shared" si="109"/>
        <v>0.13720122008999569</v>
      </c>
      <c r="Z32" s="41">
        <f t="shared" ref="Z32" si="110">+Z14/V14-1</f>
        <v>0.18854517869184084</v>
      </c>
      <c r="AA32" s="76"/>
      <c r="AB32" s="36"/>
      <c r="AC32" s="36"/>
      <c r="AD32" s="26"/>
      <c r="AE32" s="41">
        <f t="shared" ref="AE32" si="111">+AE14/AD14-1</f>
        <v>0.31103481786536458</v>
      </c>
      <c r="AF32" s="41">
        <f t="shared" ref="AF32" si="112">+AF14/AE14-1</f>
        <v>0.31940991335836588</v>
      </c>
      <c r="AG32" s="41">
        <f t="shared" ref="AG32" si="113">+AG14/AF14-1</f>
        <v>0.22673612198397097</v>
      </c>
      <c r="AH32" s="41">
        <f t="shared" ref="AH32" si="114">+AH14/AG14-1</f>
        <v>0.13998008961176245</v>
      </c>
      <c r="AI32" s="41">
        <f t="shared" ref="AI32" si="115">+AI14/AH14-1</f>
        <v>0.20910263781293281</v>
      </c>
      <c r="AJ32" s="41">
        <f t="shared" ref="AJ32" si="116">+AJ14/AI14-1</f>
        <v>0.23618977276812414</v>
      </c>
      <c r="AK32" s="41">
        <f t="shared" ref="AK32:BC32" si="117">+AK14/AJ14-1</f>
        <v>0.2034220029715168</v>
      </c>
      <c r="AL32" s="41">
        <f t="shared" si="117"/>
        <v>0.17697816070743366</v>
      </c>
      <c r="AM32" s="41">
        <f t="shared" si="117"/>
        <v>0.27800675109212958</v>
      </c>
      <c r="AN32" s="41">
        <f t="shared" si="117"/>
        <v>9.5649530252279069E-2</v>
      </c>
      <c r="AO32" s="41">
        <f>+AO14/AN14-1</f>
        <v>-0.13259485255451686</v>
      </c>
      <c r="AP32" s="41">
        <f t="shared" si="117"/>
        <v>0.14650915483722904</v>
      </c>
      <c r="AQ32" s="41">
        <f t="shared" si="117"/>
        <v>8.6804565799573519E-2</v>
      </c>
      <c r="AR32" s="41">
        <f t="shared" si="117"/>
        <v>0.14828082717623992</v>
      </c>
      <c r="AS32" s="93">
        <f>+AS14/AR14-1</f>
        <v>7.1292283055415684E-2</v>
      </c>
      <c r="AT32" s="93">
        <f t="shared" si="117"/>
        <v>0.26107310823017738</v>
      </c>
      <c r="AU32" s="93">
        <f t="shared" si="117"/>
        <v>0.1639436728196737</v>
      </c>
      <c r="AV32" s="93">
        <f t="shared" si="117"/>
        <v>0.16331695140026525</v>
      </c>
      <c r="AW32" s="93">
        <f t="shared" si="117"/>
        <v>0.15024478694469634</v>
      </c>
      <c r="AX32" s="93">
        <f t="shared" si="117"/>
        <v>0.13967841604136444</v>
      </c>
      <c r="AY32" s="93">
        <f t="shared" si="117"/>
        <v>0.13096035445077381</v>
      </c>
      <c r="AZ32" s="93">
        <f t="shared" si="117"/>
        <v>0.12364463728239605</v>
      </c>
      <c r="BA32" s="93">
        <f t="shared" si="117"/>
        <v>0.11741809099368217</v>
      </c>
      <c r="BB32" s="93">
        <f t="shared" si="117"/>
        <v>0.11205433246729579</v>
      </c>
      <c r="BC32" s="93">
        <f t="shared" si="117"/>
        <v>0.10738565156230018</v>
      </c>
      <c r="BD32" s="93">
        <f t="shared" ref="BD32" si="118">+BD14/BC14-1</f>
        <v>0.10328515953400874</v>
      </c>
      <c r="BE32" s="93">
        <f t="shared" ref="BE32" si="119">+BE14/BD14-1</f>
        <v>9.9655081323823502E-2</v>
      </c>
    </row>
    <row r="33" spans="2:60" s="41" customFormat="1">
      <c r="B33" s="24"/>
      <c r="C33" s="26"/>
      <c r="D33" s="26"/>
      <c r="E33" s="26"/>
      <c r="F33" s="26"/>
      <c r="AA33" s="76"/>
      <c r="AB33" s="36"/>
      <c r="AC33" s="36"/>
      <c r="AD33" s="26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</row>
    <row r="34" spans="2:60" s="66" customFormat="1">
      <c r="B34" s="24" t="s">
        <v>250</v>
      </c>
      <c r="C34" s="26"/>
      <c r="D34" s="26"/>
      <c r="E34" s="26"/>
      <c r="F34" s="26"/>
      <c r="O34" s="67"/>
      <c r="P34" s="67"/>
      <c r="Q34" s="67"/>
      <c r="R34" s="67"/>
      <c r="S34" s="67">
        <v>1424.91</v>
      </c>
      <c r="T34" s="67">
        <v>1407.99</v>
      </c>
      <c r="U34" s="67">
        <v>1812.75</v>
      </c>
      <c r="V34" s="67">
        <v>1750.04</v>
      </c>
      <c r="W34" s="67">
        <v>1490.25</v>
      </c>
      <c r="X34" s="67">
        <f>+BH42</f>
        <v>1570.61</v>
      </c>
      <c r="Y34" s="67"/>
      <c r="Z34" s="67"/>
      <c r="AA34" s="78"/>
      <c r="AB34" s="79"/>
      <c r="AC34" s="79"/>
      <c r="AD34" s="23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94"/>
      <c r="AT34" s="94"/>
      <c r="AU34" s="94"/>
      <c r="AV34" s="94"/>
      <c r="AW34" s="94"/>
      <c r="AX34" s="94"/>
      <c r="AY34" s="94"/>
      <c r="AZ34" s="30"/>
      <c r="BA34" s="30"/>
      <c r="BB34" s="30"/>
      <c r="BC34" s="30"/>
      <c r="BD34" s="30"/>
      <c r="BE34" s="30"/>
      <c r="BG34" s="27" t="s">
        <v>178</v>
      </c>
      <c r="BH34" s="28">
        <v>0.01</v>
      </c>
    </row>
    <row r="35" spans="2:60" s="66" customFormat="1">
      <c r="B35" s="24" t="s">
        <v>251</v>
      </c>
      <c r="C35" s="26"/>
      <c r="D35" s="26"/>
      <c r="E35" s="26"/>
      <c r="F35" s="26"/>
      <c r="O35" s="67"/>
      <c r="P35" s="67"/>
      <c r="Q35" s="67"/>
      <c r="R35" s="67"/>
      <c r="S35" s="67">
        <f>+S29*S34/1000</f>
        <v>40698.311440449441</v>
      </c>
      <c r="T35" s="67">
        <f>+T29*T34/1000</f>
        <v>40129.122990000003</v>
      </c>
      <c r="U35" s="67">
        <f>+U29*U34/1000</f>
        <v>51618.056250000001</v>
      </c>
      <c r="V35" s="67">
        <f>+V29*V34/1000</f>
        <v>49849.8894</v>
      </c>
      <c r="W35" s="67">
        <f>+W29*W34/1000</f>
        <v>42175.56525</v>
      </c>
      <c r="X35" s="67">
        <f>+Main!G6/1000</f>
        <v>43539.05571832</v>
      </c>
      <c r="Y35" s="67"/>
      <c r="Z35" s="67"/>
      <c r="AA35" s="78"/>
      <c r="AB35" s="79"/>
      <c r="AC35" s="79"/>
      <c r="AD35" s="23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94"/>
      <c r="AT35" s="94"/>
      <c r="AU35" s="94"/>
      <c r="AV35" s="94"/>
      <c r="AW35" s="94"/>
      <c r="AX35" s="94"/>
      <c r="AY35" s="94"/>
      <c r="AZ35" s="30"/>
      <c r="BA35" s="30"/>
      <c r="BB35" s="30"/>
      <c r="BC35" s="30"/>
      <c r="BD35" s="30"/>
      <c r="BE35" s="30"/>
      <c r="BG35" s="27" t="s">
        <v>36</v>
      </c>
      <c r="BH35" s="28">
        <v>0.02</v>
      </c>
    </row>
    <row r="36" spans="2:60" s="66" customFormat="1">
      <c r="B36" s="24" t="s">
        <v>252</v>
      </c>
      <c r="C36" s="26"/>
      <c r="D36" s="26"/>
      <c r="E36" s="26"/>
      <c r="F36" s="26"/>
      <c r="O36" s="67"/>
      <c r="P36" s="67"/>
      <c r="Q36" s="67"/>
      <c r="R36" s="67"/>
      <c r="S36" s="67">
        <f>+S35-(S40/1000)</f>
        <v>39501.159440449439</v>
      </c>
      <c r="T36" s="67">
        <f>+T35-(T40/1000)</f>
        <v>38959.702990000005</v>
      </c>
      <c r="U36" s="67">
        <f>+U35-(U40/1000)</f>
        <v>50379.178250000004</v>
      </c>
      <c r="V36" s="67">
        <f>+V35-(V40/1000)</f>
        <v>48468.403400000003</v>
      </c>
      <c r="W36" s="67">
        <f>+W35-(W40/1000)</f>
        <v>40955.363250000002</v>
      </c>
      <c r="X36" s="67">
        <f>+Main!G9/1000</f>
        <v>42698.838718319996</v>
      </c>
      <c r="Y36" s="67"/>
      <c r="Z36" s="67"/>
      <c r="AA36" s="78"/>
      <c r="AB36" s="79"/>
      <c r="AC36" s="79"/>
      <c r="AD36" s="23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94"/>
      <c r="AT36" s="94"/>
      <c r="AU36" s="94"/>
      <c r="AV36" s="94"/>
      <c r="AW36" s="94"/>
      <c r="AX36" s="94"/>
      <c r="AY36" s="94"/>
      <c r="AZ36" s="30"/>
      <c r="BA36" s="30"/>
      <c r="BB36" s="30"/>
      <c r="BC36" s="30"/>
      <c r="BD36" s="30"/>
      <c r="BE36" s="30"/>
      <c r="BG36" s="27" t="s">
        <v>37</v>
      </c>
      <c r="BH36" s="28">
        <v>7.0000000000000007E-2</v>
      </c>
    </row>
    <row r="37" spans="2:60" s="41" customFormat="1">
      <c r="B37" s="24"/>
      <c r="C37" s="26"/>
      <c r="D37" s="26"/>
      <c r="E37" s="26"/>
      <c r="F37" s="26"/>
      <c r="AA37" s="76"/>
      <c r="AB37" s="36"/>
      <c r="AC37" s="36"/>
      <c r="AD37" s="2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G37" s="30" t="s">
        <v>38</v>
      </c>
      <c r="BH37" s="31">
        <f>NPV(BH36,AT27:IM27)</f>
        <v>42229584.308114365</v>
      </c>
    </row>
    <row r="38" spans="2:60" s="41" customFormat="1">
      <c r="B38" s="24"/>
      <c r="C38" s="26"/>
      <c r="D38" s="26"/>
      <c r="E38" s="26"/>
      <c r="F38" s="26"/>
      <c r="AA38" s="76"/>
      <c r="AB38" s="36"/>
      <c r="AC38" s="36"/>
      <c r="AD38" s="2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G38" s="32" t="s">
        <v>15</v>
      </c>
      <c r="BH38" s="22">
        <f>Main!G7</f>
        <v>840217</v>
      </c>
    </row>
    <row r="39" spans="2:60"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70"/>
      <c r="AO39" s="42">
        <f>+AO27/AN27-1</f>
        <v>-0.95177059810513831</v>
      </c>
      <c r="AP39" s="42"/>
      <c r="AQ39" s="42"/>
      <c r="AR39" s="42"/>
      <c r="AS39" s="50"/>
      <c r="AT39" s="50"/>
      <c r="BG39" s="27" t="s">
        <v>39</v>
      </c>
      <c r="BH39" s="20">
        <f>+BH37+BH38</f>
        <v>43069801.308114365</v>
      </c>
    </row>
    <row r="40" spans="2:60" s="34" customFormat="1">
      <c r="B40" s="56" t="s">
        <v>177</v>
      </c>
      <c r="C40" s="34">
        <f>+C41+C49+C50+C46</f>
        <v>577040</v>
      </c>
      <c r="D40" s="34">
        <f t="shared" ref="D40:N40" si="120">+D41+D49+D50+D46</f>
        <v>569603</v>
      </c>
      <c r="E40" s="34">
        <f t="shared" ref="E40:F40" si="121">+E41+E49+E50+E46</f>
        <v>548357</v>
      </c>
      <c r="F40" s="34">
        <f t="shared" si="121"/>
        <v>538552</v>
      </c>
      <c r="G40" s="34">
        <f t="shared" ref="G40:H40" si="122">+G41+G49+G50+G46</f>
        <v>579977</v>
      </c>
      <c r="H40" s="34">
        <f t="shared" si="122"/>
        <v>573927</v>
      </c>
      <c r="I40" s="34">
        <f t="shared" si="120"/>
        <v>700395</v>
      </c>
      <c r="J40" s="34">
        <f t="shared" si="120"/>
        <v>706997</v>
      </c>
      <c r="K40" s="34">
        <f t="shared" si="120"/>
        <v>763406</v>
      </c>
      <c r="L40" s="34">
        <f t="shared" ref="L40:M40" si="123">+L41+L49+L50+L46</f>
        <v>746323</v>
      </c>
      <c r="M40" s="34">
        <f t="shared" si="123"/>
        <v>844058</v>
      </c>
      <c r="N40" s="34">
        <f t="shared" si="120"/>
        <v>908637</v>
      </c>
      <c r="O40" s="34">
        <f t="shared" ref="O40:T40" si="124">+O41+O49+O50+O46</f>
        <v>909249</v>
      </c>
      <c r="P40" s="34">
        <f t="shared" si="124"/>
        <v>934642</v>
      </c>
      <c r="Q40" s="34">
        <f t="shared" si="124"/>
        <v>1094285</v>
      </c>
      <c r="R40" s="34">
        <f t="shared" si="124"/>
        <v>1081780</v>
      </c>
      <c r="S40" s="34">
        <f t="shared" si="124"/>
        <v>1197152</v>
      </c>
      <c r="T40" s="34">
        <f t="shared" si="124"/>
        <v>1169420</v>
      </c>
      <c r="U40" s="34">
        <f>+U41+U49+U50+U46</f>
        <v>1238878</v>
      </c>
      <c r="V40" s="34">
        <f t="shared" ref="V40:Z40" si="125">+V41+V49+V50+V46</f>
        <v>1381486</v>
      </c>
      <c r="W40" s="34">
        <f t="shared" si="125"/>
        <v>1220202</v>
      </c>
      <c r="X40" s="34">
        <f>+X41+X49+X50+X46</f>
        <v>1152423</v>
      </c>
      <c r="Y40" s="34">
        <f t="shared" si="125"/>
        <v>1257495</v>
      </c>
      <c r="Z40" s="34">
        <f t="shared" si="125"/>
        <v>0</v>
      </c>
      <c r="AA40" s="73"/>
      <c r="AB40" s="33"/>
      <c r="AC40" s="33"/>
      <c r="AS40" s="89"/>
      <c r="AT40" s="89">
        <f>+Y40</f>
        <v>1257495</v>
      </c>
      <c r="AU40" s="89">
        <f>+AT40+AU27</f>
        <v>2208752.4773340682</v>
      </c>
      <c r="AV40" s="89">
        <f t="shared" ref="AV40:BE40" si="126">+AU40+AV27</f>
        <v>3320960.5800695396</v>
      </c>
      <c r="AW40" s="89">
        <f t="shared" si="126"/>
        <v>4606124.811418904</v>
      </c>
      <c r="AX40" s="89">
        <f t="shared" si="126"/>
        <v>6076958.4798395857</v>
      </c>
      <c r="AY40" s="89">
        <f t="shared" si="126"/>
        <v>7746920.1512933196</v>
      </c>
      <c r="AZ40" s="89">
        <f t="shared" si="126"/>
        <v>9630252.9654727057</v>
      </c>
      <c r="BA40" s="89">
        <f t="shared" si="126"/>
        <v>11742025.905190803</v>
      </c>
      <c r="BB40" s="89">
        <f t="shared" si="126"/>
        <v>14098177.112282863</v>
      </c>
      <c r="BC40" s="89">
        <f t="shared" si="126"/>
        <v>16715559.347712316</v>
      </c>
      <c r="BD40" s="89">
        <f t="shared" si="126"/>
        <v>19611987.698113948</v>
      </c>
      <c r="BE40" s="89">
        <f t="shared" si="126"/>
        <v>22806289.635755222</v>
      </c>
      <c r="BG40" s="27" t="s">
        <v>13</v>
      </c>
      <c r="BH40" s="20">
        <f>+Main!G5</f>
        <v>27721.112000000001</v>
      </c>
    </row>
    <row r="41" spans="2:60" s="35" customFormat="1">
      <c r="B41" s="45" t="s">
        <v>114</v>
      </c>
      <c r="C41" s="35">
        <v>122413</v>
      </c>
      <c r="D41" s="35">
        <v>175137</v>
      </c>
      <c r="E41" s="35">
        <v>113480</v>
      </c>
      <c r="F41" s="35">
        <v>184569</v>
      </c>
      <c r="G41" s="35">
        <v>231838</v>
      </c>
      <c r="H41" s="35">
        <v>225658</v>
      </c>
      <c r="I41" s="35">
        <v>343028</v>
      </c>
      <c r="J41" s="35">
        <v>249953</v>
      </c>
      <c r="K41" s="35">
        <v>277661</v>
      </c>
      <c r="L41" s="35">
        <v>299913</v>
      </c>
      <c r="M41" s="35">
        <v>386565</v>
      </c>
      <c r="N41" s="35">
        <v>480626</v>
      </c>
      <c r="O41" s="35">
        <v>500315</v>
      </c>
      <c r="P41" s="35">
        <v>605622</v>
      </c>
      <c r="Q41" s="35">
        <v>662401</v>
      </c>
      <c r="R41" s="35">
        <v>607987</v>
      </c>
      <c r="S41" s="35">
        <v>694776</v>
      </c>
      <c r="T41" s="35">
        <v>668269</v>
      </c>
      <c r="U41" s="35">
        <v>721109</v>
      </c>
      <c r="V41" s="35">
        <v>815374</v>
      </c>
      <c r="W41" s="35">
        <v>615863</v>
      </c>
      <c r="X41" s="35">
        <v>520933</v>
      </c>
      <c r="Y41" s="35">
        <v>366623</v>
      </c>
      <c r="AA41" s="72"/>
      <c r="AB41" s="18"/>
      <c r="AC41" s="1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G41" s="32" t="s">
        <v>40</v>
      </c>
      <c r="BH41" s="22">
        <f>+BH39/BH40</f>
        <v>1553.6823092852251</v>
      </c>
    </row>
    <row r="42" spans="2:60" s="35" customFormat="1">
      <c r="B42" s="45" t="s">
        <v>115</v>
      </c>
      <c r="C42" s="35">
        <v>21852</v>
      </c>
      <c r="D42" s="35">
        <v>24940</v>
      </c>
      <c r="E42" s="35">
        <v>23870</v>
      </c>
      <c r="F42" s="35">
        <v>40453</v>
      </c>
      <c r="G42" s="35">
        <v>26691</v>
      </c>
      <c r="H42" s="35">
        <v>23702</v>
      </c>
      <c r="I42" s="35">
        <v>26868</v>
      </c>
      <c r="J42" s="35">
        <v>62312</v>
      </c>
      <c r="K42" s="35">
        <v>49725</v>
      </c>
      <c r="L42" s="35">
        <v>49362</v>
      </c>
      <c r="M42" s="35">
        <v>49489</v>
      </c>
      <c r="N42" s="35">
        <v>80545</v>
      </c>
      <c r="O42" s="35">
        <v>63461</v>
      </c>
      <c r="P42" s="35">
        <v>68006</v>
      </c>
      <c r="Q42" s="35">
        <v>69366</v>
      </c>
      <c r="R42" s="35">
        <v>104500</v>
      </c>
      <c r="S42" s="35">
        <v>68449</v>
      </c>
      <c r="T42" s="35">
        <v>75697</v>
      </c>
      <c r="U42" s="35">
        <v>76099</v>
      </c>
      <c r="V42" s="35">
        <v>99599</v>
      </c>
      <c r="W42" s="35">
        <v>89295</v>
      </c>
      <c r="X42" s="35">
        <v>83636</v>
      </c>
      <c r="Y42" s="35">
        <v>71276</v>
      </c>
      <c r="AA42" s="72"/>
      <c r="AB42" s="18"/>
      <c r="AC42" s="1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G42" s="27" t="s">
        <v>41</v>
      </c>
      <c r="BH42" s="20">
        <f>+Main!G4</f>
        <v>1570.61</v>
      </c>
    </row>
    <row r="43" spans="2:60" s="35" customFormat="1">
      <c r="B43" s="45" t="s">
        <v>116</v>
      </c>
      <c r="C43" s="35">
        <v>18319</v>
      </c>
      <c r="D43" s="35">
        <v>19126</v>
      </c>
      <c r="E43" s="35">
        <v>21634</v>
      </c>
      <c r="F43" s="35">
        <v>19860</v>
      </c>
      <c r="G43" s="35">
        <v>17404</v>
      </c>
      <c r="H43" s="35">
        <v>20851</v>
      </c>
      <c r="I43" s="35">
        <v>18285</v>
      </c>
      <c r="J43" s="35">
        <v>21555</v>
      </c>
      <c r="K43" s="35">
        <v>18780</v>
      </c>
      <c r="L43" s="35">
        <v>21144</v>
      </c>
      <c r="M43" s="35">
        <v>23871</v>
      </c>
      <c r="N43" s="35">
        <v>26096</v>
      </c>
      <c r="O43" s="35">
        <v>23335</v>
      </c>
      <c r="P43" s="35">
        <v>24178</v>
      </c>
      <c r="Q43" s="35">
        <v>25464</v>
      </c>
      <c r="R43" s="35">
        <v>26445</v>
      </c>
      <c r="S43" s="35">
        <v>24304</v>
      </c>
      <c r="T43" s="35">
        <v>25159</v>
      </c>
      <c r="U43" s="35">
        <v>28450</v>
      </c>
      <c r="V43" s="35">
        <v>32826</v>
      </c>
      <c r="W43" s="35">
        <v>29852</v>
      </c>
      <c r="X43" s="35">
        <v>29456</v>
      </c>
      <c r="Y43" s="35">
        <v>33752</v>
      </c>
      <c r="AA43" s="72"/>
      <c r="AB43" s="18"/>
      <c r="AC43" s="1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G43" s="41"/>
      <c r="BH43" s="41"/>
    </row>
    <row r="44" spans="2:60" s="35" customFormat="1">
      <c r="B44" s="45" t="s">
        <v>117</v>
      </c>
      <c r="C44" s="35">
        <v>47023</v>
      </c>
      <c r="D44" s="35">
        <v>50296</v>
      </c>
      <c r="E44" s="35">
        <v>49089</v>
      </c>
      <c r="F44" s="35">
        <v>50918</v>
      </c>
      <c r="G44" s="35">
        <v>55742</v>
      </c>
      <c r="H44" s="35">
        <v>69860</v>
      </c>
      <c r="I44" s="35">
        <v>55406</v>
      </c>
      <c r="J44" s="35">
        <v>54129</v>
      </c>
      <c r="K44" s="35">
        <v>34217</v>
      </c>
      <c r="L44" s="35">
        <v>44116</v>
      </c>
      <c r="M44" s="35">
        <v>62211</v>
      </c>
      <c r="N44" s="35">
        <v>57076</v>
      </c>
      <c r="O44" s="35">
        <v>50781</v>
      </c>
      <c r="P44" s="35">
        <v>53656</v>
      </c>
      <c r="Q44" s="35">
        <v>50794</v>
      </c>
      <c r="R44" s="35">
        <v>54906</v>
      </c>
      <c r="S44" s="35">
        <v>61615</v>
      </c>
      <c r="T44" s="35">
        <v>71613</v>
      </c>
      <c r="U44" s="35">
        <v>72821</v>
      </c>
      <c r="V44" s="35">
        <v>78756</v>
      </c>
      <c r="W44" s="35">
        <v>70403</v>
      </c>
      <c r="X44" s="35">
        <v>73716</v>
      </c>
      <c r="Y44" s="35">
        <v>76439</v>
      </c>
      <c r="AA44" s="72"/>
      <c r="AB44" s="18"/>
      <c r="AC44" s="1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G44" s="27"/>
      <c r="BH44" s="20"/>
    </row>
    <row r="45" spans="2:60" s="35" customFormat="1">
      <c r="B45" s="45" t="s">
        <v>118</v>
      </c>
      <c r="C45" s="35">
        <v>0</v>
      </c>
      <c r="D45" s="35">
        <v>0</v>
      </c>
      <c r="E45" s="35">
        <v>12986</v>
      </c>
      <c r="F45" s="35">
        <v>9353</v>
      </c>
      <c r="G45" s="35">
        <v>0</v>
      </c>
      <c r="H45" s="35">
        <v>32334</v>
      </c>
      <c r="I45" s="35">
        <v>21697</v>
      </c>
      <c r="J45" s="35">
        <v>0</v>
      </c>
      <c r="K45" s="35">
        <v>0</v>
      </c>
      <c r="L45" s="35">
        <v>0</v>
      </c>
      <c r="M45" s="35">
        <v>3824</v>
      </c>
      <c r="N45" s="35">
        <v>27705</v>
      </c>
      <c r="O45" s="35">
        <v>56631</v>
      </c>
      <c r="P45" s="35">
        <v>97840</v>
      </c>
      <c r="Q45" s="35">
        <v>60436</v>
      </c>
      <c r="R45" s="35">
        <v>282783</v>
      </c>
      <c r="S45" s="35">
        <v>244122</v>
      </c>
      <c r="T45" s="35">
        <v>284612</v>
      </c>
      <c r="U45" s="35">
        <v>318593</v>
      </c>
      <c r="V45" s="35">
        <v>94064</v>
      </c>
      <c r="W45" s="35">
        <v>50701</v>
      </c>
      <c r="X45" s="35">
        <v>97874</v>
      </c>
      <c r="Y45" s="35">
        <v>112064</v>
      </c>
      <c r="AA45" s="72"/>
      <c r="AB45" s="18"/>
      <c r="AC45" s="1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G45" s="32" t="s">
        <v>98</v>
      </c>
      <c r="BH45" s="36">
        <f>+BH41/BH42-1</f>
        <v>-1.0777781062628389E-2</v>
      </c>
    </row>
    <row r="46" spans="2:60" s="35" customFormat="1">
      <c r="B46" s="45" t="s">
        <v>119</v>
      </c>
      <c r="C46" s="35">
        <v>454627</v>
      </c>
      <c r="D46" s="35">
        <v>394466</v>
      </c>
      <c r="E46" s="35">
        <v>434877</v>
      </c>
      <c r="F46" s="35">
        <v>324382</v>
      </c>
      <c r="G46" s="35">
        <v>298764</v>
      </c>
      <c r="H46" s="35">
        <v>348269</v>
      </c>
      <c r="I46" s="35">
        <v>327787</v>
      </c>
      <c r="J46" s="35">
        <v>426845</v>
      </c>
      <c r="K46" s="35">
        <v>457363</v>
      </c>
      <c r="L46" s="35">
        <v>417867</v>
      </c>
      <c r="M46" s="35">
        <v>428796</v>
      </c>
      <c r="N46" s="35">
        <v>400156</v>
      </c>
      <c r="O46" s="35">
        <v>380978</v>
      </c>
      <c r="P46" s="35">
        <v>301041</v>
      </c>
      <c r="Q46" s="35">
        <v>342819</v>
      </c>
      <c r="R46" s="35">
        <v>343616</v>
      </c>
      <c r="S46" s="35">
        <v>363585</v>
      </c>
      <c r="T46" s="35">
        <v>322460</v>
      </c>
      <c r="U46" s="35">
        <v>301534</v>
      </c>
      <c r="V46" s="35">
        <v>260945</v>
      </c>
      <c r="W46" s="35">
        <v>240379</v>
      </c>
      <c r="X46" s="35">
        <v>240684</v>
      </c>
      <c r="Y46" s="35">
        <v>417278</v>
      </c>
      <c r="AA46" s="72"/>
      <c r="AB46" s="18"/>
      <c r="AC46" s="1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9"/>
    </row>
    <row r="47" spans="2:60" s="35" customFormat="1">
      <c r="B47" s="56" t="s">
        <v>120</v>
      </c>
      <c r="C47" s="34">
        <f t="shared" ref="C47:N47" si="127">+SUM(C41:C46)</f>
        <v>664234</v>
      </c>
      <c r="D47" s="34">
        <f t="shared" si="127"/>
        <v>663965</v>
      </c>
      <c r="E47" s="34">
        <f t="shared" si="127"/>
        <v>655936</v>
      </c>
      <c r="F47" s="34">
        <f t="shared" si="127"/>
        <v>629535</v>
      </c>
      <c r="G47" s="34">
        <f t="shared" si="127"/>
        <v>630439</v>
      </c>
      <c r="H47" s="34">
        <f t="shared" si="127"/>
        <v>720674</v>
      </c>
      <c r="I47" s="34">
        <f t="shared" si="127"/>
        <v>793071</v>
      </c>
      <c r="J47" s="34">
        <f t="shared" si="127"/>
        <v>814794</v>
      </c>
      <c r="K47" s="34">
        <f t="shared" si="127"/>
        <v>837746</v>
      </c>
      <c r="L47" s="34">
        <f t="shared" si="127"/>
        <v>832402</v>
      </c>
      <c r="M47" s="34">
        <f t="shared" si="127"/>
        <v>954756</v>
      </c>
      <c r="N47" s="34">
        <f t="shared" si="127"/>
        <v>1072204</v>
      </c>
      <c r="O47" s="34">
        <f t="shared" ref="O47:W47" si="128">+SUM(O41:O46)</f>
        <v>1075501</v>
      </c>
      <c r="P47" s="34">
        <f t="shared" si="128"/>
        <v>1150343</v>
      </c>
      <c r="Q47" s="34">
        <f t="shared" si="128"/>
        <v>1211280</v>
      </c>
      <c r="R47" s="34">
        <f t="shared" si="128"/>
        <v>1420237</v>
      </c>
      <c r="S47" s="34">
        <f t="shared" si="128"/>
        <v>1456851</v>
      </c>
      <c r="T47" s="34">
        <f t="shared" si="128"/>
        <v>1447810</v>
      </c>
      <c r="U47" s="34">
        <f t="shared" si="128"/>
        <v>1518606</v>
      </c>
      <c r="V47" s="34">
        <f t="shared" si="128"/>
        <v>1381564</v>
      </c>
      <c r="W47" s="34">
        <f t="shared" si="128"/>
        <v>1096493</v>
      </c>
      <c r="X47" s="34">
        <f t="shared" ref="X47:Y47" si="129">+SUM(X41:X46)</f>
        <v>1046299</v>
      </c>
      <c r="Y47" s="34">
        <f t="shared" si="129"/>
        <v>1077432</v>
      </c>
      <c r="Z47" s="34"/>
      <c r="AA47" s="73"/>
      <c r="AB47" s="18"/>
      <c r="AC47" s="18"/>
      <c r="AS47" s="95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96"/>
    </row>
    <row r="48" spans="2:60" s="35" customFormat="1">
      <c r="B48" s="45" t="s">
        <v>121</v>
      </c>
      <c r="C48" s="35">
        <v>1322622</v>
      </c>
      <c r="D48" s="35">
        <v>1328280</v>
      </c>
      <c r="E48" s="35">
        <v>1331786</v>
      </c>
      <c r="F48" s="35">
        <v>1338366</v>
      </c>
      <c r="G48" s="35">
        <v>1343717</v>
      </c>
      <c r="H48" s="35">
        <v>1333949</v>
      </c>
      <c r="I48" s="35">
        <v>1361440</v>
      </c>
      <c r="J48" s="35">
        <v>1379254</v>
      </c>
      <c r="K48" s="35">
        <v>1366684</v>
      </c>
      <c r="L48" s="35">
        <v>1387896</v>
      </c>
      <c r="M48" s="35">
        <v>1425446</v>
      </c>
      <c r="N48" s="35">
        <v>1458690</v>
      </c>
      <c r="O48" s="35">
        <v>1465666</v>
      </c>
      <c r="P48" s="35">
        <v>1498048</v>
      </c>
      <c r="Q48" s="35">
        <v>1547217</v>
      </c>
      <c r="R48" s="35">
        <v>1584311</v>
      </c>
      <c r="S48" s="35">
        <v>1613670</v>
      </c>
      <c r="T48" s="35">
        <v>1666184</v>
      </c>
      <c r="U48" s="35">
        <v>1719224</v>
      </c>
      <c r="V48" s="35">
        <v>1769278</v>
      </c>
      <c r="W48" s="35">
        <v>1779521</v>
      </c>
      <c r="X48" s="35">
        <v>1813348</v>
      </c>
      <c r="Y48" s="35">
        <v>1871623</v>
      </c>
      <c r="AA48" s="72"/>
      <c r="AB48" s="18"/>
      <c r="AC48" s="1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</row>
    <row r="49" spans="2:57" s="35" customFormat="1">
      <c r="B49" s="45" t="s">
        <v>122</v>
      </c>
      <c r="C49" s="35">
        <v>0</v>
      </c>
      <c r="D49" s="35">
        <v>0</v>
      </c>
      <c r="E49" s="35">
        <v>0</v>
      </c>
      <c r="F49" s="35">
        <v>0</v>
      </c>
      <c r="G49" s="35">
        <v>49375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61474</v>
      </c>
      <c r="R49" s="35">
        <v>102328</v>
      </c>
      <c r="S49" s="35">
        <v>110928</v>
      </c>
      <c r="T49" s="35">
        <v>150814</v>
      </c>
      <c r="U49" s="35">
        <v>188344</v>
      </c>
      <c r="V49" s="35">
        <v>274311</v>
      </c>
      <c r="W49" s="35">
        <v>333088</v>
      </c>
      <c r="X49" s="35">
        <v>359911</v>
      </c>
      <c r="Y49" s="35">
        <v>442620</v>
      </c>
      <c r="AA49" s="72"/>
      <c r="AB49" s="18"/>
      <c r="AC49" s="1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9"/>
    </row>
    <row r="50" spans="2:57" s="35" customFormat="1">
      <c r="B50" s="45" t="s">
        <v>123</v>
      </c>
      <c r="C50" s="35">
        <v>0</v>
      </c>
      <c r="D50" s="35">
        <v>0</v>
      </c>
      <c r="E50" s="35">
        <v>0</v>
      </c>
      <c r="F50" s="35">
        <v>29601</v>
      </c>
      <c r="G50" s="35">
        <v>0</v>
      </c>
      <c r="H50" s="35">
        <v>0</v>
      </c>
      <c r="I50" s="35">
        <v>29580</v>
      </c>
      <c r="J50" s="35">
        <v>30199</v>
      </c>
      <c r="K50" s="35">
        <v>28382</v>
      </c>
      <c r="L50" s="35">
        <v>28543</v>
      </c>
      <c r="M50" s="35">
        <v>28697</v>
      </c>
      <c r="N50" s="35">
        <v>27855</v>
      </c>
      <c r="O50" s="35">
        <v>27956</v>
      </c>
      <c r="P50" s="35">
        <v>27979</v>
      </c>
      <c r="Q50" s="35">
        <v>27591</v>
      </c>
      <c r="R50" s="35">
        <v>27849</v>
      </c>
      <c r="S50" s="35">
        <v>27863</v>
      </c>
      <c r="T50" s="35">
        <v>27877</v>
      </c>
      <c r="U50" s="35">
        <v>27891</v>
      </c>
      <c r="V50" s="35">
        <v>30856</v>
      </c>
      <c r="W50" s="35">
        <v>30872</v>
      </c>
      <c r="X50" s="35">
        <v>30895</v>
      </c>
      <c r="Y50" s="35">
        <v>30974</v>
      </c>
      <c r="AA50" s="72"/>
      <c r="AB50" s="18"/>
      <c r="AC50" s="1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9"/>
    </row>
    <row r="51" spans="2:57" s="35" customFormat="1">
      <c r="B51" s="45" t="s">
        <v>213</v>
      </c>
      <c r="C51" s="35">
        <v>0</v>
      </c>
      <c r="D51" s="35">
        <v>0</v>
      </c>
      <c r="E51" s="35">
        <v>0</v>
      </c>
      <c r="G51" s="35">
        <v>0</v>
      </c>
      <c r="H51" s="35">
        <v>0</v>
      </c>
      <c r="J51" s="35">
        <v>0</v>
      </c>
      <c r="K51" s="35">
        <v>0</v>
      </c>
      <c r="L51" s="35">
        <v>0</v>
      </c>
      <c r="M51" s="35">
        <v>9634</v>
      </c>
      <c r="AA51" s="72"/>
      <c r="AB51" s="18"/>
      <c r="AC51" s="1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9"/>
    </row>
    <row r="52" spans="2:57" s="35" customFormat="1">
      <c r="B52" s="45" t="s">
        <v>124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2349993</v>
      </c>
      <c r="L52" s="35">
        <v>2370710</v>
      </c>
      <c r="M52" s="35">
        <v>2479464</v>
      </c>
      <c r="N52" s="35">
        <v>2505466</v>
      </c>
      <c r="O52" s="35">
        <v>2591416</v>
      </c>
      <c r="P52" s="35">
        <v>2634165</v>
      </c>
      <c r="Q52" s="35">
        <v>2708218</v>
      </c>
      <c r="R52" s="35">
        <v>2767185</v>
      </c>
      <c r="S52" s="35">
        <v>2858345</v>
      </c>
      <c r="T52" s="35">
        <v>2945912</v>
      </c>
      <c r="U52" s="35">
        <v>3094045</v>
      </c>
      <c r="V52" s="35">
        <v>3118294</v>
      </c>
      <c r="W52" s="35">
        <v>3147061</v>
      </c>
      <c r="X52" s="35">
        <v>3209934</v>
      </c>
      <c r="Y52" s="35">
        <v>3309051</v>
      </c>
      <c r="AA52" s="72"/>
      <c r="AB52" s="18"/>
      <c r="AC52" s="1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</row>
    <row r="53" spans="2:57" s="35" customFormat="1">
      <c r="B53" s="45" t="s">
        <v>125</v>
      </c>
      <c r="C53" s="35">
        <v>53737</v>
      </c>
      <c r="D53" s="35">
        <v>54367</v>
      </c>
      <c r="E53" s="35">
        <v>54716</v>
      </c>
      <c r="F53" s="35">
        <v>26251</v>
      </c>
      <c r="G53" s="35">
        <v>51974</v>
      </c>
      <c r="H53" s="35">
        <v>52060</v>
      </c>
      <c r="I53" s="35">
        <v>24842</v>
      </c>
      <c r="J53" s="35">
        <v>19332</v>
      </c>
      <c r="K53" s="35">
        <v>20738</v>
      </c>
      <c r="L53" s="35">
        <v>17817</v>
      </c>
      <c r="M53" s="35">
        <v>18001</v>
      </c>
      <c r="N53" s="35">
        <v>18450</v>
      </c>
      <c r="O53" s="35">
        <v>24010</v>
      </c>
      <c r="P53" s="35">
        <v>37655</v>
      </c>
      <c r="Q53" s="35">
        <v>53921</v>
      </c>
      <c r="R53" s="35">
        <v>59047</v>
      </c>
      <c r="S53" s="35">
        <v>59463</v>
      </c>
      <c r="T53" s="35">
        <v>59918</v>
      </c>
      <c r="U53" s="35">
        <v>57518</v>
      </c>
      <c r="V53" s="35">
        <v>56716</v>
      </c>
      <c r="W53" s="35">
        <v>58283</v>
      </c>
      <c r="X53" s="35">
        <v>63010</v>
      </c>
      <c r="Y53" s="35">
        <v>63798</v>
      </c>
      <c r="AA53" s="72"/>
      <c r="AB53" s="18"/>
      <c r="AC53" s="1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</row>
    <row r="54" spans="2:57" s="34" customFormat="1">
      <c r="B54" s="45" t="s">
        <v>126</v>
      </c>
      <c r="C54" s="35">
        <v>21939</v>
      </c>
      <c r="D54" s="35">
        <v>21939</v>
      </c>
      <c r="E54" s="35">
        <v>21939</v>
      </c>
      <c r="F54" s="35">
        <v>21939</v>
      </c>
      <c r="G54" s="35">
        <v>21939</v>
      </c>
      <c r="H54" s="35">
        <v>21939</v>
      </c>
      <c r="I54" s="35">
        <v>21939</v>
      </c>
      <c r="J54" s="35">
        <v>21939</v>
      </c>
      <c r="K54" s="35">
        <v>21939</v>
      </c>
      <c r="L54" s="35">
        <v>21939</v>
      </c>
      <c r="M54" s="35">
        <v>21939</v>
      </c>
      <c r="N54" s="35">
        <v>21939</v>
      </c>
      <c r="O54" s="35">
        <v>21939</v>
      </c>
      <c r="P54" s="35">
        <v>21939</v>
      </c>
      <c r="Q54" s="35">
        <v>21939</v>
      </c>
      <c r="R54" s="35">
        <v>1939</v>
      </c>
      <c r="S54" s="35">
        <v>21939</v>
      </c>
      <c r="T54" s="35">
        <v>21939</v>
      </c>
      <c r="U54" s="35">
        <v>21939</v>
      </c>
      <c r="V54" s="34">
        <v>21939</v>
      </c>
      <c r="W54" s="35">
        <v>21939</v>
      </c>
      <c r="X54" s="35">
        <v>21939</v>
      </c>
      <c r="Y54" s="35">
        <v>21939</v>
      </c>
      <c r="AA54" s="73"/>
      <c r="AB54" s="33"/>
      <c r="AC54" s="33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</row>
    <row r="55" spans="2:57" s="35" customFormat="1">
      <c r="B55" s="56" t="s">
        <v>127</v>
      </c>
      <c r="C55" s="34">
        <f t="shared" ref="C55:D55" si="130">+SUM(C47:C54)</f>
        <v>2062532</v>
      </c>
      <c r="D55" s="34">
        <f t="shared" si="130"/>
        <v>2068551</v>
      </c>
      <c r="E55" s="34">
        <f t="shared" ref="E55:F55" si="131">+SUM(E47:E54)</f>
        <v>2064377</v>
      </c>
      <c r="F55" s="34">
        <f t="shared" si="131"/>
        <v>2045692</v>
      </c>
      <c r="G55" s="34">
        <f t="shared" ref="G55:M55" si="132">+SUM(G47:G54)</f>
        <v>2097444</v>
      </c>
      <c r="H55" s="34">
        <f t="shared" si="132"/>
        <v>2128622</v>
      </c>
      <c r="I55" s="34">
        <f t="shared" si="132"/>
        <v>2230872</v>
      </c>
      <c r="J55" s="34">
        <f t="shared" si="132"/>
        <v>2265518</v>
      </c>
      <c r="K55" s="34">
        <f t="shared" si="132"/>
        <v>4625482</v>
      </c>
      <c r="L55" s="34">
        <f t="shared" si="132"/>
        <v>4659307</v>
      </c>
      <c r="M55" s="34">
        <f t="shared" si="132"/>
        <v>4937937</v>
      </c>
      <c r="N55" s="34">
        <f t="shared" ref="N55:V55" si="133">+SUM(N47:N54)</f>
        <v>5104604</v>
      </c>
      <c r="O55" s="34">
        <f t="shared" si="133"/>
        <v>5206488</v>
      </c>
      <c r="P55" s="34">
        <f t="shared" si="133"/>
        <v>5370129</v>
      </c>
      <c r="Q55" s="34">
        <f t="shared" si="133"/>
        <v>5631640</v>
      </c>
      <c r="R55" s="34">
        <f t="shared" si="133"/>
        <v>5962896</v>
      </c>
      <c r="S55" s="34">
        <f t="shared" si="133"/>
        <v>6149059</v>
      </c>
      <c r="T55" s="34">
        <f t="shared" si="133"/>
        <v>6320454</v>
      </c>
      <c r="U55" s="34">
        <f t="shared" si="133"/>
        <v>6627567</v>
      </c>
      <c r="V55" s="34">
        <f t="shared" si="133"/>
        <v>6652958</v>
      </c>
      <c r="W55" s="34">
        <f>+SUM(W47:W54)</f>
        <v>6467257</v>
      </c>
      <c r="X55" s="34">
        <f>+SUM(X47:X54)</f>
        <v>6545336</v>
      </c>
      <c r="Y55" s="34">
        <f>+SUM(Y47:Y54)</f>
        <v>6817437</v>
      </c>
      <c r="Z55" s="34"/>
      <c r="AA55" s="73"/>
      <c r="AB55" s="18"/>
      <c r="AC55" s="1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</row>
    <row r="56" spans="2:57" s="35" customFormat="1">
      <c r="B56" s="45"/>
      <c r="AA56" s="72"/>
      <c r="AB56" s="18"/>
      <c r="AC56" s="1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</row>
    <row r="57" spans="2:57" s="35" customFormat="1">
      <c r="B57" s="45" t="s">
        <v>128</v>
      </c>
      <c r="C57" s="35">
        <v>83840</v>
      </c>
      <c r="D57" s="35">
        <v>80976</v>
      </c>
      <c r="E57" s="35">
        <v>86705</v>
      </c>
      <c r="F57" s="35">
        <v>82028</v>
      </c>
      <c r="G57" s="35">
        <v>99001</v>
      </c>
      <c r="H57" s="35">
        <v>95597</v>
      </c>
      <c r="I57" s="35">
        <v>103486</v>
      </c>
      <c r="J57" s="35">
        <v>113071</v>
      </c>
      <c r="K57" s="35">
        <v>106214</v>
      </c>
      <c r="L57" s="35">
        <v>99007</v>
      </c>
      <c r="M57" s="35">
        <v>118483</v>
      </c>
      <c r="N57" s="35">
        <v>115816</v>
      </c>
      <c r="O57" s="35">
        <v>130423</v>
      </c>
      <c r="P57" s="35">
        <v>160523</v>
      </c>
      <c r="Q57" s="35">
        <v>157324</v>
      </c>
      <c r="R57" s="35">
        <v>121990</v>
      </c>
      <c r="S57" s="35">
        <v>147417</v>
      </c>
      <c r="T57" s="35">
        <v>140251</v>
      </c>
      <c r="U57" s="35">
        <v>171712</v>
      </c>
      <c r="V57" s="35">
        <v>163161</v>
      </c>
      <c r="W57" s="35">
        <v>168905</v>
      </c>
      <c r="X57" s="35">
        <v>158581</v>
      </c>
      <c r="Y57" s="35">
        <v>167842</v>
      </c>
      <c r="AA57" s="72"/>
      <c r="AB57" s="18"/>
      <c r="AC57" s="1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</row>
    <row r="58" spans="2:57" s="35" customFormat="1">
      <c r="B58" s="45" t="s">
        <v>129</v>
      </c>
      <c r="C58" s="35">
        <v>96730</v>
      </c>
      <c r="D58" s="35">
        <v>85169</v>
      </c>
      <c r="E58" s="35">
        <v>108120</v>
      </c>
      <c r="F58" s="35">
        <v>82541</v>
      </c>
      <c r="G58" s="35">
        <v>110268</v>
      </c>
      <c r="H58" s="35">
        <v>97573</v>
      </c>
      <c r="I58" s="35">
        <v>127302</v>
      </c>
      <c r="J58" s="35">
        <v>113467</v>
      </c>
      <c r="K58" s="35">
        <v>119689</v>
      </c>
      <c r="L58" s="35">
        <v>98800</v>
      </c>
      <c r="M58" s="35">
        <v>145766</v>
      </c>
      <c r="N58" s="35">
        <v>126600</v>
      </c>
      <c r="O58" s="35">
        <v>132273</v>
      </c>
      <c r="P58" s="35">
        <v>130306</v>
      </c>
      <c r="Q58" s="35">
        <v>194877</v>
      </c>
      <c r="R58" s="35">
        <v>203054</v>
      </c>
      <c r="S58" s="35">
        <v>221667</v>
      </c>
      <c r="T58" s="35">
        <v>225104</v>
      </c>
      <c r="U58" s="35">
        <v>190912</v>
      </c>
      <c r="V58" s="35">
        <v>162405</v>
      </c>
      <c r="W58" s="35">
        <v>172454</v>
      </c>
      <c r="X58" s="35">
        <v>161052</v>
      </c>
      <c r="Y58" s="35">
        <v>128495</v>
      </c>
      <c r="AA58" s="72"/>
      <c r="AB58" s="18"/>
      <c r="AC58" s="1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</row>
    <row r="59" spans="2:57" s="35" customFormat="1">
      <c r="B59" s="45" t="s">
        <v>130</v>
      </c>
      <c r="C59" s="35">
        <v>101114</v>
      </c>
      <c r="D59" s="35">
        <v>98311</v>
      </c>
      <c r="E59" s="35">
        <v>128577</v>
      </c>
      <c r="F59" s="35">
        <v>159324</v>
      </c>
      <c r="G59" s="35">
        <v>149409</v>
      </c>
      <c r="H59" s="35">
        <v>161991</v>
      </c>
      <c r="I59" s="35">
        <v>171998</v>
      </c>
      <c r="J59" s="35">
        <v>147849</v>
      </c>
      <c r="K59" s="35">
        <v>119813</v>
      </c>
      <c r="L59" s="35">
        <v>126879</v>
      </c>
      <c r="M59" s="35">
        <v>141159</v>
      </c>
      <c r="N59" s="35">
        <v>155843</v>
      </c>
      <c r="O59" s="35">
        <v>147242</v>
      </c>
      <c r="P59" s="35">
        <v>146229</v>
      </c>
      <c r="Q59" s="35">
        <v>158234</v>
      </c>
      <c r="R59" s="35">
        <v>164649</v>
      </c>
      <c r="S59" s="35">
        <v>145627</v>
      </c>
      <c r="T59" s="35">
        <v>143469</v>
      </c>
      <c r="U59" s="35">
        <v>153233</v>
      </c>
      <c r="V59" s="35">
        <v>173052</v>
      </c>
      <c r="W59" s="35">
        <v>136655</v>
      </c>
      <c r="X59" s="35">
        <v>148614</v>
      </c>
      <c r="Y59" s="35">
        <v>156455</v>
      </c>
      <c r="AA59" s="72"/>
      <c r="AB59" s="18"/>
      <c r="AC59" s="1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</row>
    <row r="60" spans="2:57" s="35" customFormat="1">
      <c r="B60" s="45" t="s">
        <v>131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70474</v>
      </c>
      <c r="K60" s="35">
        <v>57088</v>
      </c>
      <c r="L60" s="35">
        <v>61794</v>
      </c>
      <c r="M60" s="35">
        <v>61809</v>
      </c>
      <c r="N60" s="35">
        <v>95195</v>
      </c>
      <c r="O60" s="35">
        <v>77499</v>
      </c>
      <c r="P60" s="35">
        <v>88924</v>
      </c>
      <c r="Q60" s="35">
        <v>91467</v>
      </c>
      <c r="R60" s="35">
        <v>127750</v>
      </c>
      <c r="S60" s="35">
        <v>110197</v>
      </c>
      <c r="T60" s="35">
        <v>113016</v>
      </c>
      <c r="U60" s="35">
        <v>120423</v>
      </c>
      <c r="V60" s="35">
        <v>156351</v>
      </c>
      <c r="W60" s="35">
        <v>132421</v>
      </c>
      <c r="X60" s="35">
        <v>132446</v>
      </c>
      <c r="Y60" s="35">
        <v>133118</v>
      </c>
      <c r="AA60" s="72"/>
      <c r="AB60" s="18"/>
      <c r="AC60" s="1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</row>
    <row r="61" spans="2:57" s="35" customFormat="1">
      <c r="B61" s="45" t="s">
        <v>132</v>
      </c>
      <c r="C61" s="35">
        <v>0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157665</v>
      </c>
      <c r="L61" s="35">
        <v>161253</v>
      </c>
      <c r="M61" s="35">
        <v>166802</v>
      </c>
      <c r="N61" s="35">
        <v>173139</v>
      </c>
      <c r="O61" s="35">
        <v>178358</v>
      </c>
      <c r="P61" s="35">
        <v>197196</v>
      </c>
      <c r="Q61" s="35">
        <v>199815</v>
      </c>
      <c r="R61" s="35">
        <v>204756</v>
      </c>
      <c r="S61" s="35">
        <v>209086</v>
      </c>
      <c r="T61" s="35">
        <v>213646</v>
      </c>
      <c r="U61" s="35">
        <v>214684</v>
      </c>
      <c r="V61" s="35">
        <v>218713</v>
      </c>
      <c r="W61" s="35">
        <v>223303</v>
      </c>
      <c r="X61" s="35">
        <v>230930</v>
      </c>
      <c r="Y61" s="35">
        <v>231947</v>
      </c>
      <c r="AA61" s="72"/>
      <c r="AB61" s="18"/>
      <c r="AC61" s="1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</row>
    <row r="62" spans="2:57" s="34" customFormat="1">
      <c r="B62" s="45" t="s">
        <v>214</v>
      </c>
      <c r="C62" s="35">
        <v>24639</v>
      </c>
      <c r="D62" s="35">
        <v>3329</v>
      </c>
      <c r="E62" s="35">
        <v>0</v>
      </c>
      <c r="F62" s="35"/>
      <c r="G62" s="35">
        <v>8642</v>
      </c>
      <c r="H62" s="35">
        <v>0</v>
      </c>
      <c r="I62" s="35"/>
      <c r="J62" s="35">
        <v>5129</v>
      </c>
      <c r="K62" s="35">
        <v>21198</v>
      </c>
      <c r="L62" s="35">
        <v>535</v>
      </c>
      <c r="M62" s="35"/>
      <c r="N62" s="35"/>
      <c r="O62" s="35"/>
      <c r="P62" s="35"/>
      <c r="Q62" s="35"/>
      <c r="R62" s="35"/>
      <c r="S62" s="35"/>
      <c r="T62" s="35"/>
      <c r="U62" s="35"/>
      <c r="AA62" s="73"/>
      <c r="AB62" s="33"/>
      <c r="AC62" s="33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</row>
    <row r="63" spans="2:57" s="35" customFormat="1">
      <c r="B63" s="56" t="s">
        <v>133</v>
      </c>
      <c r="C63" s="34">
        <f>+SUM(C57:C62)</f>
        <v>306323</v>
      </c>
      <c r="D63" s="34">
        <f>+SUM(D57:D62)</f>
        <v>267785</v>
      </c>
      <c r="E63" s="34">
        <f t="shared" ref="E63:W63" si="134">+SUM(E57:E62)</f>
        <v>323402</v>
      </c>
      <c r="F63" s="34">
        <f t="shared" si="134"/>
        <v>323893</v>
      </c>
      <c r="G63" s="34">
        <f t="shared" si="134"/>
        <v>367320</v>
      </c>
      <c r="H63" s="34">
        <f t="shared" si="134"/>
        <v>355161</v>
      </c>
      <c r="I63" s="34">
        <f t="shared" si="134"/>
        <v>402786</v>
      </c>
      <c r="J63" s="34">
        <f t="shared" si="134"/>
        <v>449990</v>
      </c>
      <c r="K63" s="34">
        <f t="shared" si="134"/>
        <v>581667</v>
      </c>
      <c r="L63" s="34">
        <f t="shared" si="134"/>
        <v>548268</v>
      </c>
      <c r="M63" s="34">
        <f t="shared" si="134"/>
        <v>634019</v>
      </c>
      <c r="N63" s="34">
        <f t="shared" si="134"/>
        <v>666593</v>
      </c>
      <c r="O63" s="34">
        <f t="shared" si="134"/>
        <v>665795</v>
      </c>
      <c r="P63" s="34">
        <f t="shared" si="134"/>
        <v>723178</v>
      </c>
      <c r="Q63" s="34">
        <f t="shared" si="134"/>
        <v>801717</v>
      </c>
      <c r="R63" s="34">
        <f t="shared" si="134"/>
        <v>822199</v>
      </c>
      <c r="S63" s="34">
        <f t="shared" si="134"/>
        <v>833994</v>
      </c>
      <c r="T63" s="34">
        <f t="shared" si="134"/>
        <v>835486</v>
      </c>
      <c r="U63" s="34">
        <f t="shared" si="134"/>
        <v>850964</v>
      </c>
      <c r="V63" s="34">
        <f t="shared" si="134"/>
        <v>873682</v>
      </c>
      <c r="W63" s="34">
        <f t="shared" si="134"/>
        <v>833738</v>
      </c>
      <c r="X63" s="34">
        <f t="shared" ref="X63:Y63" si="135">+SUM(X57:X62)</f>
        <v>831623</v>
      </c>
      <c r="Y63" s="34">
        <f t="shared" si="135"/>
        <v>817857</v>
      </c>
      <c r="Z63" s="34"/>
      <c r="AA63" s="73"/>
      <c r="AB63" s="18"/>
      <c r="AC63" s="1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</row>
    <row r="64" spans="2:57" s="35" customFormat="1">
      <c r="B64" s="45" t="s">
        <v>212</v>
      </c>
      <c r="C64" s="35">
        <v>297843</v>
      </c>
      <c r="D64" s="35">
        <v>301825</v>
      </c>
      <c r="E64" s="35">
        <v>309446</v>
      </c>
      <c r="F64" s="35">
        <v>316498</v>
      </c>
      <c r="G64" s="35">
        <v>321900</v>
      </c>
      <c r="H64" s="35">
        <v>327152</v>
      </c>
      <c r="I64" s="35">
        <v>327804</v>
      </c>
      <c r="J64" s="35">
        <v>330985</v>
      </c>
      <c r="K64" s="35">
        <v>0</v>
      </c>
      <c r="L64" s="35">
        <v>0</v>
      </c>
      <c r="M64" s="35">
        <v>0</v>
      </c>
      <c r="AA64" s="72"/>
      <c r="AB64" s="18"/>
      <c r="AC64" s="1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</row>
    <row r="65" spans="2:57" s="35" customFormat="1">
      <c r="B65" s="45" t="s">
        <v>134</v>
      </c>
      <c r="C65" s="35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2513901</v>
      </c>
      <c r="L65" s="35">
        <v>2534769</v>
      </c>
      <c r="M65" s="35">
        <v>2642737</v>
      </c>
      <c r="N65" s="35">
        <v>2678374</v>
      </c>
      <c r="O65" s="35">
        <v>2764778</v>
      </c>
      <c r="P65" s="35">
        <v>2809178</v>
      </c>
      <c r="Q65" s="35">
        <v>2891140</v>
      </c>
      <c r="R65" s="35">
        <v>2952296</v>
      </c>
      <c r="S65" s="35">
        <v>3040176</v>
      </c>
      <c r="T65" s="35">
        <v>3134555</v>
      </c>
      <c r="U65" s="35">
        <v>3274875</v>
      </c>
      <c r="V65" s="35">
        <v>3301601</v>
      </c>
      <c r="W65" s="35">
        <v>3331319</v>
      </c>
      <c r="X65" s="35">
        <v>3393423</v>
      </c>
      <c r="Y65" s="35">
        <v>3497221</v>
      </c>
      <c r="AA65" s="72"/>
      <c r="AB65" s="18"/>
      <c r="AC65" s="1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</row>
    <row r="66" spans="2:57" s="35" customFormat="1">
      <c r="B66" s="45" t="s">
        <v>135</v>
      </c>
      <c r="C66" s="35">
        <v>15741</v>
      </c>
      <c r="D66" s="35">
        <v>12866</v>
      </c>
      <c r="E66" s="35">
        <v>7577</v>
      </c>
      <c r="F66" s="35">
        <v>814</v>
      </c>
      <c r="G66" s="35">
        <v>6549</v>
      </c>
      <c r="H66" s="35">
        <v>17845</v>
      </c>
      <c r="I66" s="35">
        <v>27322</v>
      </c>
      <c r="J66" s="35">
        <v>11566</v>
      </c>
      <c r="K66" s="35">
        <v>12528</v>
      </c>
      <c r="L66" s="35">
        <v>4407</v>
      </c>
      <c r="M66" s="35">
        <v>0</v>
      </c>
      <c r="N66" s="35">
        <v>37814</v>
      </c>
      <c r="O66" s="35">
        <v>64851</v>
      </c>
      <c r="P66" s="35">
        <v>96502</v>
      </c>
      <c r="Q66" s="35">
        <v>95221</v>
      </c>
      <c r="R66" s="35">
        <v>149422</v>
      </c>
      <c r="S66" s="35">
        <v>135929</v>
      </c>
      <c r="T66" s="35">
        <v>133510</v>
      </c>
      <c r="U66" s="35">
        <v>148395</v>
      </c>
      <c r="V66" s="35">
        <v>141765</v>
      </c>
      <c r="W66" s="35">
        <v>127729</v>
      </c>
      <c r="X66" s="35">
        <v>126239</v>
      </c>
      <c r="Y66" s="35">
        <v>133255</v>
      </c>
      <c r="AA66" s="72"/>
      <c r="AB66" s="18"/>
      <c r="AC66" s="1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</row>
    <row r="67" spans="2:57" s="35" customFormat="1">
      <c r="B67" s="45" t="s">
        <v>136</v>
      </c>
      <c r="C67" s="35">
        <v>34633</v>
      </c>
      <c r="D67" s="35">
        <v>35879</v>
      </c>
      <c r="E67" s="35">
        <v>36826</v>
      </c>
      <c r="F67" s="35">
        <v>40042</v>
      </c>
      <c r="G67" s="35">
        <v>37630</v>
      </c>
      <c r="H67" s="35">
        <v>36457</v>
      </c>
      <c r="I67" s="35">
        <v>37123</v>
      </c>
      <c r="J67" s="35">
        <v>31638</v>
      </c>
      <c r="K67" s="35">
        <v>33587</v>
      </c>
      <c r="L67" s="35">
        <v>33814</v>
      </c>
      <c r="M67" s="35">
        <v>38734</v>
      </c>
      <c r="N67" s="35">
        <v>38797</v>
      </c>
      <c r="O67" s="35">
        <v>39044</v>
      </c>
      <c r="P67" s="35">
        <v>36775</v>
      </c>
      <c r="Q67" s="35">
        <v>37976</v>
      </c>
      <c r="R67" s="35">
        <v>38844</v>
      </c>
      <c r="S67" s="35">
        <v>41419</v>
      </c>
      <c r="T67" s="35">
        <v>42745</v>
      </c>
      <c r="U67" s="35">
        <v>42425</v>
      </c>
      <c r="V67" s="35">
        <v>38536</v>
      </c>
      <c r="W67" s="35">
        <v>40511</v>
      </c>
      <c r="X67" s="35">
        <v>39852</v>
      </c>
      <c r="Y67" s="35">
        <v>41723</v>
      </c>
      <c r="AA67" s="72"/>
      <c r="AB67" s="18"/>
      <c r="AC67" s="1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</row>
    <row r="68" spans="2:57" s="35" customFormat="1">
      <c r="B68" s="45" t="s">
        <v>137</v>
      </c>
      <c r="C68" s="34">
        <f t="shared" ref="C68:D68" si="136">+SUM(C63:C67)</f>
        <v>654540</v>
      </c>
      <c r="D68" s="34">
        <f t="shared" si="136"/>
        <v>618355</v>
      </c>
      <c r="E68" s="34">
        <f t="shared" ref="E68:F68" si="137">+SUM(E63:E67)</f>
        <v>677251</v>
      </c>
      <c r="F68" s="34">
        <f t="shared" si="137"/>
        <v>681247</v>
      </c>
      <c r="G68" s="34">
        <f t="shared" ref="G68:H68" si="138">+SUM(G63:G67)</f>
        <v>733399</v>
      </c>
      <c r="H68" s="34">
        <f t="shared" si="138"/>
        <v>736615</v>
      </c>
      <c r="I68" s="34">
        <f t="shared" ref="I68:K68" si="139">+SUM(I63:I67)</f>
        <v>795035</v>
      </c>
      <c r="J68" s="34">
        <f t="shared" si="139"/>
        <v>824179</v>
      </c>
      <c r="K68" s="34">
        <f t="shared" si="139"/>
        <v>3141683</v>
      </c>
      <c r="L68" s="34">
        <f t="shared" ref="L68:M68" si="140">+SUM(L63:L67)</f>
        <v>3121258</v>
      </c>
      <c r="M68" s="34">
        <f t="shared" si="140"/>
        <v>3315490</v>
      </c>
      <c r="N68" s="34">
        <f t="shared" ref="N68:U68" si="141">+SUM(N63:N67)</f>
        <v>3421578</v>
      </c>
      <c r="O68" s="34">
        <f t="shared" si="141"/>
        <v>3534468</v>
      </c>
      <c r="P68" s="34">
        <f t="shared" si="141"/>
        <v>3665633</v>
      </c>
      <c r="Q68" s="34">
        <f t="shared" si="141"/>
        <v>3826054</v>
      </c>
      <c r="R68" s="34">
        <f t="shared" si="141"/>
        <v>3962761</v>
      </c>
      <c r="S68" s="34">
        <f t="shared" si="141"/>
        <v>4051518</v>
      </c>
      <c r="T68" s="34">
        <f t="shared" si="141"/>
        <v>4146296</v>
      </c>
      <c r="U68" s="34">
        <f t="shared" si="141"/>
        <v>4316659</v>
      </c>
      <c r="V68" s="34">
        <f t="shared" ref="V68:W68" si="142">+SUM(V63:V67)</f>
        <v>4355584</v>
      </c>
      <c r="W68" s="34">
        <f t="shared" si="142"/>
        <v>4333297</v>
      </c>
      <c r="X68" s="34">
        <f t="shared" ref="X68:Y68" si="143">+SUM(X63:X67)</f>
        <v>4391137</v>
      </c>
      <c r="Y68" s="34">
        <f t="shared" si="143"/>
        <v>4490056</v>
      </c>
      <c r="Z68" s="34"/>
      <c r="AA68" s="73"/>
      <c r="AB68" s="18"/>
      <c r="AC68" s="1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</row>
    <row r="69" spans="2:57" s="35" customFormat="1">
      <c r="B69" s="45" t="s">
        <v>138</v>
      </c>
      <c r="C69" s="35">
        <v>1407722</v>
      </c>
      <c r="D69" s="35">
        <v>1450196</v>
      </c>
      <c r="E69" s="35">
        <v>1387126</v>
      </c>
      <c r="F69" s="35">
        <v>1364445</v>
      </c>
      <c r="G69" s="35">
        <v>1364045</v>
      </c>
      <c r="H69" s="35">
        <v>1392007</v>
      </c>
      <c r="I69" s="35">
        <v>1435837</v>
      </c>
      <c r="J69" s="35">
        <v>1441339</v>
      </c>
      <c r="K69" s="35">
        <v>1483799</v>
      </c>
      <c r="L69" s="35">
        <v>1538049</v>
      </c>
      <c r="M69" s="35">
        <v>1622447</v>
      </c>
      <c r="N69" s="35">
        <v>1683026</v>
      </c>
      <c r="O69" s="35">
        <v>1672020</v>
      </c>
      <c r="P69" s="35">
        <v>1704496</v>
      </c>
      <c r="Q69" s="35">
        <v>1805586</v>
      </c>
      <c r="R69" s="35">
        <v>2020135</v>
      </c>
      <c r="S69" s="35">
        <v>2097531</v>
      </c>
      <c r="T69" s="35">
        <v>2174158</v>
      </c>
      <c r="U69" s="35">
        <v>2310908</v>
      </c>
      <c r="V69" s="35">
        <v>2297374</v>
      </c>
      <c r="W69" s="35">
        <v>2133960</v>
      </c>
      <c r="X69" s="35">
        <v>2154199</v>
      </c>
      <c r="Y69" s="35">
        <v>2327381</v>
      </c>
      <c r="AA69" s="72"/>
      <c r="AB69" s="18"/>
      <c r="AC69" s="1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</row>
    <row r="70" spans="2:57" s="34" customFormat="1">
      <c r="B70" s="56" t="s">
        <v>211</v>
      </c>
      <c r="C70" s="34">
        <f t="shared" ref="C70:I70" si="144">+C68+C69</f>
        <v>2062262</v>
      </c>
      <c r="D70" s="34">
        <f t="shared" si="144"/>
        <v>2068551</v>
      </c>
      <c r="E70" s="34">
        <f t="shared" si="144"/>
        <v>2064377</v>
      </c>
      <c r="F70" s="34">
        <f t="shared" si="144"/>
        <v>2045692</v>
      </c>
      <c r="G70" s="34">
        <f t="shared" si="144"/>
        <v>2097444</v>
      </c>
      <c r="H70" s="34">
        <f t="shared" si="144"/>
        <v>2128622</v>
      </c>
      <c r="I70" s="34">
        <f t="shared" si="144"/>
        <v>2230872</v>
      </c>
      <c r="J70" s="34">
        <f t="shared" ref="J70:K70" si="145">+J68+J69</f>
        <v>2265518</v>
      </c>
      <c r="K70" s="34">
        <f t="shared" si="145"/>
        <v>4625482</v>
      </c>
      <c r="L70" s="34">
        <f t="shared" ref="L70:M70" si="146">+L68+L69</f>
        <v>4659307</v>
      </c>
      <c r="M70" s="34">
        <f t="shared" si="146"/>
        <v>4937937</v>
      </c>
      <c r="N70" s="34">
        <f t="shared" ref="N70:U70" si="147">+N68+N69</f>
        <v>5104604</v>
      </c>
      <c r="O70" s="34">
        <f t="shared" si="147"/>
        <v>5206488</v>
      </c>
      <c r="P70" s="34">
        <f t="shared" si="147"/>
        <v>5370129</v>
      </c>
      <c r="Q70" s="34">
        <f t="shared" si="147"/>
        <v>5631640</v>
      </c>
      <c r="R70" s="34">
        <f t="shared" si="147"/>
        <v>5982896</v>
      </c>
      <c r="S70" s="34">
        <f t="shared" si="147"/>
        <v>6149049</v>
      </c>
      <c r="T70" s="34">
        <f t="shared" si="147"/>
        <v>6320454</v>
      </c>
      <c r="U70" s="34">
        <f t="shared" si="147"/>
        <v>6627567</v>
      </c>
      <c r="V70" s="34">
        <f t="shared" ref="V70:W70" si="148">+V68+V69</f>
        <v>6652958</v>
      </c>
      <c r="W70" s="34">
        <f t="shared" si="148"/>
        <v>6467257</v>
      </c>
      <c r="X70" s="34">
        <f t="shared" ref="X70:Y70" si="149">+X68+X69</f>
        <v>6545336</v>
      </c>
      <c r="Y70" s="34">
        <f t="shared" si="149"/>
        <v>6817437</v>
      </c>
      <c r="AA70" s="73"/>
      <c r="AB70" s="33"/>
      <c r="AC70" s="33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</row>
    <row r="71" spans="2:57">
      <c r="K71" s="35"/>
      <c r="L71" s="35"/>
      <c r="M71" s="35"/>
    </row>
    <row r="72" spans="2:57" s="42" customFormat="1">
      <c r="B72" s="43" t="s">
        <v>140</v>
      </c>
      <c r="F72" s="42">
        <f t="shared" ref="F72:H72" si="150">SUM(C27:F27)/F69</f>
        <v>0.27500778704894663</v>
      </c>
      <c r="G72" s="42">
        <f t="shared" si="150"/>
        <v>0.28485790424802698</v>
      </c>
      <c r="H72" s="42">
        <f t="shared" si="150"/>
        <v>0.26487869673069175</v>
      </c>
      <c r="I72" s="42">
        <f>SUM(F27:I27)/I69</f>
        <v>0.26974301400507161</v>
      </c>
      <c r="J72" s="42">
        <f>SUM(G27:J27)/J69</f>
        <v>0.1224923491281371</v>
      </c>
      <c r="K72" s="42">
        <f t="shared" ref="K72:S72" si="151">SUM(H27:K27)/K69</f>
        <v>0.13831994764789571</v>
      </c>
      <c r="L72" s="42">
        <f t="shared" si="151"/>
        <v>0.16214242849220017</v>
      </c>
      <c r="M72" s="42">
        <f t="shared" si="151"/>
        <v>0.19092210716282257</v>
      </c>
      <c r="N72" s="42">
        <f t="shared" si="151"/>
        <v>0.20832001406989553</v>
      </c>
      <c r="O72" s="42">
        <f t="shared" si="151"/>
        <v>0.20266743220774872</v>
      </c>
      <c r="P72" s="42">
        <f t="shared" si="151"/>
        <v>0.15019747772948719</v>
      </c>
      <c r="Q72" s="42">
        <f t="shared" si="151"/>
        <v>0.13163205740407824</v>
      </c>
      <c r="R72" s="42">
        <f t="shared" si="151"/>
        <v>0.17596150752301207</v>
      </c>
      <c r="S72" s="42">
        <f t="shared" si="151"/>
        <v>0.19364624408411604</v>
      </c>
      <c r="T72" s="42">
        <f t="shared" ref="T72" si="152">SUM(Q27:T27)/T69</f>
        <v>0.26951951054155215</v>
      </c>
      <c r="U72" s="42">
        <f t="shared" ref="U72" si="153">SUM(R27:U27)/U69</f>
        <v>0.3073112386992472</v>
      </c>
      <c r="V72" s="42">
        <f t="shared" ref="V72:Y72" si="154">SUM(S27:V27)/V69</f>
        <v>0.28423060415935758</v>
      </c>
      <c r="W72" s="42">
        <f t="shared" si="154"/>
        <v>0.32061378844964294</v>
      </c>
      <c r="X72" s="42">
        <f t="shared" si="154"/>
        <v>0.35100981849866236</v>
      </c>
      <c r="Y72" s="42">
        <f t="shared" si="154"/>
        <v>0.34753613611179263</v>
      </c>
      <c r="AA72" s="77"/>
      <c r="AB72" s="29"/>
      <c r="AC72" s="29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</row>
    <row r="73" spans="2:57" s="42" customFormat="1">
      <c r="B73" s="43"/>
      <c r="AA73" s="77"/>
      <c r="AB73" s="29"/>
      <c r="AC73" s="29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</row>
    <row r="74" spans="2:57" s="42" customFormat="1" hidden="1" outlineLevel="1">
      <c r="B74" s="44" t="s">
        <v>216</v>
      </c>
      <c r="AA74" s="77"/>
      <c r="AB74" s="29"/>
      <c r="AC74" s="29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</row>
    <row r="75" spans="2:57" s="42" customFormat="1" hidden="1" outlineLevel="1">
      <c r="B75" s="19" t="str">
        <f>+B57</f>
        <v>A/P</v>
      </c>
      <c r="C75" s="23"/>
      <c r="D75" s="23"/>
      <c r="E75" s="23"/>
      <c r="L75" s="42">
        <f t="shared" ref="L75:U79" si="155">+L57/K57-1</f>
        <v>-6.785357862428687E-2</v>
      </c>
      <c r="M75" s="42">
        <f t="shared" si="155"/>
        <v>0.19671336370155657</v>
      </c>
      <c r="N75" s="42">
        <f t="shared" si="155"/>
        <v>-2.2509558333262958E-2</v>
      </c>
      <c r="O75" s="42">
        <f t="shared" si="155"/>
        <v>0.12612247012502587</v>
      </c>
      <c r="P75" s="42">
        <f t="shared" si="155"/>
        <v>0.23078751447214074</v>
      </c>
      <c r="Q75" s="42">
        <f>+Q57/P57-1</f>
        <v>-1.9928608361418632E-2</v>
      </c>
      <c r="R75" s="42">
        <f t="shared" si="155"/>
        <v>-0.22459383183748194</v>
      </c>
      <c r="S75" s="42">
        <f t="shared" si="155"/>
        <v>0.20843511763259293</v>
      </c>
      <c r="T75" s="42">
        <f t="shared" si="155"/>
        <v>-4.8610404498802717E-2</v>
      </c>
      <c r="U75" s="42">
        <f t="shared" si="155"/>
        <v>0.2243192561906866</v>
      </c>
      <c r="V75" s="42">
        <f>+V57/U57-1</f>
        <v>-4.9798499813641484E-2</v>
      </c>
      <c r="W75" s="42">
        <f>+W57/V57-1</f>
        <v>3.520449126935965E-2</v>
      </c>
      <c r="AA75" s="77"/>
      <c r="AB75" s="29"/>
      <c r="AC75" s="29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</row>
    <row r="76" spans="2:57" s="42" customFormat="1" hidden="1" outlineLevel="1">
      <c r="B76" s="19" t="str">
        <f t="shared" ref="B76:B79" si="156">+B58</f>
        <v xml:space="preserve">Accrued payroll &amp; benefits </v>
      </c>
      <c r="C76" s="23"/>
      <c r="D76" s="23"/>
      <c r="E76" s="23"/>
      <c r="L76" s="42">
        <f t="shared" si="155"/>
        <v>-0.17452731662892995</v>
      </c>
      <c r="M76" s="42">
        <f t="shared" si="155"/>
        <v>0.4753643724696357</v>
      </c>
      <c r="N76" s="42">
        <f t="shared" si="155"/>
        <v>-0.13148470836820658</v>
      </c>
      <c r="O76" s="42">
        <f t="shared" si="155"/>
        <v>4.4810426540284443E-2</v>
      </c>
      <c r="P76" s="42">
        <f t="shared" si="155"/>
        <v>-1.4870759716646642E-2</v>
      </c>
      <c r="Q76" s="42">
        <f t="shared" si="155"/>
        <v>0.49553359016468934</v>
      </c>
      <c r="R76" s="42">
        <f t="shared" si="155"/>
        <v>4.1959800284281812E-2</v>
      </c>
      <c r="S76" s="42">
        <f t="shared" si="155"/>
        <v>9.1665271307139973E-2</v>
      </c>
      <c r="T76" s="42">
        <f t="shared" si="155"/>
        <v>1.5505239841744567E-2</v>
      </c>
      <c r="U76" s="42">
        <f t="shared" si="155"/>
        <v>-0.15189423555334425</v>
      </c>
      <c r="V76" s="42">
        <f t="shared" ref="V76:W79" si="157">+V58/U58-1</f>
        <v>-0.14932010559839093</v>
      </c>
      <c r="W76" s="42">
        <f t="shared" si="157"/>
        <v>6.1876173763123044E-2</v>
      </c>
      <c r="AA76" s="77"/>
      <c r="AB76" s="29"/>
      <c r="AC76" s="29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</row>
    <row r="77" spans="2:57" s="42" customFormat="1" hidden="1" outlineLevel="1">
      <c r="B77" s="19" t="str">
        <f t="shared" si="156"/>
        <v xml:space="preserve">Accrued liabilities </v>
      </c>
      <c r="C77" s="23"/>
      <c r="D77" s="23"/>
      <c r="E77" s="23"/>
      <c r="L77" s="42">
        <f t="shared" si="155"/>
        <v>5.8975236410072407E-2</v>
      </c>
      <c r="M77" s="42">
        <f t="shared" si="155"/>
        <v>0.11254817582105781</v>
      </c>
      <c r="N77" s="42">
        <f t="shared" si="155"/>
        <v>0.10402453970345493</v>
      </c>
      <c r="O77" s="42">
        <f t="shared" si="155"/>
        <v>-5.5190159327014987E-2</v>
      </c>
      <c r="P77" s="42">
        <f t="shared" si="155"/>
        <v>-6.8798304831502177E-3</v>
      </c>
      <c r="Q77" s="42">
        <f t="shared" si="155"/>
        <v>8.209725840975457E-2</v>
      </c>
      <c r="R77" s="42">
        <f t="shared" si="155"/>
        <v>4.0541223757220246E-2</v>
      </c>
      <c r="S77" s="42">
        <f t="shared" si="155"/>
        <v>-0.1155306136083426</v>
      </c>
      <c r="T77" s="42">
        <f t="shared" si="155"/>
        <v>-1.4818680601811463E-2</v>
      </c>
      <c r="U77" s="42">
        <f t="shared" si="155"/>
        <v>6.8056513950748965E-2</v>
      </c>
      <c r="V77" s="42">
        <f t="shared" si="157"/>
        <v>0.12933898050680992</v>
      </c>
      <c r="W77" s="42">
        <f t="shared" si="157"/>
        <v>-0.21032406444305762</v>
      </c>
      <c r="AA77" s="77"/>
      <c r="AB77" s="29"/>
      <c r="AC77" s="29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</row>
    <row r="78" spans="2:57" s="42" customFormat="1" hidden="1" outlineLevel="1">
      <c r="B78" s="19" t="str">
        <f t="shared" si="156"/>
        <v xml:space="preserve">Unearned revenue </v>
      </c>
      <c r="C78" s="23"/>
      <c r="D78" s="23"/>
      <c r="E78" s="23"/>
      <c r="L78" s="42">
        <f t="shared" si="155"/>
        <v>8.2434136771300404E-2</v>
      </c>
      <c r="M78" s="42">
        <f t="shared" si="155"/>
        <v>2.4274201378782223E-4</v>
      </c>
      <c r="N78" s="42">
        <f t="shared" si="155"/>
        <v>0.54014787490494909</v>
      </c>
      <c r="O78" s="42">
        <f t="shared" si="155"/>
        <v>-0.18589211618257262</v>
      </c>
      <c r="P78" s="42">
        <f t="shared" si="155"/>
        <v>0.14742125704847808</v>
      </c>
      <c r="Q78" s="42">
        <f t="shared" si="155"/>
        <v>2.8597454005667711E-2</v>
      </c>
      <c r="R78" s="42">
        <f t="shared" si="155"/>
        <v>0.39667858353285879</v>
      </c>
      <c r="S78" s="42">
        <f t="shared" si="155"/>
        <v>-0.13740117416829745</v>
      </c>
      <c r="T78" s="42">
        <f t="shared" si="155"/>
        <v>2.558145866039907E-2</v>
      </c>
      <c r="U78" s="42">
        <f t="shared" si="155"/>
        <v>6.5539392652367745E-2</v>
      </c>
      <c r="V78" s="42">
        <f t="shared" si="157"/>
        <v>0.29834832216437057</v>
      </c>
      <c r="W78" s="42">
        <f t="shared" si="157"/>
        <v>-0.1530530664978158</v>
      </c>
      <c r="AA78" s="77"/>
      <c r="AB78" s="29"/>
      <c r="AC78" s="29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</row>
    <row r="79" spans="2:57" s="42" customFormat="1" hidden="1" outlineLevel="1">
      <c r="B79" s="19" t="str">
        <f t="shared" si="156"/>
        <v>Current op lease liab</v>
      </c>
      <c r="C79" s="23"/>
      <c r="D79" s="23"/>
      <c r="E79" s="23"/>
      <c r="L79" s="42">
        <f t="shared" si="155"/>
        <v>2.2757111597374147E-2</v>
      </c>
      <c r="M79" s="42">
        <f t="shared" si="155"/>
        <v>3.441176288193093E-2</v>
      </c>
      <c r="N79" s="42">
        <f t="shared" si="155"/>
        <v>3.7991151185237548E-2</v>
      </c>
      <c r="O79" s="42">
        <f t="shared" si="155"/>
        <v>3.0143410785553826E-2</v>
      </c>
      <c r="P79" s="42">
        <f t="shared" si="155"/>
        <v>0.10561903587167376</v>
      </c>
      <c r="Q79" s="42">
        <f t="shared" si="155"/>
        <v>1.3281202458467645E-2</v>
      </c>
      <c r="R79" s="42">
        <f t="shared" si="155"/>
        <v>2.4727873282786472E-2</v>
      </c>
      <c r="S79" s="42">
        <f t="shared" si="155"/>
        <v>2.1147121451874362E-2</v>
      </c>
      <c r="T79" s="42">
        <f t="shared" si="155"/>
        <v>2.1809207694441612E-2</v>
      </c>
      <c r="U79" s="42">
        <f t="shared" si="155"/>
        <v>4.8585042547018009E-3</v>
      </c>
      <c r="V79" s="42">
        <f t="shared" si="157"/>
        <v>1.8767118183003806E-2</v>
      </c>
      <c r="W79" s="42">
        <f t="shared" si="157"/>
        <v>2.0986406843671812E-2</v>
      </c>
      <c r="AA79" s="77"/>
      <c r="AB79" s="29"/>
      <c r="AC79" s="29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</row>
    <row r="80" spans="2:57" s="42" customFormat="1" hidden="1" outlineLevel="1">
      <c r="B80" s="19" t="str">
        <f>+B65</f>
        <v>Long Term Op Lease</v>
      </c>
      <c r="C80" s="23"/>
      <c r="D80" s="23"/>
      <c r="E80" s="23"/>
      <c r="L80" s="42">
        <f t="shared" ref="L80:U80" si="158">+L63/K63-1</f>
        <v>-5.7419451335557925E-2</v>
      </c>
      <c r="M80" s="42">
        <f t="shared" si="158"/>
        <v>0.15640343773483045</v>
      </c>
      <c r="N80" s="42">
        <f t="shared" si="158"/>
        <v>5.13770092063488E-2</v>
      </c>
      <c r="O80" s="42">
        <f t="shared" si="158"/>
        <v>-1.1971322831172415E-3</v>
      </c>
      <c r="P80" s="42">
        <f t="shared" si="158"/>
        <v>8.6187189750598803E-2</v>
      </c>
      <c r="Q80" s="42">
        <f t="shared" si="158"/>
        <v>0.10860258470252138</v>
      </c>
      <c r="R80" s="42">
        <f t="shared" si="158"/>
        <v>2.5547668316874939E-2</v>
      </c>
      <c r="S80" s="42">
        <f t="shared" si="158"/>
        <v>1.4345675438671268E-2</v>
      </c>
      <c r="T80" s="42">
        <f t="shared" si="158"/>
        <v>1.788981695312053E-3</v>
      </c>
      <c r="U80" s="42">
        <f t="shared" si="158"/>
        <v>1.8525744297331226E-2</v>
      </c>
      <c r="V80" s="42">
        <f>+V63/U63-1</f>
        <v>2.6696781532473679E-2</v>
      </c>
      <c r="W80" s="42">
        <f>+W63/V63-1</f>
        <v>-4.5719151819540782E-2</v>
      </c>
      <c r="AA80" s="77"/>
      <c r="AB80" s="29"/>
      <c r="AC80" s="29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</row>
    <row r="81" spans="2:57" s="42" customFormat="1" hidden="1" outlineLevel="1">
      <c r="B81" s="19" t="str">
        <f>+B67</f>
        <v xml:space="preserve">Other liabilities </v>
      </c>
      <c r="C81" s="23"/>
      <c r="D81" s="23"/>
      <c r="E81" s="23"/>
      <c r="L81" s="42">
        <f t="shared" ref="L81:U81" si="159">+L65/K65-1</f>
        <v>8.3010428811636228E-3</v>
      </c>
      <c r="M81" s="42">
        <f t="shared" si="159"/>
        <v>4.259480844211061E-2</v>
      </c>
      <c r="N81" s="42">
        <f t="shared" si="159"/>
        <v>1.348488328577524E-2</v>
      </c>
      <c r="O81" s="42">
        <f t="shared" si="159"/>
        <v>3.2259871100899229E-2</v>
      </c>
      <c r="P81" s="42">
        <f t="shared" si="159"/>
        <v>1.605915556330384E-2</v>
      </c>
      <c r="Q81" s="42">
        <f t="shared" si="159"/>
        <v>2.9176506437114336E-2</v>
      </c>
      <c r="R81" s="42">
        <f t="shared" si="159"/>
        <v>2.1152901623580966E-2</v>
      </c>
      <c r="S81" s="42">
        <f t="shared" si="159"/>
        <v>2.9766662963334189E-2</v>
      </c>
      <c r="T81" s="42">
        <f t="shared" si="159"/>
        <v>3.1043926404260791E-2</v>
      </c>
      <c r="U81" s="42">
        <f t="shared" si="159"/>
        <v>4.4765524930971079E-2</v>
      </c>
      <c r="V81" s="42">
        <f>+V65/U65-1</f>
        <v>8.1609221726020031E-3</v>
      </c>
      <c r="W81" s="42">
        <f>+W65/V65-1</f>
        <v>9.0010876541410934E-3</v>
      </c>
      <c r="AA81" s="77"/>
      <c r="AB81" s="29"/>
      <c r="AC81" s="29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</row>
    <row r="82" spans="2:57" s="42" customFormat="1" hidden="1" outlineLevel="1">
      <c r="B82" s="19" t="str">
        <f>+B69</f>
        <v xml:space="preserve">Equity </v>
      </c>
      <c r="C82" s="23"/>
      <c r="D82" s="23"/>
      <c r="E82" s="23"/>
      <c r="L82" s="42">
        <f t="shared" ref="L82:W82" si="160">+L67/K67-1</f>
        <v>6.7585673028254245E-3</v>
      </c>
      <c r="M82" s="42">
        <f t="shared" si="160"/>
        <v>0.14550186313361335</v>
      </c>
      <c r="N82" s="42">
        <f t="shared" si="160"/>
        <v>1.626478029638001E-3</v>
      </c>
      <c r="O82" s="42">
        <f t="shared" si="160"/>
        <v>6.3664716344047356E-3</v>
      </c>
      <c r="P82" s="42">
        <f t="shared" si="160"/>
        <v>-5.8113922753816216E-2</v>
      </c>
      <c r="Q82" s="42">
        <f t="shared" si="160"/>
        <v>3.2658055744391623E-2</v>
      </c>
      <c r="R82" s="42">
        <f t="shared" si="160"/>
        <v>2.2856540973246187E-2</v>
      </c>
      <c r="S82" s="42">
        <f t="shared" si="160"/>
        <v>6.6290804242611578E-2</v>
      </c>
      <c r="T82" s="42">
        <f t="shared" si="160"/>
        <v>3.2014292957338375E-2</v>
      </c>
      <c r="U82" s="42">
        <f t="shared" si="160"/>
        <v>-7.4862557024213405E-3</v>
      </c>
      <c r="V82" s="42">
        <f t="shared" si="160"/>
        <v>-9.1667648791985856E-2</v>
      </c>
      <c r="W82" s="42">
        <f t="shared" si="160"/>
        <v>5.1250778492837767E-2</v>
      </c>
      <c r="AA82" s="77"/>
      <c r="AB82" s="29"/>
      <c r="AC82" s="29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</row>
    <row r="83" spans="2:57" s="42" customFormat="1" hidden="1" outlineLevel="1">
      <c r="B83" s="19"/>
      <c r="C83" s="23"/>
      <c r="D83" s="23"/>
      <c r="E83" s="23"/>
      <c r="AA83" s="77"/>
      <c r="AB83" s="29"/>
      <c r="AC83" s="29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</row>
    <row r="84" spans="2:57" s="42" customFormat="1" hidden="1" outlineLevel="1">
      <c r="B84" s="44" t="s">
        <v>217</v>
      </c>
      <c r="AA84" s="77"/>
      <c r="AB84" s="29"/>
      <c r="AC84" s="29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</row>
    <row r="85" spans="2:57" s="42" customFormat="1" hidden="1" outlineLevel="1">
      <c r="B85" s="19" t="str">
        <f>+B66</f>
        <v>Deferred income taxes</v>
      </c>
      <c r="O85" s="42">
        <f t="shared" ref="O85:W86" si="161">STDEV(L75:O75)</f>
        <v>0.12410066422103937</v>
      </c>
      <c r="P85" s="42">
        <f t="shared" si="161"/>
        <v>0.11232707822684207</v>
      </c>
      <c r="Q85" s="42">
        <f t="shared" si="161"/>
        <v>0.12295046819827428</v>
      </c>
      <c r="R85" s="42">
        <f t="shared" si="161"/>
        <v>0.1973588550528913</v>
      </c>
      <c r="S85" s="42">
        <f t="shared" si="161"/>
        <v>0.21453093999651524</v>
      </c>
      <c r="T85" s="42">
        <f t="shared" si="161"/>
        <v>0.17781477457944547</v>
      </c>
      <c r="U85" s="42">
        <f t="shared" si="161"/>
        <v>0.21618327571176449</v>
      </c>
      <c r="V85" s="42">
        <f t="shared" si="161"/>
        <v>0.15347145850187366</v>
      </c>
      <c r="W85" s="42">
        <f t="shared" si="161"/>
        <v>0.12898559188540487</v>
      </c>
      <c r="AA85" s="77"/>
      <c r="AB85" s="29"/>
      <c r="AC85" s="29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</row>
    <row r="86" spans="2:57" s="42" customFormat="1" hidden="1" outlineLevel="1">
      <c r="B86" s="19" t="str">
        <f>+B67</f>
        <v xml:space="preserve">Other liabilities </v>
      </c>
      <c r="O86" s="42">
        <f t="shared" si="161"/>
        <v>0.29679445765339985</v>
      </c>
      <c r="P86" s="42">
        <f t="shared" si="161"/>
        <v>0.26492351470193504</v>
      </c>
      <c r="Q86" s="42">
        <f t="shared" si="161"/>
        <v>0.27462953059622208</v>
      </c>
      <c r="R86" s="42">
        <f t="shared" si="161"/>
        <v>0.2373802919517124</v>
      </c>
      <c r="S86" s="42">
        <f t="shared" si="161"/>
        <v>0.23209223642893448</v>
      </c>
      <c r="T86" s="42">
        <f t="shared" si="161"/>
        <v>0.22513641179066099</v>
      </c>
      <c r="U86" s="42">
        <f t="shared" si="161"/>
        <v>0.10563065880929602</v>
      </c>
      <c r="V86" s="42">
        <f t="shared" si="161"/>
        <v>0.12192625526121278</v>
      </c>
      <c r="W86" s="42">
        <f t="shared" si="161"/>
        <v>0.11092359413700548</v>
      </c>
      <c r="AA86" s="77"/>
      <c r="AB86" s="29"/>
      <c r="AC86" s="29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</row>
    <row r="87" spans="2:57" s="42" customFormat="1" hidden="1" outlineLevel="1">
      <c r="B87" s="19" t="str">
        <f>+B69</f>
        <v xml:space="preserve">Equity </v>
      </c>
      <c r="O87" s="42">
        <f t="shared" ref="O87:W91" si="162">STDEV(L78:O78)</f>
        <v>0.30842801376349016</v>
      </c>
      <c r="P87" s="42">
        <f t="shared" si="162"/>
        <v>0.30825737664218072</v>
      </c>
      <c r="Q87" s="42">
        <f t="shared" si="162"/>
        <v>0.30472320429330313</v>
      </c>
      <c r="R87" s="42">
        <f t="shared" si="162"/>
        <v>0.24293761708698589</v>
      </c>
      <c r="S87" s="42">
        <f t="shared" si="162"/>
        <v>0.22465762438944539</v>
      </c>
      <c r="T87" s="42">
        <f t="shared" si="162"/>
        <v>0.22593619323754499</v>
      </c>
      <c r="U87" s="42">
        <f t="shared" si="162"/>
        <v>0.22397028749477221</v>
      </c>
      <c r="V87" s="42">
        <f t="shared" si="162"/>
        <v>0.17977398583468304</v>
      </c>
      <c r="W87" s="42">
        <f t="shared" si="162"/>
        <v>0.1856642503816143</v>
      </c>
      <c r="AA87" s="77"/>
      <c r="AB87" s="29"/>
      <c r="AC87" s="29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</row>
    <row r="88" spans="2:57" s="42" customFormat="1" hidden="1" outlineLevel="1">
      <c r="B88" s="19" t="str">
        <f>+B70</f>
        <v>TL+E</v>
      </c>
      <c r="O88" s="42">
        <f t="shared" si="162"/>
        <v>6.5516038370503687E-3</v>
      </c>
      <c r="P88" s="42">
        <f t="shared" si="162"/>
        <v>3.5862229870672585E-2</v>
      </c>
      <c r="Q88" s="42">
        <f t="shared" si="162"/>
        <v>4.0571828191773997E-2</v>
      </c>
      <c r="R88" s="42">
        <f t="shared" si="162"/>
        <v>4.2042551892534606E-2</v>
      </c>
      <c r="S88" s="42">
        <f t="shared" si="162"/>
        <v>4.3215430045700928E-2</v>
      </c>
      <c r="T88" s="42">
        <f t="shared" si="162"/>
        <v>4.8939127032102663E-3</v>
      </c>
      <c r="U88" s="42">
        <f t="shared" si="162"/>
        <v>8.987101746187923E-3</v>
      </c>
      <c r="V88" s="42">
        <f t="shared" si="162"/>
        <v>7.965822938511646E-3</v>
      </c>
      <c r="W88" s="42">
        <f t="shared" si="162"/>
        <v>7.9358977775194958E-3</v>
      </c>
      <c r="AA88" s="77"/>
      <c r="AB88" s="29"/>
      <c r="AC88" s="29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</row>
    <row r="89" spans="2:57" s="42" customFormat="1" hidden="1" outlineLevel="1">
      <c r="B89" s="19" t="str">
        <f>+B74</f>
        <v>QoQ Change</v>
      </c>
      <c r="O89" s="42">
        <f t="shared" si="162"/>
        <v>9.0990099090172721E-2</v>
      </c>
      <c r="P89" s="42">
        <f t="shared" si="162"/>
        <v>6.6087455063084971E-2</v>
      </c>
      <c r="Q89" s="42">
        <f t="shared" si="162"/>
        <v>4.7823462714459017E-2</v>
      </c>
      <c r="R89" s="42">
        <f t="shared" si="162"/>
        <v>5.1222555719250218E-2</v>
      </c>
      <c r="S89" s="42">
        <f t="shared" si="162"/>
        <v>4.5870082291762093E-2</v>
      </c>
      <c r="T89" s="42">
        <f t="shared" si="162"/>
        <v>4.8338442482296622E-2</v>
      </c>
      <c r="U89" s="42">
        <f t="shared" si="162"/>
        <v>9.9771823309706895E-3</v>
      </c>
      <c r="V89" s="42">
        <f t="shared" si="162"/>
        <v>1.038820212143949E-2</v>
      </c>
      <c r="W89" s="42">
        <f t="shared" si="162"/>
        <v>3.2398277211140282E-2</v>
      </c>
      <c r="AA89" s="77"/>
      <c r="AB89" s="29"/>
      <c r="AC89" s="29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</row>
    <row r="90" spans="2:57" s="42" customFormat="1" hidden="1" outlineLevel="1">
      <c r="B90" s="19" t="str">
        <f>+B76</f>
        <v xml:space="preserve">Accrued payroll &amp; benefits </v>
      </c>
      <c r="O90" s="42">
        <f t="shared" si="162"/>
        <v>1.6030332828902691E-2</v>
      </c>
      <c r="P90" s="42">
        <f t="shared" si="162"/>
        <v>1.3783836474006222E-2</v>
      </c>
      <c r="Q90" s="42">
        <f t="shared" si="162"/>
        <v>9.3514227877685725E-3</v>
      </c>
      <c r="R90" s="42">
        <f t="shared" si="162"/>
        <v>7.4034027628463077E-3</v>
      </c>
      <c r="S90" s="42">
        <f t="shared" si="162"/>
        <v>6.6133092154039104E-3</v>
      </c>
      <c r="T90" s="42">
        <f t="shared" si="162"/>
        <v>4.4895659941568064E-3</v>
      </c>
      <c r="U90" s="42">
        <f t="shared" si="162"/>
        <v>9.7658621544512523E-3</v>
      </c>
      <c r="V90" s="42">
        <f t="shared" si="162"/>
        <v>1.5125079584447351E-2</v>
      </c>
      <c r="W90" s="42">
        <f t="shared" si="162"/>
        <v>1.7836055907021569E-2</v>
      </c>
      <c r="AA90" s="77"/>
      <c r="AB90" s="29"/>
      <c r="AC90" s="29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</row>
    <row r="91" spans="2:57" s="42" customFormat="1" hidden="1" outlineLevel="1">
      <c r="B91" s="19" t="str">
        <f>+B78</f>
        <v xml:space="preserve">Unearned revenue </v>
      </c>
      <c r="O91" s="42">
        <f t="shared" si="162"/>
        <v>7.0331029995739439E-2</v>
      </c>
      <c r="P91" s="42">
        <f t="shared" si="162"/>
        <v>8.6249287994458412E-2</v>
      </c>
      <c r="Q91" s="42">
        <f t="shared" si="162"/>
        <v>3.8343689807407134E-2</v>
      </c>
      <c r="R91" s="42">
        <f t="shared" si="162"/>
        <v>4.0837818268055215E-2</v>
      </c>
      <c r="S91" s="42">
        <f t="shared" si="162"/>
        <v>5.2746303871153227E-2</v>
      </c>
      <c r="T91" s="42">
        <f t="shared" si="162"/>
        <v>1.9089536328670661E-2</v>
      </c>
      <c r="U91" s="42">
        <f t="shared" si="162"/>
        <v>3.037174139132745E-2</v>
      </c>
      <c r="V91" s="42">
        <f t="shared" si="162"/>
        <v>6.8015212567306485E-2</v>
      </c>
      <c r="W91" s="42">
        <f t="shared" si="162"/>
        <v>6.3370459351594438E-2</v>
      </c>
      <c r="AA91" s="77"/>
      <c r="AB91" s="29"/>
      <c r="AC91" s="29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</row>
    <row r="92" spans="2:57" s="42" customFormat="1" collapsed="1">
      <c r="B92" s="4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72"/>
      <c r="AB92" s="29"/>
      <c r="AC92" s="29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</row>
    <row r="93" spans="2:57" s="26" customFormat="1">
      <c r="B93" s="24" t="s">
        <v>171</v>
      </c>
      <c r="N93" s="34">
        <f>+N69</f>
        <v>1683026</v>
      </c>
      <c r="O93" s="34">
        <f>+N100</f>
        <v>1672020</v>
      </c>
      <c r="P93" s="34">
        <f t="shared" ref="P93:U93" si="163">+P69</f>
        <v>1704496</v>
      </c>
      <c r="Q93" s="34">
        <f t="shared" si="163"/>
        <v>1805586</v>
      </c>
      <c r="R93" s="34">
        <f t="shared" si="163"/>
        <v>2020135</v>
      </c>
      <c r="S93" s="34">
        <f t="shared" si="163"/>
        <v>2097531</v>
      </c>
      <c r="T93" s="34">
        <f t="shared" si="163"/>
        <v>2174158</v>
      </c>
      <c r="U93" s="34">
        <f t="shared" si="163"/>
        <v>2310908</v>
      </c>
      <c r="V93" s="34">
        <v>2020135</v>
      </c>
      <c r="W93" s="34">
        <f>+V100</f>
        <v>2297374</v>
      </c>
      <c r="X93" s="34"/>
      <c r="Y93" s="34"/>
      <c r="Z93" s="34"/>
      <c r="AA93" s="73"/>
      <c r="AB93" s="22"/>
      <c r="AC93" s="2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</row>
    <row r="94" spans="2:57">
      <c r="B94" s="19" t="s">
        <v>172</v>
      </c>
      <c r="N94" s="35">
        <v>-1051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178703</v>
      </c>
      <c r="W94" s="35">
        <v>24077</v>
      </c>
    </row>
    <row r="95" spans="2:57">
      <c r="B95" s="19" t="s">
        <v>144</v>
      </c>
      <c r="N95" s="35">
        <v>17708</v>
      </c>
      <c r="O95" s="35">
        <v>23676</v>
      </c>
      <c r="P95" s="35">
        <v>20128</v>
      </c>
      <c r="R95" s="35">
        <v>55960</v>
      </c>
      <c r="S95" s="35">
        <v>47670</v>
      </c>
      <c r="T95" s="35">
        <v>36693</v>
      </c>
      <c r="V95" s="35">
        <v>704</v>
      </c>
      <c r="W95" s="35">
        <v>0</v>
      </c>
    </row>
    <row r="96" spans="2:57">
      <c r="B96" s="19" t="s">
        <v>173</v>
      </c>
      <c r="N96" s="35">
        <v>-179</v>
      </c>
      <c r="O96" s="35">
        <v>-113</v>
      </c>
      <c r="P96" s="35">
        <v>42</v>
      </c>
      <c r="R96" s="35">
        <v>634</v>
      </c>
      <c r="S96" s="35">
        <v>25</v>
      </c>
      <c r="T96" s="35">
        <v>-81</v>
      </c>
      <c r="V96" s="35">
        <v>-554027</v>
      </c>
      <c r="W96" s="35">
        <v>-59</v>
      </c>
    </row>
    <row r="97" spans="2:57">
      <c r="B97" s="19" t="s">
        <v>174</v>
      </c>
      <c r="N97" s="35">
        <v>-102031</v>
      </c>
      <c r="O97" s="35">
        <v>-317</v>
      </c>
      <c r="P97" s="35">
        <v>-29</v>
      </c>
      <c r="R97" s="35">
        <v>-106036</v>
      </c>
      <c r="S97" s="35">
        <v>-159347</v>
      </c>
      <c r="T97" s="35">
        <v>-103340</v>
      </c>
      <c r="V97" s="35">
        <v>652984</v>
      </c>
      <c r="W97" s="35">
        <v>-345921</v>
      </c>
    </row>
    <row r="98" spans="2:57">
      <c r="B98" s="19" t="s">
        <v>32</v>
      </c>
      <c r="N98" s="35">
        <v>76388</v>
      </c>
      <c r="O98" s="35">
        <v>8175</v>
      </c>
      <c r="P98" s="35">
        <v>80244</v>
      </c>
      <c r="R98" s="35">
        <v>127101</v>
      </c>
      <c r="S98" s="35">
        <v>187974</v>
      </c>
      <c r="T98" s="35">
        <v>204434</v>
      </c>
      <c r="V98" s="35">
        <v>-1125</v>
      </c>
      <c r="W98" s="35">
        <v>158294</v>
      </c>
    </row>
    <row r="99" spans="2:57">
      <c r="B99" s="19" t="s">
        <v>175</v>
      </c>
      <c r="N99" s="35">
        <v>-1841</v>
      </c>
      <c r="O99" s="35">
        <v>1055</v>
      </c>
      <c r="P99" s="35">
        <v>705</v>
      </c>
      <c r="R99" s="35">
        <v>-263</v>
      </c>
      <c r="S99" s="35">
        <v>305</v>
      </c>
      <c r="T99" s="35">
        <v>-956</v>
      </c>
      <c r="V99" s="35">
        <v>0</v>
      </c>
      <c r="W99" s="35">
        <v>195</v>
      </c>
    </row>
    <row r="100" spans="2:57" s="26" customFormat="1">
      <c r="B100" s="24" t="s">
        <v>176</v>
      </c>
      <c r="N100" s="34">
        <f>+SUM(N93:N99)</f>
        <v>1672020</v>
      </c>
      <c r="O100" s="34">
        <f>+SUM(O93:O99)</f>
        <v>1704496</v>
      </c>
      <c r="P100" s="34">
        <f>+SUM(P93:P99)</f>
        <v>1805586</v>
      </c>
      <c r="Q100" s="34">
        <f t="shared" ref="Q100:U100" si="164">+SUM(Q93:Q99)</f>
        <v>1805586</v>
      </c>
      <c r="R100" s="34">
        <f t="shared" si="164"/>
        <v>2097531</v>
      </c>
      <c r="S100" s="34">
        <f t="shared" si="164"/>
        <v>2174158</v>
      </c>
      <c r="T100" s="34">
        <f t="shared" si="164"/>
        <v>2310908</v>
      </c>
      <c r="U100" s="34">
        <f t="shared" si="164"/>
        <v>2310908</v>
      </c>
      <c r="V100" s="34">
        <f>+SUM(V93:V99)</f>
        <v>2297374</v>
      </c>
      <c r="W100" s="34">
        <f>+SUM(W93:W99)</f>
        <v>2133960</v>
      </c>
      <c r="X100" s="34"/>
      <c r="Y100" s="34"/>
      <c r="Z100" s="34"/>
      <c r="AA100" s="73"/>
      <c r="AB100" s="22"/>
      <c r="AC100" s="2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</row>
    <row r="101" spans="2:57" s="42" customFormat="1">
      <c r="B101" s="4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72"/>
      <c r="AB101" s="29"/>
      <c r="AC101" s="29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</row>
    <row r="102" spans="2:57">
      <c r="B102" s="19" t="s">
        <v>32</v>
      </c>
      <c r="O102" s="35">
        <v>76388</v>
      </c>
      <c r="P102" s="35">
        <f>84563-O102</f>
        <v>8175</v>
      </c>
      <c r="Q102" s="35">
        <f>164807-P102-O102</f>
        <v>80244</v>
      </c>
      <c r="R102" s="35">
        <f>+AS102-SUM(O102:Q102)</f>
        <v>190959</v>
      </c>
      <c r="S102" s="35">
        <v>127101</v>
      </c>
      <c r="T102" s="35">
        <f>315075-S102</f>
        <v>187974</v>
      </c>
      <c r="U102" s="35">
        <f>519509-T102-S102</f>
        <v>204434</v>
      </c>
      <c r="V102" s="35">
        <f>+AT102-SUM(S102:U102)</f>
        <v>133475</v>
      </c>
      <c r="W102" s="35">
        <v>158294</v>
      </c>
      <c r="X102" s="35">
        <f>418236-W102</f>
        <v>259942</v>
      </c>
      <c r="Y102" s="35">
        <f>675374-SUM(W102:X102)</f>
        <v>257138</v>
      </c>
      <c r="AR102" s="23">
        <v>350158</v>
      </c>
      <c r="AS102" s="27">
        <v>355766</v>
      </c>
      <c r="AT102" s="27">
        <v>652984</v>
      </c>
    </row>
    <row r="103" spans="2:57">
      <c r="B103" s="19" t="s">
        <v>26</v>
      </c>
      <c r="O103" s="35">
        <v>58374</v>
      </c>
      <c r="P103" s="35">
        <f>118398-O103</f>
        <v>60024</v>
      </c>
      <c r="Q103" s="35">
        <f>178578-SUM(O103:P103)</f>
        <v>60180</v>
      </c>
      <c r="R103" s="35">
        <f t="shared" ref="R103:R135" si="165">+AS103-SUM(O103:Q103)</f>
        <v>59956</v>
      </c>
      <c r="S103" s="35">
        <v>63122</v>
      </c>
      <c r="T103" s="35">
        <f>125204-S103</f>
        <v>62082</v>
      </c>
      <c r="U103" s="35">
        <f>188395-T103-S103</f>
        <v>63191</v>
      </c>
      <c r="V103" s="35">
        <f t="shared" ref="V103:V135" si="166">+AT103-SUM(S103:U103)</f>
        <v>66262</v>
      </c>
      <c r="W103" s="35">
        <v>71655</v>
      </c>
      <c r="X103" s="35">
        <f>141398-W103</f>
        <v>69743</v>
      </c>
      <c r="Y103" s="35">
        <f>212814-SUM(W103:X103)</f>
        <v>71416</v>
      </c>
      <c r="AR103" s="23">
        <v>212778</v>
      </c>
      <c r="AS103" s="27">
        <v>238534</v>
      </c>
      <c r="AT103" s="27">
        <v>254657</v>
      </c>
    </row>
    <row r="104" spans="2:57">
      <c r="B104" s="19" t="s">
        <v>141</v>
      </c>
      <c r="O104" s="35">
        <v>42961</v>
      </c>
      <c r="P104" s="35">
        <f>88139-O104</f>
        <v>45178</v>
      </c>
      <c r="Q104" s="35">
        <f>53857-SUM(O104:P104)</f>
        <v>-34282</v>
      </c>
      <c r="R104" s="35">
        <f t="shared" si="165"/>
        <v>54493</v>
      </c>
      <c r="S104" s="35">
        <v>49269</v>
      </c>
      <c r="T104" s="35">
        <v>105485</v>
      </c>
      <c r="U104" s="35">
        <f>+-1024-T104-S104</f>
        <v>-155778</v>
      </c>
      <c r="V104" s="35">
        <f t="shared" si="166"/>
        <v>-11333</v>
      </c>
      <c r="W104" s="35">
        <v>-14024</v>
      </c>
      <c r="X104" s="35">
        <f>+-15537-W104</f>
        <v>-1513</v>
      </c>
      <c r="Y104" s="35">
        <f>+-8576-SUM(W104:X104)</f>
        <v>6961</v>
      </c>
      <c r="AR104" s="23">
        <v>29962</v>
      </c>
      <c r="AS104" s="27">
        <v>108350</v>
      </c>
      <c r="AT104" s="27">
        <v>-12357</v>
      </c>
    </row>
    <row r="105" spans="2:57">
      <c r="B105" s="19" t="s">
        <v>142</v>
      </c>
      <c r="O105" s="35">
        <v>27343</v>
      </c>
      <c r="P105" s="35">
        <f>55122-O105</f>
        <v>27779</v>
      </c>
      <c r="Q105" s="35">
        <f>21198-SUM(O105:P105)</f>
        <v>-33924</v>
      </c>
      <c r="R105" s="35">
        <f t="shared" si="165"/>
        <v>7676</v>
      </c>
      <c r="S105" s="35">
        <v>-13482</v>
      </c>
      <c r="T105" s="35">
        <f>+-15884-S105</f>
        <v>-2402</v>
      </c>
      <c r="U105" s="35">
        <f>12483-SUM(S105:T105)</f>
        <v>28367</v>
      </c>
      <c r="V105" s="35">
        <f t="shared" si="166"/>
        <v>4603</v>
      </c>
      <c r="W105" s="35">
        <v>4265</v>
      </c>
      <c r="X105" s="35">
        <f>8851-W105</f>
        <v>4586</v>
      </c>
      <c r="Y105" s="35">
        <f>15127-SUM(W105:X105)</f>
        <v>6276</v>
      </c>
      <c r="AR105" s="23">
        <v>15402</v>
      </c>
      <c r="AS105" s="27">
        <v>28874</v>
      </c>
      <c r="AT105" s="27">
        <v>17086</v>
      </c>
    </row>
    <row r="106" spans="2:57">
      <c r="B106" s="19" t="s">
        <v>143</v>
      </c>
      <c r="O106" s="35">
        <v>8805</v>
      </c>
      <c r="P106" s="35">
        <f>13747-O106</f>
        <v>4942</v>
      </c>
      <c r="Q106" s="35">
        <f>+-143-SUM(O106:P106)</f>
        <v>-13890</v>
      </c>
      <c r="R106" s="35">
        <f t="shared" si="165"/>
        <v>307</v>
      </c>
      <c r="S106" s="35">
        <v>4937</v>
      </c>
      <c r="T106" s="35">
        <f>8235-S106</f>
        <v>3298</v>
      </c>
      <c r="U106" s="35">
        <f>733-SUM(S106:T106)</f>
        <v>-7502</v>
      </c>
      <c r="V106" s="35">
        <f t="shared" si="166"/>
        <v>-240</v>
      </c>
      <c r="W106" s="35">
        <v>-918</v>
      </c>
      <c r="X106" s="35">
        <f>+-0.876-W106</f>
        <v>917.12400000000002</v>
      </c>
      <c r="Y106" s="35">
        <f>+-969-SUM(W106:X106)</f>
        <v>-968.12400000000002</v>
      </c>
      <c r="AR106" s="23">
        <v>33</v>
      </c>
      <c r="AS106" s="27">
        <v>164</v>
      </c>
      <c r="AT106" s="27">
        <v>493</v>
      </c>
    </row>
    <row r="107" spans="2:57">
      <c r="B107" s="19" t="s">
        <v>144</v>
      </c>
      <c r="O107" s="35">
        <v>-90</v>
      </c>
      <c r="P107" s="35">
        <f>82-O107</f>
        <v>172</v>
      </c>
      <c r="Q107" s="35">
        <f>60579-SUM(O107:P107)</f>
        <v>60497</v>
      </c>
      <c r="R107" s="35">
        <f t="shared" si="165"/>
        <v>22047</v>
      </c>
      <c r="S107" s="35">
        <v>-275</v>
      </c>
      <c r="T107" s="35">
        <f>+-220-S107</f>
        <v>55</v>
      </c>
      <c r="U107" s="35">
        <f>138741-SUM(S107:T107)</f>
        <v>138961</v>
      </c>
      <c r="V107" s="35">
        <f t="shared" si="166"/>
        <v>37651</v>
      </c>
      <c r="W107" s="35">
        <v>23590</v>
      </c>
      <c r="X107" s="35">
        <f>52221-W107</f>
        <v>28631</v>
      </c>
      <c r="Y107" s="35">
        <f>77371-SUM(W107:X107)</f>
        <v>25150</v>
      </c>
      <c r="AR107" s="23">
        <v>91396</v>
      </c>
      <c r="AS107" s="27">
        <v>82626</v>
      </c>
      <c r="AT107" s="27">
        <v>176392</v>
      </c>
    </row>
    <row r="108" spans="2:57">
      <c r="B108" s="19" t="s">
        <v>145</v>
      </c>
      <c r="O108" s="35">
        <v>17395</v>
      </c>
      <c r="P108" s="35">
        <f>40762-O108</f>
        <v>23367</v>
      </c>
      <c r="Q108" s="35">
        <f>2450-SUM(O108:P108)</f>
        <v>-38312</v>
      </c>
      <c r="R108" s="35">
        <f t="shared" si="165"/>
        <v>1193</v>
      </c>
      <c r="S108" s="35">
        <v>55390</v>
      </c>
      <c r="T108" s="35">
        <f>102680-S108</f>
        <v>47290</v>
      </c>
      <c r="U108" s="35">
        <f>2534-SUM(S108:T108)</f>
        <v>-100146</v>
      </c>
      <c r="V108" s="35">
        <f t="shared" si="166"/>
        <v>-7133</v>
      </c>
      <c r="W108" s="35">
        <v>-998</v>
      </c>
      <c r="X108" s="35">
        <f>+-11909-W108</f>
        <v>-10911</v>
      </c>
      <c r="Y108" s="35">
        <f>+-13045-SUM(W108:X108)</f>
        <v>-1136</v>
      </c>
      <c r="AR108" s="23">
        <v>-10592</v>
      </c>
      <c r="AS108" s="27">
        <v>3643</v>
      </c>
      <c r="AT108" s="27">
        <v>-4599</v>
      </c>
    </row>
    <row r="109" spans="2:57">
      <c r="B109" s="19" t="s">
        <v>115</v>
      </c>
      <c r="O109" s="35">
        <v>707</v>
      </c>
      <c r="P109" s="35">
        <f>1670-O109</f>
        <v>963</v>
      </c>
      <c r="Q109" s="35">
        <f>29333-SUM(O109:P109)</f>
        <v>27663</v>
      </c>
      <c r="R109" s="35">
        <f t="shared" si="165"/>
        <v>-26323</v>
      </c>
      <c r="S109" s="35">
        <v>2180</v>
      </c>
      <c r="T109" s="35">
        <f>2467-S109</f>
        <v>287</v>
      </c>
      <c r="U109" s="35">
        <f>21882-SUM(S109:T109)</f>
        <v>19415</v>
      </c>
      <c r="V109" s="35">
        <f t="shared" si="166"/>
        <v>-23569</v>
      </c>
      <c r="W109" s="35">
        <v>10394</v>
      </c>
      <c r="X109" s="35">
        <f>12353-W109</f>
        <v>1959</v>
      </c>
      <c r="Y109" s="35">
        <f>22891-SUM(W109:X109)</f>
        <v>10538</v>
      </c>
      <c r="AR109" s="23">
        <v>-2630</v>
      </c>
      <c r="AS109" s="27">
        <v>3010</v>
      </c>
      <c r="AT109" s="27">
        <v>-1687</v>
      </c>
    </row>
    <row r="110" spans="2:57">
      <c r="B110" s="19" t="s">
        <v>116</v>
      </c>
      <c r="O110" s="35">
        <v>25967</v>
      </c>
      <c r="P110" s="35">
        <f>22598-O110</f>
        <v>-3369</v>
      </c>
      <c r="Q110" s="35">
        <f>614-SUM(O110:P110)</f>
        <v>-21984</v>
      </c>
      <c r="R110" s="35">
        <f t="shared" si="165"/>
        <v>-1008</v>
      </c>
      <c r="S110" s="35">
        <v>32175</v>
      </c>
      <c r="T110" s="35">
        <f>37286-S110</f>
        <v>5111</v>
      </c>
      <c r="U110" s="35">
        <f>+-1996-SUM(S110:T110)</f>
        <v>-39282</v>
      </c>
      <c r="V110" s="35">
        <f t="shared" si="166"/>
        <v>-4396</v>
      </c>
      <c r="W110" s="35">
        <v>2970</v>
      </c>
      <c r="X110" s="35">
        <f>3320-W110</f>
        <v>350</v>
      </c>
      <c r="Y110" s="35">
        <f>+-1056-SUM(W110:X110)</f>
        <v>-4376</v>
      </c>
      <c r="AR110" s="23">
        <v>-4530</v>
      </c>
      <c r="AS110" s="27">
        <v>-394</v>
      </c>
      <c r="AT110" s="27">
        <v>-6392</v>
      </c>
    </row>
    <row r="111" spans="2:57">
      <c r="B111" s="19" t="s">
        <v>146</v>
      </c>
      <c r="O111" s="35">
        <v>2734</v>
      </c>
      <c r="P111" s="35">
        <f>2029-O111</f>
        <v>-705</v>
      </c>
      <c r="Q111" s="35">
        <f>+-6015-SUM(O111:P111)</f>
        <v>-8044</v>
      </c>
      <c r="R111" s="35">
        <f t="shared" si="165"/>
        <v>-5427</v>
      </c>
      <c r="S111" s="35">
        <v>2148</v>
      </c>
      <c r="T111" s="35">
        <f>1309-S111</f>
        <v>-839</v>
      </c>
      <c r="U111" s="35">
        <f>+-19343-SUM(S111:T111)</f>
        <v>-20652</v>
      </c>
      <c r="V111" s="35">
        <f t="shared" si="166"/>
        <v>-7483</v>
      </c>
      <c r="W111" s="35">
        <v>5920</v>
      </c>
      <c r="X111" s="35">
        <f>948-W111</f>
        <v>-4972</v>
      </c>
      <c r="Y111" s="35">
        <f>+-3169-SUM(W111:X111)</f>
        <v>-4117</v>
      </c>
      <c r="AR111" s="23">
        <v>-23066</v>
      </c>
      <c r="AS111" s="27">
        <v>-11442</v>
      </c>
      <c r="AT111" s="27">
        <v>-26826</v>
      </c>
    </row>
    <row r="112" spans="2:57">
      <c r="B112" s="19" t="s">
        <v>147</v>
      </c>
      <c r="O112" s="35">
        <v>-4158</v>
      </c>
      <c r="P112" s="35">
        <f>+-6250-O112</f>
        <v>-2092</v>
      </c>
      <c r="Q112" s="35">
        <f>136052-SUM(O112:P112)</f>
        <v>142302</v>
      </c>
      <c r="R112" s="35">
        <f t="shared" si="165"/>
        <v>48486</v>
      </c>
      <c r="S112" s="35">
        <v>-8756</v>
      </c>
      <c r="T112" s="35">
        <f>+-18186-S112</f>
        <v>-9430</v>
      </c>
      <c r="U112" s="35">
        <f>151628-SUM(S112:T112)</f>
        <v>169814</v>
      </c>
      <c r="V112" s="35">
        <f t="shared" si="166"/>
        <v>72209</v>
      </c>
      <c r="W112" s="35">
        <v>55125</v>
      </c>
      <c r="X112" s="35">
        <f>112505-W112</f>
        <v>57380</v>
      </c>
      <c r="Y112" s="35">
        <f>171464-SUM(W112:X112)</f>
        <v>58959</v>
      </c>
      <c r="AR112" s="23">
        <v>163952</v>
      </c>
      <c r="AS112" s="27">
        <v>184538</v>
      </c>
      <c r="AT112" s="27">
        <v>223837</v>
      </c>
    </row>
    <row r="113" spans="2:57">
      <c r="B113" s="19" t="s">
        <v>125</v>
      </c>
      <c r="O113" s="35">
        <v>-5133</v>
      </c>
      <c r="P113" s="35">
        <f>+-8574-O113</f>
        <v>-3441</v>
      </c>
      <c r="Q113" s="35">
        <f>+-21754-SUM(O113:P113)</f>
        <v>-13180</v>
      </c>
      <c r="R113" s="35">
        <f t="shared" si="165"/>
        <v>-4823</v>
      </c>
      <c r="S113" s="35">
        <v>-186</v>
      </c>
      <c r="T113" s="35">
        <f>117-S113</f>
        <v>303</v>
      </c>
      <c r="U113" s="35">
        <f>1901-SUM(S113:T113)</f>
        <v>1784</v>
      </c>
      <c r="V113" s="35">
        <f t="shared" si="166"/>
        <v>2092</v>
      </c>
      <c r="W113" s="35">
        <v>-1132</v>
      </c>
      <c r="X113" s="35">
        <f>+-3014-W113</f>
        <v>-1882</v>
      </c>
      <c r="Y113" s="35">
        <f>+-1537-SUM(W113:X113)</f>
        <v>1477</v>
      </c>
      <c r="AR113" s="23">
        <v>2818</v>
      </c>
      <c r="AS113" s="27">
        <v>-26577</v>
      </c>
      <c r="AT113" s="27">
        <v>3993</v>
      </c>
    </row>
    <row r="114" spans="2:57">
      <c r="B114" s="19" t="s">
        <v>128</v>
      </c>
      <c r="O114" s="35">
        <v>20245</v>
      </c>
      <c r="P114" s="35">
        <f>40530-O114</f>
        <v>20285</v>
      </c>
      <c r="Q114" s="35">
        <f>5776-SUM(O114:P114)</f>
        <v>-34754</v>
      </c>
      <c r="R114" s="35">
        <f t="shared" si="165"/>
        <v>-9635</v>
      </c>
      <c r="S114" s="35">
        <v>19446</v>
      </c>
      <c r="T114" s="35">
        <f>12525-S114</f>
        <v>-6921</v>
      </c>
      <c r="U114" s="35">
        <f>28712-SUM(S114:T114)</f>
        <v>16187</v>
      </c>
      <c r="V114" s="35">
        <f t="shared" si="166"/>
        <v>-7272</v>
      </c>
      <c r="W114" s="35">
        <v>15702</v>
      </c>
      <c r="X114" s="35">
        <f>+-2972-W114</f>
        <v>-18674</v>
      </c>
      <c r="Y114" s="35">
        <f>10774-SUM(W114:X114)</f>
        <v>13746</v>
      </c>
      <c r="AR114" s="23">
        <v>-973</v>
      </c>
      <c r="AS114" s="27">
        <v>-3859</v>
      </c>
      <c r="AT114" s="27">
        <v>21440</v>
      </c>
      <c r="BE114" s="32"/>
    </row>
    <row r="115" spans="2:57">
      <c r="B115" s="19" t="s">
        <v>148</v>
      </c>
      <c r="O115" s="35">
        <v>5839</v>
      </c>
      <c r="P115" s="35">
        <f>3264-O115</f>
        <v>-2575</v>
      </c>
      <c r="Q115" s="35">
        <f>68514-SUM(O115:P115)</f>
        <v>65250</v>
      </c>
      <c r="R115" s="35">
        <f t="shared" si="165"/>
        <v>8169</v>
      </c>
      <c r="S115" s="35">
        <v>18188</v>
      </c>
      <c r="T115" s="35">
        <f>21068-S115</f>
        <v>2880</v>
      </c>
      <c r="U115" s="35">
        <f>+-13193-SUM(S115:T115)</f>
        <v>-34261</v>
      </c>
      <c r="V115" s="35">
        <f t="shared" si="166"/>
        <v>-31362</v>
      </c>
      <c r="W115" s="35">
        <v>10438</v>
      </c>
      <c r="X115" s="35">
        <f>+-0.583-W115</f>
        <v>-10438.583000000001</v>
      </c>
      <c r="Y115" s="35">
        <f>-32861-SUM(W115:X115)</f>
        <v>-32860.417000000001</v>
      </c>
      <c r="AR115" s="23">
        <v>11759</v>
      </c>
      <c r="AS115" s="27">
        <v>76683</v>
      </c>
      <c r="AT115" s="27">
        <v>-44555</v>
      </c>
    </row>
    <row r="116" spans="2:57">
      <c r="B116" s="19" t="s">
        <v>149</v>
      </c>
      <c r="O116" s="35">
        <v>-9389</v>
      </c>
      <c r="P116" s="35">
        <f>+-8120-O116</f>
        <v>1269</v>
      </c>
      <c r="Q116" s="35">
        <f>1965-SUM(O116:P116)</f>
        <v>10085</v>
      </c>
      <c r="R116" s="35">
        <f t="shared" si="165"/>
        <v>3631</v>
      </c>
      <c r="S116" s="35">
        <v>-17869</v>
      </c>
      <c r="T116" s="35">
        <f>+-20102-S116</f>
        <v>-2233</v>
      </c>
      <c r="U116" s="35">
        <f>+-7407-SUM(S116:T116)</f>
        <v>12695</v>
      </c>
      <c r="V116" s="35">
        <f t="shared" si="166"/>
        <v>18404</v>
      </c>
      <c r="W116" s="35">
        <v>-31151</v>
      </c>
      <c r="X116" s="35">
        <f>+-22293-W116</f>
        <v>8858</v>
      </c>
      <c r="Y116" s="35">
        <f>+-16562-SUM(W116:X116)</f>
        <v>5731</v>
      </c>
      <c r="AR116" s="23">
        <v>36543</v>
      </c>
      <c r="AS116" s="27">
        <v>5596</v>
      </c>
      <c r="AT116" s="27">
        <v>10997</v>
      </c>
    </row>
    <row r="117" spans="2:57">
      <c r="B117" s="19" t="s">
        <v>131</v>
      </c>
      <c r="O117" s="35">
        <v>-15924</v>
      </c>
      <c r="P117" s="35">
        <f>+-4027-O117</f>
        <v>11897</v>
      </c>
      <c r="Q117" s="35">
        <f>+-593-SUM(O117:P117)</f>
        <v>3434</v>
      </c>
      <c r="R117" s="35">
        <f t="shared" si="165"/>
        <v>37551</v>
      </c>
      <c r="S117" s="35">
        <v>-15606</v>
      </c>
      <c r="T117" s="35">
        <f>+-11487-S117</f>
        <v>4119</v>
      </c>
      <c r="U117" s="35">
        <f>+-2978-SUM(S117:T117)</f>
        <v>8509</v>
      </c>
      <c r="V117" s="35">
        <f t="shared" si="166"/>
        <v>37365</v>
      </c>
      <c r="W117" s="35">
        <v>-21604</v>
      </c>
      <c r="X117" s="35">
        <f>+-20062-W117</f>
        <v>1542</v>
      </c>
      <c r="Y117" s="35">
        <f>-18141-SUM(W117:X117)</f>
        <v>1921</v>
      </c>
      <c r="AR117" s="23">
        <v>30400</v>
      </c>
      <c r="AS117" s="27">
        <v>36958</v>
      </c>
      <c r="AT117" s="27">
        <v>34387</v>
      </c>
    </row>
    <row r="118" spans="2:57">
      <c r="B118" s="19" t="s">
        <v>150</v>
      </c>
      <c r="O118" s="35">
        <v>-29179</v>
      </c>
      <c r="P118" s="35">
        <f>+-70119-O118</f>
        <v>-40940</v>
      </c>
      <c r="Q118" s="35">
        <f>+-32677-SUM(O118:P118)</f>
        <v>37442</v>
      </c>
      <c r="R118" s="35">
        <f t="shared" si="165"/>
        <v>-222574</v>
      </c>
      <c r="S118" s="35">
        <v>38640</v>
      </c>
      <c r="T118" s="35">
        <f>+-1851-S118</f>
        <v>-40491</v>
      </c>
      <c r="U118" s="35">
        <f>+-35850-SUM(S118:T118)</f>
        <v>-33999</v>
      </c>
      <c r="V118" s="35">
        <f t="shared" si="166"/>
        <v>229229</v>
      </c>
      <c r="W118" s="35">
        <v>43367</v>
      </c>
      <c r="X118" s="35">
        <f>+-3832-W118</f>
        <v>-47199</v>
      </c>
      <c r="Y118" s="35">
        <f>+-18070-SUM(W118:X118)</f>
        <v>-14238</v>
      </c>
      <c r="AR118" s="23">
        <v>-32083</v>
      </c>
      <c r="AS118" s="27">
        <v>-255251</v>
      </c>
      <c r="AT118" s="27">
        <v>193379</v>
      </c>
    </row>
    <row r="119" spans="2:57">
      <c r="B119" s="19" t="s">
        <v>151</v>
      </c>
      <c r="O119" s="35">
        <v>-40918</v>
      </c>
      <c r="P119" s="35">
        <f>+-69468-O119</f>
        <v>-28550</v>
      </c>
      <c r="Q119" s="35">
        <f>+-115069-SUM(O119:P119)</f>
        <v>-45601</v>
      </c>
      <c r="R119" s="35">
        <f t="shared" si="165"/>
        <v>-50085</v>
      </c>
      <c r="S119" s="35">
        <v>-50902</v>
      </c>
      <c r="T119" s="35">
        <f>+-101818-S119</f>
        <v>-50916</v>
      </c>
      <c r="U119" s="35">
        <f>+-141540-SUM(R119:T119)</f>
        <v>10363</v>
      </c>
      <c r="V119" s="35">
        <f t="shared" si="166"/>
        <v>-115709</v>
      </c>
      <c r="W119" s="35">
        <v>-49596</v>
      </c>
      <c r="X119" s="35">
        <f>+-100024-W119</f>
        <v>-50428</v>
      </c>
      <c r="Y119" s="35">
        <f>+-153200-SUM(W119:X119)</f>
        <v>-53176</v>
      </c>
      <c r="AR119" s="23">
        <v>-151557</v>
      </c>
      <c r="AS119" s="27">
        <v>-165154</v>
      </c>
      <c r="AT119" s="27">
        <v>-207164</v>
      </c>
    </row>
    <row r="120" spans="2:57">
      <c r="B120" s="19" t="s">
        <v>152</v>
      </c>
      <c r="O120" s="35">
        <v>104</v>
      </c>
      <c r="P120" s="35">
        <f>587-O120</f>
        <v>483</v>
      </c>
      <c r="Q120" s="35">
        <f>1351-SUM(O120:P120)</f>
        <v>764</v>
      </c>
      <c r="R120" s="35">
        <f t="shared" si="165"/>
        <v>431</v>
      </c>
      <c r="S120" s="35">
        <v>453</v>
      </c>
      <c r="T120" s="35">
        <f>955-S120</f>
        <v>502</v>
      </c>
      <c r="U120" s="35">
        <f>474-SUM(S120:T120)</f>
        <v>-481</v>
      </c>
      <c r="V120" s="35">
        <f t="shared" si="166"/>
        <v>-4458</v>
      </c>
      <c r="W120" s="35">
        <v>595</v>
      </c>
      <c r="X120" s="35">
        <f>0.958-W120</f>
        <v>-594.04200000000003</v>
      </c>
      <c r="Y120" s="35">
        <f>2968-SUM(W120:X120)</f>
        <v>2967.0419999999999</v>
      </c>
      <c r="AR120" s="23">
        <v>1862</v>
      </c>
      <c r="AS120" s="27">
        <v>1782</v>
      </c>
      <c r="AT120" s="27">
        <v>-3984</v>
      </c>
    </row>
    <row r="121" spans="2:57" s="26" customFormat="1">
      <c r="B121" s="24" t="s">
        <v>42</v>
      </c>
      <c r="N121" s="34"/>
      <c r="O121" s="34">
        <f>+SUM(O102:O120)</f>
        <v>182071</v>
      </c>
      <c r="P121" s="34">
        <f>SUM(P102:P120)</f>
        <v>122862</v>
      </c>
      <c r="Q121" s="34">
        <f>+SUM(Q102:Q120)</f>
        <v>243890</v>
      </c>
      <c r="R121" s="34">
        <f t="shared" si="165"/>
        <v>115024</v>
      </c>
      <c r="S121" s="34">
        <f>+SUM(S102:S120)</f>
        <v>305973</v>
      </c>
      <c r="T121" s="34">
        <f>+SUM(T102:T120)</f>
        <v>306154</v>
      </c>
      <c r="U121" s="34">
        <f>+SUM(U102:U120)</f>
        <v>281619</v>
      </c>
      <c r="V121" s="34">
        <f>+AT121-SUM(S121:U121)</f>
        <v>388335</v>
      </c>
      <c r="W121" s="34">
        <f>+SUM(W102:W120)</f>
        <v>282892</v>
      </c>
      <c r="X121" s="34">
        <f>+SUM(X102:X120)</f>
        <v>287296.49900000001</v>
      </c>
      <c r="Y121" s="34">
        <f>+SUM(Y102:Y120)</f>
        <v>351408.50099999999</v>
      </c>
      <c r="Z121" s="34"/>
      <c r="AA121" s="73"/>
      <c r="AB121" s="22"/>
      <c r="AC121" s="22"/>
      <c r="AR121" s="26">
        <f>+SUM(AR102:AR120)</f>
        <v>721632</v>
      </c>
      <c r="AS121" s="32">
        <f>+SUM(AS102:AS120)</f>
        <v>663847</v>
      </c>
      <c r="AT121" s="32">
        <f>+SUM(AT102:AT120)</f>
        <v>1282081</v>
      </c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</row>
    <row r="123" spans="2:57">
      <c r="B123" s="19" t="s">
        <v>43</v>
      </c>
      <c r="O123" s="35">
        <v>-77653</v>
      </c>
      <c r="P123" s="35">
        <f>+-165455-O123</f>
        <v>-87802</v>
      </c>
      <c r="Q123" s="35">
        <f>+-246758-SUM(O123:P123)</f>
        <v>-81303</v>
      </c>
      <c r="R123" s="35">
        <f t="shared" si="165"/>
        <v>-126594</v>
      </c>
      <c r="S123" s="35">
        <v>-86619</v>
      </c>
      <c r="T123" s="35">
        <f>+-212123-S123</f>
        <v>-125504</v>
      </c>
      <c r="U123" s="35">
        <f>+-320569-SUM(S123:T123)</f>
        <v>-108446</v>
      </c>
      <c r="V123" s="35">
        <f t="shared" si="166"/>
        <v>-121906</v>
      </c>
      <c r="W123" s="35">
        <v>-96162</v>
      </c>
      <c r="X123" s="35">
        <f>+-196495-W123</f>
        <v>-100333</v>
      </c>
      <c r="Y123" s="35">
        <f>+-335518-SUM(W123:X123)</f>
        <v>-139023</v>
      </c>
      <c r="AR123" s="23">
        <v>-333912</v>
      </c>
      <c r="AS123" s="27">
        <v>-373352</v>
      </c>
      <c r="AT123" s="27">
        <v>-442475</v>
      </c>
    </row>
    <row r="124" spans="2:57">
      <c r="B124" s="19" t="s">
        <v>153</v>
      </c>
      <c r="O124" s="35">
        <v>-80746</v>
      </c>
      <c r="P124" s="35">
        <f>+-101104-O124</f>
        <v>-20358</v>
      </c>
      <c r="Q124" s="35">
        <f>+-325069-SUM(O124:P124)</f>
        <v>-223965</v>
      </c>
      <c r="R124" s="35">
        <f t="shared" si="165"/>
        <v>-143349</v>
      </c>
      <c r="S124" s="35">
        <v>-90477</v>
      </c>
      <c r="T124" s="35">
        <f>+-190920-S124</f>
        <v>-100443</v>
      </c>
      <c r="U124" s="35">
        <f>+-288899-SUM(S124:T124)</f>
        <v>-97979</v>
      </c>
      <c r="V124" s="35">
        <f t="shared" si="166"/>
        <v>-140451</v>
      </c>
      <c r="W124" s="35">
        <v>-118827</v>
      </c>
      <c r="X124" s="35">
        <f>195242-W124</f>
        <v>314069</v>
      </c>
      <c r="Y124" s="35">
        <f ca="1">+-513813-SUM(W124:Y124)</f>
        <v>0</v>
      </c>
      <c r="AR124" s="23">
        <v>-448754</v>
      </c>
      <c r="AS124" s="27">
        <v>-468418</v>
      </c>
      <c r="AT124" s="27">
        <v>-429350</v>
      </c>
    </row>
    <row r="125" spans="2:57">
      <c r="B125" s="19" t="s">
        <v>154</v>
      </c>
      <c r="O125" s="35">
        <v>99037</v>
      </c>
      <c r="P125" s="35">
        <f>198578-O125</f>
        <v>99541</v>
      </c>
      <c r="Q125" s="35">
        <f>318505-SUM(O125:P125)</f>
        <v>119927</v>
      </c>
      <c r="R125" s="35">
        <f t="shared" si="165"/>
        <v>100573</v>
      </c>
      <c r="S125" s="35">
        <v>60593</v>
      </c>
      <c r="T125" s="35">
        <f>162045-S125</f>
        <v>101452</v>
      </c>
      <c r="U125" s="35">
        <f>243441-SUM(S125:T125)</f>
        <v>81396</v>
      </c>
      <c r="V125" s="35">
        <f t="shared" si="166"/>
        <v>102307</v>
      </c>
      <c r="W125" s="35">
        <v>81923</v>
      </c>
      <c r="X125" s="35">
        <f>142540-W125</f>
        <v>60617</v>
      </c>
      <c r="Y125" s="35">
        <f>202997-SUM(W125:X125)</f>
        <v>60457</v>
      </c>
      <c r="AR125" s="23">
        <v>476723</v>
      </c>
      <c r="AS125" s="27">
        <v>419078</v>
      </c>
      <c r="AT125" s="27">
        <v>345748</v>
      </c>
    </row>
    <row r="126" spans="2:57">
      <c r="B126" s="19" t="s">
        <v>155</v>
      </c>
      <c r="O126" s="35">
        <v>0</v>
      </c>
      <c r="P126" s="35">
        <f>0-O126</f>
        <v>0</v>
      </c>
      <c r="Q126" s="35">
        <f>0-SUM(O126:P126)</f>
        <v>0</v>
      </c>
      <c r="R126" s="35">
        <f t="shared" si="165"/>
        <v>0</v>
      </c>
      <c r="S126" s="35">
        <v>0</v>
      </c>
      <c r="T126" s="35">
        <f>2885-S126</f>
        <v>2885</v>
      </c>
      <c r="U126" s="35">
        <f>2885-SUM(S126:T126)</f>
        <v>0</v>
      </c>
      <c r="V126" s="35">
        <f t="shared" si="166"/>
        <v>1150</v>
      </c>
      <c r="W126" s="35">
        <v>0</v>
      </c>
      <c r="X126" s="35">
        <v>0</v>
      </c>
      <c r="Y126" s="35">
        <v>0</v>
      </c>
      <c r="AR126" s="23">
        <v>13969</v>
      </c>
      <c r="AS126" s="27">
        <v>0</v>
      </c>
      <c r="AT126" s="27">
        <v>4035</v>
      </c>
    </row>
    <row r="127" spans="2:57">
      <c r="B127" s="19" t="s">
        <v>156</v>
      </c>
      <c r="O127" s="35">
        <v>0</v>
      </c>
      <c r="P127" s="35">
        <f>+-7525-O127</f>
        <v>-7525</v>
      </c>
      <c r="Q127" s="35">
        <f>+-10025-SUM(O127:P127)</f>
        <v>-2500</v>
      </c>
      <c r="R127" s="35">
        <f t="shared" si="165"/>
        <v>0</v>
      </c>
      <c r="S127" s="35">
        <v>0</v>
      </c>
      <c r="T127" s="35">
        <f>0-S127</f>
        <v>0</v>
      </c>
      <c r="U127" s="35">
        <f>0-SUM(S127:T127)</f>
        <v>0</v>
      </c>
      <c r="V127" s="35">
        <f t="shared" si="166"/>
        <v>0</v>
      </c>
      <c r="W127" s="35">
        <v>0</v>
      </c>
      <c r="X127" s="35">
        <v>0</v>
      </c>
      <c r="Y127" s="35">
        <v>0</v>
      </c>
      <c r="AR127" s="23">
        <v>0</v>
      </c>
      <c r="AS127" s="27">
        <v>-10025</v>
      </c>
      <c r="AT127" s="27">
        <v>0</v>
      </c>
    </row>
    <row r="128" spans="2:57" s="26" customFormat="1">
      <c r="B128" s="24" t="s">
        <v>157</v>
      </c>
      <c r="N128" s="34"/>
      <c r="O128" s="34">
        <f>+SUM(O123:O127)</f>
        <v>-59362</v>
      </c>
      <c r="P128" s="34">
        <f>+SUM(P123:P127)</f>
        <v>-16144</v>
      </c>
      <c r="Q128" s="34">
        <f>+SUM(Q123:Q127)</f>
        <v>-187841</v>
      </c>
      <c r="R128" s="34">
        <f t="shared" si="165"/>
        <v>-169370</v>
      </c>
      <c r="S128" s="34">
        <f>SUM(S123:S127)</f>
        <v>-116503</v>
      </c>
      <c r="T128" s="34">
        <f>+SUM(T123:T127)</f>
        <v>-121610</v>
      </c>
      <c r="U128" s="34">
        <f>+SUM(U123:U127)</f>
        <v>-125029</v>
      </c>
      <c r="V128" s="34">
        <f t="shared" si="166"/>
        <v>-158900</v>
      </c>
      <c r="W128" s="34">
        <f>+SUM(W123:W127)</f>
        <v>-133066</v>
      </c>
      <c r="X128" s="34">
        <f>+SUM(X123:X127)</f>
        <v>274353</v>
      </c>
      <c r="Y128" s="34">
        <f ca="1">+SUM(Y123:Y127)</f>
        <v>-78566</v>
      </c>
      <c r="Z128" s="34"/>
      <c r="AA128" s="73"/>
      <c r="AB128" s="22"/>
      <c r="AC128" s="22"/>
      <c r="AR128" s="26">
        <f>+SUM(AR123:AR127)</f>
        <v>-291974</v>
      </c>
      <c r="AS128" s="32">
        <f>+SUM(AS123:AS127)</f>
        <v>-432717</v>
      </c>
      <c r="AT128" s="32">
        <f>+SUM(AT123:AT127)</f>
        <v>-522042</v>
      </c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</row>
    <row r="130" spans="2:57">
      <c r="B130" s="19" t="s">
        <v>158</v>
      </c>
      <c r="O130" s="35">
        <v>-54401</v>
      </c>
      <c r="P130" s="35">
        <f>+-54401-O130</f>
        <v>0</v>
      </c>
      <c r="Q130" s="35">
        <f>+-54401-SUM(O130:P130)</f>
        <v>0</v>
      </c>
      <c r="R130" s="35">
        <f t="shared" si="165"/>
        <v>0</v>
      </c>
      <c r="S130" s="35">
        <f>+-57229</f>
        <v>-57229</v>
      </c>
      <c r="T130" s="35">
        <f>+-203151-S130</f>
        <v>-145922</v>
      </c>
      <c r="U130" s="35">
        <f>+-300733-SUM(S130:T130)</f>
        <v>-97582</v>
      </c>
      <c r="V130" s="35">
        <f t="shared" si="166"/>
        <v>-165729</v>
      </c>
      <c r="W130" s="35">
        <v>-263308</v>
      </c>
      <c r="X130" s="35">
        <f>+-521910-W130</f>
        <v>-258602</v>
      </c>
      <c r="Y130" s="35">
        <f>+-629775-SUM(W130:X130)</f>
        <v>-107865</v>
      </c>
      <c r="AR130" s="23">
        <v>-190617</v>
      </c>
      <c r="AS130" s="27">
        <v>-54401</v>
      </c>
      <c r="AT130" s="27">
        <v>-466462</v>
      </c>
    </row>
    <row r="131" spans="2:57">
      <c r="B131" s="19" t="s">
        <v>159</v>
      </c>
      <c r="O131" s="35">
        <v>-47630</v>
      </c>
      <c r="P131" s="35">
        <f>+-47947-O131</f>
        <v>-317</v>
      </c>
      <c r="Q131" s="35">
        <f>+-47976-SUM(O131:P131)</f>
        <v>-29</v>
      </c>
      <c r="R131" s="35">
        <f t="shared" si="165"/>
        <v>-579</v>
      </c>
      <c r="S131" s="35">
        <v>-44810</v>
      </c>
      <c r="T131" s="35">
        <f>+-58860-S131</f>
        <v>-14050</v>
      </c>
      <c r="U131" s="35">
        <f>+-63492-SUM(S131:T131)</f>
        <v>-4632</v>
      </c>
      <c r="V131" s="35">
        <f t="shared" si="166"/>
        <v>-16378</v>
      </c>
      <c r="W131" s="35">
        <v>-85811</v>
      </c>
      <c r="X131" s="35">
        <f>+-91505-W131</f>
        <v>-5694</v>
      </c>
      <c r="Y131" s="35">
        <f>+-92374-SUM(W131:X131)</f>
        <v>-869</v>
      </c>
      <c r="AR131" s="23">
        <v>-10420</v>
      </c>
      <c r="AS131" s="27">
        <v>-48555</v>
      </c>
      <c r="AT131" s="27">
        <v>-79870</v>
      </c>
    </row>
    <row r="132" spans="2:57">
      <c r="B132" s="19" t="s">
        <v>160</v>
      </c>
      <c r="O132" s="35">
        <v>-69</v>
      </c>
      <c r="P132" s="35">
        <f>+-1855-O132</f>
        <v>-1786</v>
      </c>
      <c r="Q132" s="35">
        <f>+-1865-SUM(O132:P132)</f>
        <v>-10</v>
      </c>
      <c r="R132" s="35">
        <f t="shared" si="165"/>
        <v>-30</v>
      </c>
      <c r="S132" s="35">
        <v>-221</v>
      </c>
      <c r="T132" s="35">
        <f>+-2208-S132</f>
        <v>-1987</v>
      </c>
      <c r="U132" s="35">
        <f>+-2342-SUM(S132:T132)</f>
        <v>-134</v>
      </c>
      <c r="V132" s="35">
        <f t="shared" si="166"/>
        <v>68</v>
      </c>
      <c r="W132" s="35">
        <v>-359</v>
      </c>
      <c r="X132" s="35">
        <f>+-0.588-W132</f>
        <v>358.41199999999998</v>
      </c>
      <c r="Y132" s="35">
        <f>+-586-SUM(W132:X132)</f>
        <v>-585.41200000000003</v>
      </c>
      <c r="AR132" s="23">
        <v>-698</v>
      </c>
      <c r="AS132" s="27">
        <v>-1895</v>
      </c>
      <c r="AT132" s="27">
        <v>-2274</v>
      </c>
    </row>
    <row r="133" spans="2:57" s="26" customFormat="1">
      <c r="B133" s="24" t="s">
        <v>161</v>
      </c>
      <c r="N133" s="34"/>
      <c r="O133" s="34">
        <f>+SUM(O130:O132)</f>
        <v>-102100</v>
      </c>
      <c r="P133" s="34">
        <f>+SUM(P130:P132)</f>
        <v>-2103</v>
      </c>
      <c r="Q133" s="34">
        <f>+SUM(Q130:Q132)</f>
        <v>-39</v>
      </c>
      <c r="R133" s="34">
        <f t="shared" si="165"/>
        <v>-609</v>
      </c>
      <c r="S133" s="34">
        <f>+SUM(S130:S132)</f>
        <v>-102260</v>
      </c>
      <c r="T133" s="34">
        <f>+SUM(T130:T132)</f>
        <v>-161959</v>
      </c>
      <c r="U133" s="34">
        <f>+SUM(U130:U132)</f>
        <v>-102348</v>
      </c>
      <c r="V133" s="34">
        <f t="shared" si="166"/>
        <v>-182039</v>
      </c>
      <c r="W133" s="34">
        <f>+SUM(W130:W132)</f>
        <v>-349478</v>
      </c>
      <c r="X133" s="34">
        <f>+SUM(X130:X132)</f>
        <v>-263937.58799999999</v>
      </c>
      <c r="Y133" s="34">
        <f>+SUM(Y130:Y132)</f>
        <v>-109319.412</v>
      </c>
      <c r="Z133" s="34"/>
      <c r="AA133" s="73"/>
      <c r="AB133" s="22"/>
      <c r="AC133" s="22"/>
      <c r="AR133" s="26">
        <f>+SUM(AR130:AR132)</f>
        <v>-201735</v>
      </c>
      <c r="AS133" s="32">
        <f>+SUM(AS130:AS132)</f>
        <v>-104851</v>
      </c>
      <c r="AT133" s="32">
        <f>+SUM(AT130:AT132)</f>
        <v>-548606</v>
      </c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</row>
    <row r="134" spans="2:57">
      <c r="B134" s="19" t="s">
        <v>162</v>
      </c>
      <c r="O134" s="35">
        <v>-819</v>
      </c>
      <c r="P134" s="35">
        <f>+-104-O134</f>
        <v>715</v>
      </c>
      <c r="Q134" s="35">
        <f>377-SUM(O134:P134)</f>
        <v>481</v>
      </c>
      <c r="R134" s="35">
        <f t="shared" si="165"/>
        <v>699</v>
      </c>
      <c r="S134" s="35">
        <v>-407</v>
      </c>
      <c r="T134" s="35">
        <f>+-216-S134</f>
        <v>191</v>
      </c>
      <c r="U134" s="35">
        <f>+-788-SUM(S134:T134)</f>
        <v>-572</v>
      </c>
      <c r="V134" s="35">
        <f t="shared" si="166"/>
        <v>-251</v>
      </c>
      <c r="W134" s="35">
        <v>147</v>
      </c>
      <c r="X134" s="35">
        <f>+-0.49-W134</f>
        <v>-147.49</v>
      </c>
      <c r="Y134" s="35">
        <f>+-1170-SUM(W134:X134)</f>
        <v>-1169.51</v>
      </c>
      <c r="AR134" s="23">
        <v>406</v>
      </c>
      <c r="AS134" s="27">
        <v>1076</v>
      </c>
      <c r="AT134" s="27">
        <v>-1039</v>
      </c>
    </row>
    <row r="135" spans="2:57" s="26" customFormat="1">
      <c r="B135" s="24" t="s">
        <v>163</v>
      </c>
      <c r="N135" s="34"/>
      <c r="O135" s="34">
        <f t="shared" ref="O135:T135" si="167">+O121+O128+O133+O134</f>
        <v>19790</v>
      </c>
      <c r="P135" s="34">
        <f t="shared" si="167"/>
        <v>105330</v>
      </c>
      <c r="Q135" s="34">
        <f t="shared" si="167"/>
        <v>56491</v>
      </c>
      <c r="R135" s="34">
        <f t="shared" si="165"/>
        <v>-54256</v>
      </c>
      <c r="S135" s="34">
        <f t="shared" si="167"/>
        <v>86803</v>
      </c>
      <c r="T135" s="34">
        <f t="shared" si="167"/>
        <v>22776</v>
      </c>
      <c r="U135" s="34">
        <f>+U121+U128+U133+U134</f>
        <v>53670</v>
      </c>
      <c r="V135" s="34">
        <f t="shared" si="166"/>
        <v>47145</v>
      </c>
      <c r="W135" s="34">
        <f>+W121+W128+W133+W134</f>
        <v>-199505</v>
      </c>
      <c r="X135" s="34">
        <f>+X121+X128+X133+X134</f>
        <v>297564.42100000009</v>
      </c>
      <c r="Y135" s="34">
        <f ca="1">+Y121+Y128+Y133+Y134</f>
        <v>162353.57899999997</v>
      </c>
      <c r="Z135" s="34"/>
      <c r="AA135" s="73"/>
      <c r="AB135" s="22"/>
      <c r="AC135" s="22"/>
      <c r="AR135" s="26">
        <f t="shared" ref="AR135:AS135" si="168">+AR121+AR128+AR133+AR134</f>
        <v>228329</v>
      </c>
      <c r="AS135" s="32">
        <f t="shared" si="168"/>
        <v>127355</v>
      </c>
      <c r="AT135" s="32">
        <f>+AT121+AT128+AT133+AT134</f>
        <v>210394</v>
      </c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</row>
    <row r="136" spans="2:57">
      <c r="B136" s="19" t="s">
        <v>164</v>
      </c>
      <c r="O136" s="35">
        <f>+N41+N50</f>
        <v>508481</v>
      </c>
      <c r="P136" s="35">
        <f>+N41+N50</f>
        <v>508481</v>
      </c>
      <c r="Q136" s="35">
        <f>+N41+N50</f>
        <v>508481</v>
      </c>
      <c r="R136" s="35">
        <f>+O41+O50</f>
        <v>528271</v>
      </c>
      <c r="S136" s="35">
        <f>+R41+R50</f>
        <v>635836</v>
      </c>
      <c r="T136" s="35">
        <f>+R41+R50</f>
        <v>635836</v>
      </c>
      <c r="U136" s="35">
        <f>+R41+R50</f>
        <v>635836</v>
      </c>
      <c r="V136" s="35">
        <f>+S41+S50</f>
        <v>722639</v>
      </c>
      <c r="W136" s="35">
        <f>+$V$41+$V$50</f>
        <v>846230</v>
      </c>
      <c r="Y136" s="35">
        <f>+$V$41+$V$50</f>
        <v>846230</v>
      </c>
      <c r="AR136" s="23">
        <v>280152</v>
      </c>
      <c r="AS136" s="27">
        <v>508481</v>
      </c>
      <c r="AT136" s="27">
        <v>635836</v>
      </c>
    </row>
    <row r="137" spans="2:57">
      <c r="B137" s="19" t="s">
        <v>165</v>
      </c>
      <c r="O137" s="35">
        <f t="shared" ref="O137:T137" si="169">+O135+O136</f>
        <v>528271</v>
      </c>
      <c r="P137" s="35">
        <f t="shared" si="169"/>
        <v>613811</v>
      </c>
      <c r="Q137" s="35">
        <f t="shared" si="169"/>
        <v>564972</v>
      </c>
      <c r="R137" s="35">
        <f t="shared" ref="R137" si="170">+R135+R136</f>
        <v>474015</v>
      </c>
      <c r="S137" s="35">
        <f t="shared" si="169"/>
        <v>722639</v>
      </c>
      <c r="T137" s="35">
        <f t="shared" si="169"/>
        <v>658612</v>
      </c>
      <c r="U137" s="35">
        <f>+U135+U136</f>
        <v>689506</v>
      </c>
      <c r="V137" s="35">
        <f>+V135+V136</f>
        <v>769784</v>
      </c>
      <c r="W137" s="35">
        <f>+W135+W136</f>
        <v>646725</v>
      </c>
      <c r="Y137" s="35">
        <f ca="1">+SUM(Y135:Y136)</f>
        <v>1008583.5789999999</v>
      </c>
      <c r="AR137" s="23">
        <f>+AR135+AR136</f>
        <v>508481</v>
      </c>
      <c r="AS137" s="27">
        <f>+AS135+AS136</f>
        <v>635836</v>
      </c>
      <c r="AT137" s="27">
        <f>+AT135+AT136</f>
        <v>846230</v>
      </c>
    </row>
    <row r="139" spans="2:57" s="26" customFormat="1">
      <c r="B139" s="24" t="s">
        <v>167</v>
      </c>
      <c r="N139" s="34"/>
      <c r="O139" s="34">
        <f t="shared" ref="O139:T139" si="171">+O121+O123-O107</f>
        <v>104508</v>
      </c>
      <c r="P139" s="34">
        <f t="shared" si="171"/>
        <v>34888</v>
      </c>
      <c r="Q139" s="34">
        <f t="shared" si="171"/>
        <v>102090</v>
      </c>
      <c r="R139" s="34">
        <f t="shared" si="171"/>
        <v>-33617</v>
      </c>
      <c r="S139" s="34">
        <f t="shared" si="171"/>
        <v>219629</v>
      </c>
      <c r="T139" s="34">
        <f t="shared" si="171"/>
        <v>180595</v>
      </c>
      <c r="U139" s="34">
        <f>+U121+U123-U107</f>
        <v>34212</v>
      </c>
      <c r="V139" s="34">
        <f>+V121+V123-V107</f>
        <v>228778</v>
      </c>
      <c r="W139" s="34">
        <f t="shared" ref="W139:Y139" si="172">+W121+W123-W107</f>
        <v>163140</v>
      </c>
      <c r="X139" s="34">
        <f t="shared" si="172"/>
        <v>158332.49900000001</v>
      </c>
      <c r="Y139" s="34">
        <f t="shared" si="172"/>
        <v>187235.50099999999</v>
      </c>
      <c r="Z139" s="34"/>
      <c r="AA139" s="73"/>
      <c r="AB139" s="22"/>
      <c r="AC139" s="22"/>
      <c r="AR139" s="34">
        <f t="shared" ref="AR139:AT139" si="173">+AR121+AR123-AR107</f>
        <v>296324</v>
      </c>
      <c r="AS139" s="89">
        <f t="shared" si="173"/>
        <v>207869</v>
      </c>
      <c r="AT139" s="89">
        <f t="shared" si="173"/>
        <v>663214</v>
      </c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</row>
    <row r="140" spans="2:57" s="35" customFormat="1">
      <c r="B140" s="45" t="s">
        <v>166</v>
      </c>
      <c r="O140" s="35">
        <f t="shared" ref="O140:Y140" si="174">+O27</f>
        <v>76388</v>
      </c>
      <c r="P140" s="35">
        <f t="shared" si="174"/>
        <v>8175</v>
      </c>
      <c r="Q140" s="35">
        <f t="shared" si="174"/>
        <v>80244</v>
      </c>
      <c r="R140" s="35">
        <f t="shared" si="174"/>
        <v>190659</v>
      </c>
      <c r="S140" s="35">
        <f t="shared" si="174"/>
        <v>127101</v>
      </c>
      <c r="T140" s="35">
        <f t="shared" si="174"/>
        <v>187974</v>
      </c>
      <c r="U140" s="35">
        <f t="shared" si="174"/>
        <v>204434</v>
      </c>
      <c r="V140" s="35">
        <f t="shared" si="174"/>
        <v>133475</v>
      </c>
      <c r="W140" s="35">
        <f t="shared" si="174"/>
        <v>158294</v>
      </c>
      <c r="X140" s="35">
        <f t="shared" si="174"/>
        <v>259942</v>
      </c>
      <c r="Y140" s="35">
        <f t="shared" si="174"/>
        <v>257138</v>
      </c>
      <c r="AA140" s="72"/>
      <c r="AB140" s="18"/>
      <c r="AC140" s="18"/>
      <c r="AR140" s="35">
        <f t="shared" ref="AR140:AS140" si="175">+AR27</f>
        <v>350608</v>
      </c>
      <c r="AS140" s="88">
        <f t="shared" si="175"/>
        <v>355466</v>
      </c>
      <c r="AT140" s="88">
        <f>+AT27</f>
        <v>652984</v>
      </c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</row>
    <row r="142" spans="2:57" s="26" customFormat="1">
      <c r="B142" s="24" t="s">
        <v>168</v>
      </c>
      <c r="N142" s="34"/>
      <c r="O142" s="34"/>
      <c r="P142" s="34"/>
      <c r="Q142" s="34"/>
      <c r="R142" s="34">
        <f t="shared" ref="R142:T142" si="176">+SUM(O139:R139)</f>
        <v>207869</v>
      </c>
      <c r="S142" s="34">
        <f t="shared" si="176"/>
        <v>322990</v>
      </c>
      <c r="T142" s="34">
        <f t="shared" si="176"/>
        <v>468697</v>
      </c>
      <c r="U142" s="34">
        <f>+SUM(R139:U139)</f>
        <v>400819</v>
      </c>
      <c r="V142" s="34">
        <f t="shared" ref="V142:W142" si="177">+SUM(S139:V139)</f>
        <v>663214</v>
      </c>
      <c r="W142" s="34">
        <f t="shared" si="177"/>
        <v>606725</v>
      </c>
      <c r="X142" s="34">
        <f t="shared" ref="X142:X143" si="178">+SUM(U139:X139)</f>
        <v>584462.49900000007</v>
      </c>
      <c r="Y142" s="34">
        <f t="shared" ref="Y142:Y143" si="179">+SUM(V139:Y139)</f>
        <v>737486</v>
      </c>
      <c r="Z142" s="34"/>
      <c r="AA142" s="73"/>
      <c r="AB142" s="22"/>
      <c r="AC142" s="22"/>
      <c r="AS142" s="32">
        <f>+U142</f>
        <v>400819</v>
      </c>
      <c r="AT142" s="32">
        <f>+AS142*1.2</f>
        <v>480982.8</v>
      </c>
      <c r="AU142" s="32">
        <f t="shared" ref="AU142:BE142" si="180">+AT142*1.1</f>
        <v>529081.08000000007</v>
      </c>
      <c r="AV142" s="32">
        <f t="shared" si="180"/>
        <v>581989.18800000008</v>
      </c>
      <c r="AW142" s="32">
        <f t="shared" si="180"/>
        <v>640188.10680000018</v>
      </c>
      <c r="AX142" s="32">
        <f t="shared" si="180"/>
        <v>704206.91748000029</v>
      </c>
      <c r="AY142" s="32">
        <f t="shared" si="180"/>
        <v>774627.60922800039</v>
      </c>
      <c r="AZ142" s="32">
        <f t="shared" si="180"/>
        <v>852090.37015080045</v>
      </c>
      <c r="BA142" s="32">
        <f t="shared" si="180"/>
        <v>937299.40716588055</v>
      </c>
      <c r="BB142" s="32">
        <f t="shared" si="180"/>
        <v>1031029.3478824687</v>
      </c>
      <c r="BC142" s="32">
        <f t="shared" si="180"/>
        <v>1134132.2826707156</v>
      </c>
      <c r="BD142" s="32">
        <f t="shared" si="180"/>
        <v>1247545.5109377874</v>
      </c>
      <c r="BE142" s="32">
        <f t="shared" si="180"/>
        <v>1372300.0620315662</v>
      </c>
    </row>
    <row r="143" spans="2:57">
      <c r="B143" s="19" t="s">
        <v>169</v>
      </c>
      <c r="R143" s="35">
        <f t="shared" ref="R143:T143" si="181">+SUM(O140:R140)</f>
        <v>355466</v>
      </c>
      <c r="S143" s="35">
        <f t="shared" si="181"/>
        <v>406179</v>
      </c>
      <c r="T143" s="35">
        <f t="shared" si="181"/>
        <v>585978</v>
      </c>
      <c r="U143" s="35">
        <f>+SUM(R140:U140)</f>
        <v>710168</v>
      </c>
      <c r="V143" s="35">
        <f t="shared" ref="V143:W143" si="182">+SUM(S140:V140)</f>
        <v>652984</v>
      </c>
      <c r="W143" s="35">
        <f t="shared" si="182"/>
        <v>684177</v>
      </c>
      <c r="X143" s="35">
        <f t="shared" si="178"/>
        <v>756145</v>
      </c>
      <c r="Y143" s="35">
        <f t="shared" si="179"/>
        <v>808849</v>
      </c>
    </row>
    <row r="145" spans="2:57" s="26" customFormat="1">
      <c r="B145" s="24" t="s">
        <v>170</v>
      </c>
      <c r="N145" s="34"/>
      <c r="O145" s="34"/>
      <c r="P145" s="34"/>
      <c r="Q145" s="34"/>
      <c r="R145" s="34">
        <f t="shared" ref="R145:T145" si="183">+R142-R143</f>
        <v>-147597</v>
      </c>
      <c r="S145" s="34">
        <f t="shared" si="183"/>
        <v>-83189</v>
      </c>
      <c r="T145" s="34">
        <f t="shared" si="183"/>
        <v>-117281</v>
      </c>
      <c r="U145" s="34">
        <f>+U142-U143</f>
        <v>-309349</v>
      </c>
      <c r="V145" s="34">
        <f t="shared" ref="V145:Y145" si="184">+V142-V143</f>
        <v>10230</v>
      </c>
      <c r="W145" s="34">
        <f t="shared" si="184"/>
        <v>-77452</v>
      </c>
      <c r="X145" s="34">
        <f t="shared" si="184"/>
        <v>-171682.50099999993</v>
      </c>
      <c r="Y145" s="34">
        <f t="shared" si="184"/>
        <v>-71363</v>
      </c>
      <c r="Z145" s="34"/>
      <c r="AA145" s="73"/>
      <c r="AB145" s="22"/>
      <c r="AC145" s="2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</row>
    <row r="148" spans="2:57">
      <c r="B148" s="19" t="s">
        <v>244</v>
      </c>
      <c r="W148" s="35">
        <v>280766000</v>
      </c>
    </row>
    <row r="149" spans="2:57">
      <c r="B149" s="24" t="s">
        <v>193</v>
      </c>
      <c r="U149" s="35">
        <v>54451</v>
      </c>
    </row>
    <row r="150" spans="2:57">
      <c r="B150" s="19" t="s">
        <v>13</v>
      </c>
      <c r="U150" s="35">
        <v>1812.75</v>
      </c>
    </row>
    <row r="151" spans="2:57">
      <c r="B151" s="19" t="s">
        <v>194</v>
      </c>
    </row>
  </sheetData>
  <conditionalFormatting sqref="BH45">
    <cfRule type="cellIs" dxfId="0" priority="1" operator="greaterThan">
      <formula>0</formula>
    </cfRule>
  </conditionalFormatting>
  <pageMargins left="0.7" right="0.7" top="0.75" bottom="0.75" header="0.3" footer="0.3"/>
  <ignoredErrors>
    <ignoredError sqref="AQ14:AS14 B76:E79 B80:E80 B75:E75 B81:E81 B82:E82 AT15:AT22 AT24:AT27" formulaRange="1"/>
    <ignoredError sqref="R23:R25 R27 N14:N28 R14 V25 AU25:BB25 BC25:BE25 P121:Q121 O93 J23:J27 F23:F27 Z25 Z26 R121:R135 V121:V133 V135" formula="1"/>
    <ignoredError sqref="AT23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1572-665D-DA4E-94FB-897703668EA5}">
  <dimension ref="B2:C8"/>
  <sheetViews>
    <sheetView zoomScale="22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baseColWidth="10" defaultRowHeight="14"/>
  <cols>
    <col min="1" max="1" width="4.33203125" style="3" customWidth="1"/>
    <col min="2" max="2" width="11.83203125" style="15" bestFit="1" customWidth="1"/>
    <col min="3" max="3" width="13.6640625" style="3" bestFit="1" customWidth="1"/>
    <col min="4" max="16384" width="10.83203125" style="3"/>
  </cols>
  <sheetData>
    <row r="2" spans="2:3">
      <c r="B2" s="15" t="s">
        <v>232</v>
      </c>
      <c r="C2" s="9">
        <v>600000000</v>
      </c>
    </row>
    <row r="4" spans="2:3">
      <c r="B4" s="15" t="s">
        <v>233</v>
      </c>
      <c r="C4" s="16">
        <v>1.75E-3</v>
      </c>
    </row>
    <row r="5" spans="2:3">
      <c r="B5" s="15" t="s">
        <v>234</v>
      </c>
      <c r="C5" s="17">
        <v>1.375E-2</v>
      </c>
    </row>
    <row r="6" spans="2:3">
      <c r="B6" s="15" t="s">
        <v>235</v>
      </c>
      <c r="C6" s="17">
        <v>1.06E-2</v>
      </c>
    </row>
    <row r="7" spans="2:3">
      <c r="C7" s="9">
        <f>+C2*(SUM(C5:C6))</f>
        <v>14610000</v>
      </c>
    </row>
    <row r="8" spans="2:3">
      <c r="C8" s="9">
        <f>+C2*C4</f>
        <v>1050000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6922-2FAB-DF4A-8A61-1C317B8CCF4A}">
  <dimension ref="B3:AW67"/>
  <sheetViews>
    <sheetView zoomScale="110" zoomScaleNormal="110" workbookViewId="0">
      <pane xSplit="2" ySplit="3" topLeftCell="F12" activePane="bottomRight" state="frozen"/>
      <selection pane="topRight" activeCell="B1" sqref="B1"/>
      <selection pane="bottomLeft" activeCell="A2" sqref="A2"/>
      <selection pane="bottomRight" activeCell="S58" sqref="S58"/>
    </sheetView>
  </sheetViews>
  <sheetFormatPr baseColWidth="10" defaultRowHeight="14"/>
  <cols>
    <col min="1" max="1" width="5" style="4" customWidth="1"/>
    <col min="2" max="2" width="23.33203125" style="27" bestFit="1" customWidth="1"/>
    <col min="3" max="10" width="5.5" style="27" bestFit="1" customWidth="1"/>
    <col min="11" max="12" width="5.5" style="23" bestFit="1" customWidth="1"/>
    <col min="13" max="13" width="7" style="23" bestFit="1" customWidth="1"/>
    <col min="14" max="21" width="5.6640625" style="23" bestFit="1" customWidth="1"/>
    <col min="22" max="22" width="5.83203125" style="23" bestFit="1" customWidth="1"/>
    <col min="23" max="25" width="5.83203125" style="27" bestFit="1" customWidth="1"/>
    <col min="26" max="37" width="9.1640625" style="4" bestFit="1" customWidth="1"/>
    <col min="38" max="43" width="10.1640625" style="4" bestFit="1" customWidth="1"/>
    <col min="44" max="44" width="9.1640625" style="4" bestFit="1" customWidth="1"/>
    <col min="45" max="45" width="10.1640625" style="4" bestFit="1" customWidth="1"/>
    <col min="46" max="47" width="9.1640625" style="4" bestFit="1" customWidth="1"/>
    <col min="48" max="48" width="10.5" style="4" bestFit="1" customWidth="1"/>
    <col min="49" max="49" width="14.1640625" style="4" bestFit="1" customWidth="1"/>
    <col min="50" max="158" width="9.1640625" style="4" bestFit="1" customWidth="1"/>
    <col min="159" max="239" width="10.1640625" style="4" bestFit="1" customWidth="1"/>
    <col min="240" max="16384" width="10.83203125" style="4"/>
  </cols>
  <sheetData>
    <row r="3" spans="2:49" s="20" customFormat="1">
      <c r="B3" s="27"/>
      <c r="C3" s="27" t="s">
        <v>187</v>
      </c>
      <c r="D3" s="27" t="s">
        <v>188</v>
      </c>
      <c r="E3" s="27" t="s">
        <v>189</v>
      </c>
      <c r="F3" s="27" t="s">
        <v>190</v>
      </c>
      <c r="G3" s="27" t="s">
        <v>183</v>
      </c>
      <c r="H3" s="27" t="s">
        <v>184</v>
      </c>
      <c r="I3" s="27" t="s">
        <v>185</v>
      </c>
      <c r="J3" s="27" t="s">
        <v>186</v>
      </c>
      <c r="K3" s="20" t="s">
        <v>0</v>
      </c>
      <c r="L3" s="20" t="s">
        <v>1</v>
      </c>
      <c r="M3" s="20" t="s">
        <v>2</v>
      </c>
      <c r="N3" s="20" t="s">
        <v>3</v>
      </c>
      <c r="O3" s="20" t="s">
        <v>4</v>
      </c>
      <c r="P3" s="20" t="s">
        <v>5</v>
      </c>
      <c r="Q3" s="20" t="s">
        <v>6</v>
      </c>
      <c r="R3" s="20" t="s">
        <v>7</v>
      </c>
      <c r="S3" s="20" t="s">
        <v>8</v>
      </c>
      <c r="T3" s="20" t="s">
        <v>9</v>
      </c>
      <c r="U3" s="20" t="s">
        <v>10</v>
      </c>
      <c r="V3" s="20" t="s">
        <v>11</v>
      </c>
      <c r="W3" s="27" t="s">
        <v>195</v>
      </c>
      <c r="X3" s="81" t="s">
        <v>196</v>
      </c>
      <c r="Y3" s="83" t="s">
        <v>197</v>
      </c>
      <c r="Z3" s="25" t="s">
        <v>198</v>
      </c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</row>
    <row r="4" spans="2:49">
      <c r="B4" s="27" t="s">
        <v>114</v>
      </c>
      <c r="C4" s="46">
        <f>+Model!C41/Model!$N$55</f>
        <v>2.3980900379343823E-2</v>
      </c>
      <c r="D4" s="46">
        <f>+Model!D41/Model!$N$55</f>
        <v>3.4309615398177805E-2</v>
      </c>
      <c r="E4" s="46">
        <f>+Model!E41/Model!$N$55</f>
        <v>2.2230911545734009E-2</v>
      </c>
      <c r="F4" s="46">
        <f>+Model!F41/Model!$N$55</f>
        <v>3.615735912129521E-2</v>
      </c>
      <c r="G4" s="46">
        <f>+Model!G41/Model!$N$55</f>
        <v>4.5417431009339801E-2</v>
      </c>
      <c r="H4" s="46">
        <f>+Model!H41/Model!$N$55</f>
        <v>4.4206759231470258E-2</v>
      </c>
      <c r="I4" s="46">
        <f>+Model!I41/Model!$N$55</f>
        <v>6.7199727931882669E-2</v>
      </c>
      <c r="J4" s="46">
        <f>+Model!J41/Model!$N$55</f>
        <v>4.8966188170522139E-2</v>
      </c>
      <c r="K4" s="46">
        <f>+Model!K41/Model!$N$55</f>
        <v>5.4394229209552787E-2</v>
      </c>
      <c r="L4" s="46">
        <f>+Model!L41/Model!$N$55</f>
        <v>5.8753431216211877E-2</v>
      </c>
      <c r="M4" s="46">
        <f>+Model!M41/Model!M$55</f>
        <v>7.8284716876703769E-2</v>
      </c>
      <c r="N4" s="46">
        <f>+Model!N41/Model!$N$55</f>
        <v>9.4155393836622789E-2</v>
      </c>
      <c r="O4" s="42">
        <f>+Model!O41/Model!$O$55</f>
        <v>9.6094526675179121E-2</v>
      </c>
      <c r="P4" s="46">
        <f>+Model!P41/Model!$P$55</f>
        <v>0.11277606180410191</v>
      </c>
      <c r="Q4" s="46">
        <f>+Model!Q41/Model!$Q$55</f>
        <v>0.11762133232948128</v>
      </c>
      <c r="R4" s="46">
        <f>+Model!R41/Model!$R$55</f>
        <v>0.10196169780589834</v>
      </c>
      <c r="S4" s="46">
        <f>+Model!S41/Model!$S$55</f>
        <v>0.11298899555200234</v>
      </c>
      <c r="T4" s="46">
        <f>+Model!T41/Model!$T$55</f>
        <v>0.10573117057730347</v>
      </c>
      <c r="U4" s="46">
        <f>+Model!U41/Model!U$55</f>
        <v>0.10880448285170108</v>
      </c>
      <c r="V4" s="46">
        <f>+Model!V41/Model!V$55</f>
        <v>0.12255811625445404</v>
      </c>
      <c r="W4" s="92">
        <f>+Model!W41/Model!W$55</f>
        <v>9.5227853168661766E-2</v>
      </c>
      <c r="X4" s="92">
        <f>+Model!X41/Model!X$55</f>
        <v>7.9588427545965554E-2</v>
      </c>
      <c r="Y4" s="92">
        <f>+Model!Y41/Model!Y$55</f>
        <v>5.3777247959900472E-2</v>
      </c>
      <c r="Z4" s="46"/>
      <c r="AV4" s="4" t="s">
        <v>15</v>
      </c>
      <c r="AW4" s="4">
        <f>Main!G7</f>
        <v>840217</v>
      </c>
    </row>
    <row r="5" spans="2:49" s="10" customFormat="1">
      <c r="B5" s="27" t="s">
        <v>115</v>
      </c>
      <c r="C5" s="46">
        <f>+Model!C42/Model!$N$55</f>
        <v>4.2808413737872716E-3</v>
      </c>
      <c r="D5" s="46">
        <f>+Model!D42/Model!$N$55</f>
        <v>4.8857854595576854E-3</v>
      </c>
      <c r="E5" s="46">
        <f>+Model!E42/Model!$N$55</f>
        <v>4.6761707666255793E-3</v>
      </c>
      <c r="F5" s="46">
        <f>+Model!F42/Model!$N$55</f>
        <v>7.924806703908863E-3</v>
      </c>
      <c r="G5" s="46">
        <f>+Model!G42/Model!$N$55</f>
        <v>5.2288091299540571E-3</v>
      </c>
      <c r="H5" s="46">
        <f>+Model!H42/Model!$N$55</f>
        <v>4.6432593008194174E-3</v>
      </c>
      <c r="I5" s="46">
        <f>+Model!I42/Model!$N$55</f>
        <v>5.2634837099998352E-3</v>
      </c>
      <c r="J5" s="46">
        <f>+Model!J42/Model!$N$55</f>
        <v>1.2207019388771391E-2</v>
      </c>
      <c r="K5" s="46">
        <f>+Model!K42/Model!$N$55</f>
        <v>9.7412061738775431E-3</v>
      </c>
      <c r="L5" s="46">
        <f>+Model!L42/Model!$N$55</f>
        <v>9.6700938995463708E-3</v>
      </c>
      <c r="M5" s="46">
        <f>+Model!M42/Model!M$55</f>
        <v>1.0022201579323511E-2</v>
      </c>
      <c r="N5" s="46">
        <f>+Model!N42/Model!$N$55</f>
        <v>1.5778892936650912E-2</v>
      </c>
      <c r="O5" s="42">
        <f>+Model!O42/Model!$O$55</f>
        <v>1.2188830551419691E-2</v>
      </c>
      <c r="P5" s="46">
        <f>+Model!P42/Model!$P$55</f>
        <v>1.2663755377198573E-2</v>
      </c>
      <c r="Q5" s="46">
        <f>+Model!Q42/Model!$Q$55</f>
        <v>1.2317193570611758E-2</v>
      </c>
      <c r="R5" s="46">
        <f>+Model!R42/Model!$R$55</f>
        <v>1.7525041523447669E-2</v>
      </c>
      <c r="S5" s="46">
        <f>+Model!S42/Model!$S$55</f>
        <v>1.1131621927842943E-2</v>
      </c>
      <c r="T5" s="46">
        <f>+Model!T42/Model!$T$55</f>
        <v>1.1976513079598397E-2</v>
      </c>
      <c r="U5" s="46">
        <f>+Model!U42/Model!$U$55</f>
        <v>1.1482192484813809E-2</v>
      </c>
      <c r="V5" s="46">
        <f>+Model!V42/Model!V$55</f>
        <v>1.4970634114930532E-2</v>
      </c>
      <c r="W5" s="92">
        <f>+Model!W42/Model!W$55</f>
        <v>1.3807244709774175E-2</v>
      </c>
      <c r="X5" s="92">
        <f>+Model!X42/Model!X$55</f>
        <v>1.2777953645160463E-2</v>
      </c>
      <c r="Y5" s="92">
        <f>+Model!Y42/Model!Y$55</f>
        <v>1.0454955432664798E-2</v>
      </c>
      <c r="Z5" s="46"/>
      <c r="AV5" s="4" t="s">
        <v>39</v>
      </c>
      <c r="AW5" s="4" t="e">
        <f>+#REF!+AW4</f>
        <v>#REF!</v>
      </c>
    </row>
    <row r="6" spans="2:49">
      <c r="B6" s="27" t="s">
        <v>116</v>
      </c>
      <c r="C6" s="46">
        <f>+Model!C43/Model!$N$55</f>
        <v>3.5887210839469622E-3</v>
      </c>
      <c r="D6" s="46">
        <f>+Model!D43/Model!$N$55</f>
        <v>3.7468136607658499E-3</v>
      </c>
      <c r="E6" s="46">
        <f>+Model!E43/Model!$N$55</f>
        <v>4.2381348288721317E-3</v>
      </c>
      <c r="F6" s="46">
        <f>+Model!F43/Model!$N$55</f>
        <v>3.8906054220856309E-3</v>
      </c>
      <c r="G6" s="46">
        <f>+Model!G43/Model!$N$55</f>
        <v>3.4094711362526848E-3</v>
      </c>
      <c r="H6" s="46">
        <f>+Model!H43/Model!$N$55</f>
        <v>4.0847438900255533E-3</v>
      </c>
      <c r="I6" s="46">
        <f>+Model!I43/Model!$N$55</f>
        <v>3.582060430152858E-3</v>
      </c>
      <c r="J6" s="46">
        <f>+Model!J43/Model!$N$55</f>
        <v>4.2226586038799484E-3</v>
      </c>
      <c r="K6" s="46">
        <f>+Model!K43/Model!$N$55</f>
        <v>3.6790317133317298E-3</v>
      </c>
      <c r="L6" s="46">
        <f>+Model!L43/Model!$N$55</f>
        <v>4.1421430536041585E-3</v>
      </c>
      <c r="M6" s="46">
        <f>+Model!M43/Model!M$55</f>
        <v>4.8342050536489224E-3</v>
      </c>
      <c r="N6" s="46">
        <f>+Model!N43/Model!$N$55</f>
        <v>5.1122476885572315E-3</v>
      </c>
      <c r="O6" s="42">
        <f>+Model!O43/Model!$O$55</f>
        <v>4.4819079579171217E-3</v>
      </c>
      <c r="P6" s="46">
        <f>+Model!P43/Model!$P$55</f>
        <v>4.502312700495649E-3</v>
      </c>
      <c r="Q6" s="46">
        <f>+Model!Q43/Model!$Q$55</f>
        <v>4.5215958406432232E-3</v>
      </c>
      <c r="R6" s="46">
        <f>+Model!R43/Model!$R$55</f>
        <v>4.4349255797853926E-3</v>
      </c>
      <c r="S6" s="46">
        <f>+Model!S43/Model!$S$55</f>
        <v>3.9524746794590846E-3</v>
      </c>
      <c r="T6" s="46">
        <f>+Model!T43/Model!$T$55</f>
        <v>3.9805684844791212E-3</v>
      </c>
      <c r="U6" s="46">
        <f>+Model!U43/Model!$U$55</f>
        <v>4.2926763320536784E-3</v>
      </c>
      <c r="V6" s="46">
        <f>+Model!V43/Model!V$55</f>
        <v>4.9340458785400417E-3</v>
      </c>
      <c r="W6" s="92">
        <f>+Model!W43/Model!W$55</f>
        <v>4.6158672834557216E-3</v>
      </c>
      <c r="X6" s="92">
        <f>+Model!X43/Model!X$55</f>
        <v>4.5003037277230691E-3</v>
      </c>
      <c r="Y6" s="92">
        <f>+Model!Y43/Model!Y$55</f>
        <v>4.9508341624572398E-3</v>
      </c>
      <c r="Z6" s="46"/>
      <c r="AV6" s="4" t="s">
        <v>13</v>
      </c>
      <c r="AW6" s="4">
        <f>+Main!G5</f>
        <v>27721.112000000001</v>
      </c>
    </row>
    <row r="7" spans="2:49" s="10" customFormat="1">
      <c r="B7" s="27" t="s">
        <v>117</v>
      </c>
      <c r="C7" s="46">
        <f>+Model!C44/Model!$N$55</f>
        <v>9.2118800988284302E-3</v>
      </c>
      <c r="D7" s="46">
        <f>+Model!D44/Model!$N$55</f>
        <v>9.8530659773020599E-3</v>
      </c>
      <c r="E7" s="46">
        <f>+Model!E44/Model!$N$55</f>
        <v>9.6166127676113565E-3</v>
      </c>
      <c r="F7" s="46">
        <f>+Model!F44/Model!$N$55</f>
        <v>9.9749167614177313E-3</v>
      </c>
      <c r="G7" s="46">
        <f>+Model!G44/Model!$N$55</f>
        <v>1.0919945993851824E-2</v>
      </c>
      <c r="H7" s="46">
        <f>+Model!H44/Model!$N$55</f>
        <v>1.3685684531062546E-2</v>
      </c>
      <c r="I7" s="46">
        <f>+Model!I44/Model!$N$55</f>
        <v>1.08541230622395E-2</v>
      </c>
      <c r="J7" s="46">
        <f>+Model!J44/Model!$N$55</f>
        <v>1.060395674179623E-2</v>
      </c>
      <c r="K7" s="46">
        <f>+Model!K44/Model!$N$55</f>
        <v>6.7031644374372628E-3</v>
      </c>
      <c r="L7" s="46">
        <f>+Model!L44/Model!$N$55</f>
        <v>8.6423941994325116E-3</v>
      </c>
      <c r="M7" s="46">
        <f>+Model!M44/Model!M$55</f>
        <v>1.259858114836216E-2</v>
      </c>
      <c r="N7" s="46">
        <f>+Model!N44/Model!$N$55</f>
        <v>1.1181278704479328E-2</v>
      </c>
      <c r="O7" s="42">
        <f>+Model!O44/Model!$O$55</f>
        <v>9.753407671351591E-3</v>
      </c>
      <c r="P7" s="46">
        <f>+Model!P44/Model!$P$55</f>
        <v>9.9915663106044574E-3</v>
      </c>
      <c r="Q7" s="46">
        <f>+Model!Q44/Model!$Q$55</f>
        <v>9.0193975467181848E-3</v>
      </c>
      <c r="R7" s="46">
        <f>+Model!R44/Model!$R$55</f>
        <v>9.2079419127886857E-3</v>
      </c>
      <c r="S7" s="46">
        <f>+Model!S44/Model!$S$55</f>
        <v>1.0020232364008867E-2</v>
      </c>
      <c r="T7" s="46">
        <f>+Model!T44/Model!$T$55</f>
        <v>1.13303569648636E-2</v>
      </c>
      <c r="U7" s="46">
        <f>+Model!U44/Model!$U$55</f>
        <v>1.0987591675798977E-2</v>
      </c>
      <c r="V7" s="46">
        <f>+Model!V44/Model!V$55</f>
        <v>1.1837741948769255E-2</v>
      </c>
      <c r="W7" s="92">
        <f>+Model!W44/Model!W$55</f>
        <v>1.0886068081104554E-2</v>
      </c>
      <c r="X7" s="92">
        <f>+Model!X44/Model!X$55</f>
        <v>1.1262370640712715E-2</v>
      </c>
      <c r="Y7" s="92">
        <f>+Model!Y44/Model!Y$55</f>
        <v>1.1212278162599816E-2</v>
      </c>
      <c r="Z7" s="46"/>
      <c r="AV7" s="10" t="s">
        <v>40</v>
      </c>
      <c r="AW7" s="10" t="e">
        <f>+AW5/AW6</f>
        <v>#REF!</v>
      </c>
    </row>
    <row r="8" spans="2:49" s="10" customFormat="1">
      <c r="B8" s="27" t="s">
        <v>118</v>
      </c>
      <c r="C8" s="46">
        <f>+Model!C45/Model!$N$55</f>
        <v>0</v>
      </c>
      <c r="D8" s="46">
        <f>+Model!D45/Model!$N$55</f>
        <v>0</v>
      </c>
      <c r="E8" s="46">
        <f>+Model!E45/Model!$N$55</f>
        <v>2.5439779461834846E-3</v>
      </c>
      <c r="F8" s="46">
        <f>+Model!F45/Model!$N$55</f>
        <v>1.8322674981252219E-3</v>
      </c>
      <c r="G8" s="46">
        <f>+Model!G45/Model!$N$55</f>
        <v>0</v>
      </c>
      <c r="H8" s="46">
        <f>+Model!H45/Model!$N$55</f>
        <v>6.334281758193192E-3</v>
      </c>
      <c r="I8" s="46">
        <f>+Model!I45/Model!$N$55</f>
        <v>4.250476628549443E-3</v>
      </c>
      <c r="J8" s="46">
        <f>+Model!J45/Model!$N$55</f>
        <v>0</v>
      </c>
      <c r="K8" s="46">
        <f>+Model!K45/Model!$N$55</f>
        <v>0</v>
      </c>
      <c r="L8" s="46">
        <f>+Model!L45/Model!$N$55</f>
        <v>0</v>
      </c>
      <c r="M8" s="46">
        <f>+Model!M45/Model!M$55</f>
        <v>7.7441247225308867E-4</v>
      </c>
      <c r="N8" s="46">
        <f>+Model!N45/Model!$N$55</f>
        <v>5.4274533342841087E-3</v>
      </c>
      <c r="O8" s="42">
        <f>+Model!O45/Model!$O$55</f>
        <v>1.0877005766651147E-2</v>
      </c>
      <c r="P8" s="46">
        <f>+Model!P45/Model!$P$55</f>
        <v>1.8219301621990831E-2</v>
      </c>
      <c r="Q8" s="46">
        <f>+Model!Q45/Model!$Q$55</f>
        <v>1.0731509826622441E-2</v>
      </c>
      <c r="R8" s="46">
        <f>+Model!R45/Model!$R$55</f>
        <v>4.74237685849292E-2</v>
      </c>
      <c r="S8" s="46">
        <f>+Model!S45/Model!$S$55</f>
        <v>3.9700708677539116E-2</v>
      </c>
      <c r="T8" s="46">
        <f>+Model!T45/Model!$T$55</f>
        <v>4.5030309531562132E-2</v>
      </c>
      <c r="U8" s="46">
        <f>+Model!U45/Model!$U$55</f>
        <v>4.8070883327169682E-2</v>
      </c>
      <c r="V8" s="46">
        <f>+Model!V45/Model!V$55</f>
        <v>1.4138673354017866E-2</v>
      </c>
      <c r="W8" s="92">
        <f>+Model!W45/Model!W$55</f>
        <v>7.8396451540428957E-3</v>
      </c>
      <c r="X8" s="92">
        <f>+Model!X45/Model!X$55</f>
        <v>1.4953243042068428E-2</v>
      </c>
      <c r="Y8" s="92">
        <f>+Model!Y45/Model!Y$55</f>
        <v>1.6437849003958525E-2</v>
      </c>
      <c r="Z8" s="46"/>
      <c r="AV8" s="4" t="s">
        <v>41</v>
      </c>
      <c r="AW8" s="4">
        <f>+Main!G4</f>
        <v>1570.61</v>
      </c>
    </row>
    <row r="9" spans="2:49">
      <c r="B9" s="27" t="s">
        <v>119</v>
      </c>
      <c r="C9" s="46">
        <f>+Model!C46/Model!$N$55</f>
        <v>8.9062148601536967E-2</v>
      </c>
      <c r="D9" s="46">
        <f>+Model!D46/Model!$N$55</f>
        <v>7.7276513516033762E-2</v>
      </c>
      <c r="E9" s="46">
        <f>+Model!E46/Model!$N$55</f>
        <v>8.5193092353491082E-2</v>
      </c>
      <c r="F9" s="46">
        <f>+Model!F46/Model!$N$55</f>
        <v>6.3546947030563003E-2</v>
      </c>
      <c r="G9" s="46">
        <f>+Model!G46/Model!$N$55</f>
        <v>5.8528340298287587E-2</v>
      </c>
      <c r="H9" s="46">
        <f>+Model!H46/Model!$N$55</f>
        <v>6.8226448124085626E-2</v>
      </c>
      <c r="I9" s="46">
        <f>+Model!I46/Model!$N$55</f>
        <v>6.4213991917884322E-2</v>
      </c>
      <c r="J9" s="46">
        <f>+Model!J46/Model!$N$55</f>
        <v>8.3619610845425033E-2</v>
      </c>
      <c r="K9" s="46">
        <f>+Model!K46/Model!$N$55</f>
        <v>8.9598135330380177E-2</v>
      </c>
      <c r="L9" s="46">
        <f>+Model!L46/Model!$N$55</f>
        <v>8.1860806440617134E-2</v>
      </c>
      <c r="M9" s="46">
        <f>+Model!M46/Model!M$55</f>
        <v>8.6837073863032271E-2</v>
      </c>
      <c r="N9" s="46">
        <f>+Model!N46/Model!$N$55</f>
        <v>7.8391193518635327E-2</v>
      </c>
      <c r="O9" s="42">
        <f>+Model!O46/Model!$O$55</f>
        <v>7.3173701735219601E-2</v>
      </c>
      <c r="P9" s="46">
        <f>+Model!P46/Model!$P$55</f>
        <v>5.6058429881293358E-2</v>
      </c>
      <c r="Q9" s="46">
        <f>+Model!Q46/Model!$Q$55</f>
        <v>6.0873741929526742E-2</v>
      </c>
      <c r="R9" s="46">
        <f>+Model!R46/Model!$R$55</f>
        <v>5.7625690604028647E-2</v>
      </c>
      <c r="S9" s="46">
        <f>+Model!S46/Model!$S$55</f>
        <v>5.9128559345421793E-2</v>
      </c>
      <c r="T9" s="46">
        <f>+Model!T46/Model!$T$55</f>
        <v>5.1018486963120058E-2</v>
      </c>
      <c r="U9" s="46">
        <f>+Model!U46/Model!$U$55</f>
        <v>4.5496937262195919E-2</v>
      </c>
      <c r="V9" s="46">
        <f>+Model!V46/Model!V$55</f>
        <v>3.9222403027345129E-2</v>
      </c>
      <c r="W9" s="92">
        <f>+Model!W46/Model!W$55</f>
        <v>3.7168617236024486E-2</v>
      </c>
      <c r="X9" s="92">
        <f>+Model!X46/Model!X$55</f>
        <v>3.677183264541347E-2</v>
      </c>
      <c r="Y9" s="92">
        <f>+Model!Y46/Model!Y$55</f>
        <v>6.1207459636223996E-2</v>
      </c>
      <c r="Z9" s="46"/>
      <c r="AS9" s="10"/>
      <c r="AT9" s="13"/>
      <c r="AV9" s="10" t="s">
        <v>98</v>
      </c>
      <c r="AW9" s="6" t="e">
        <f>+#REF!/AW8-1</f>
        <v>#REF!</v>
      </c>
    </row>
    <row r="10" spans="2:49">
      <c r="B10" s="32" t="s">
        <v>120</v>
      </c>
      <c r="C10" s="46">
        <f>+Model!C47/Model!$N$55</f>
        <v>0.13012449153744346</v>
      </c>
      <c r="D10" s="46">
        <f>+Model!D47/Model!$N$55</f>
        <v>0.13007179401183716</v>
      </c>
      <c r="E10" s="46">
        <f>+Model!E47/Model!$N$55</f>
        <v>0.12849890020851765</v>
      </c>
      <c r="F10" s="46">
        <f>+Model!F47/Model!$N$55</f>
        <v>0.12332690253739566</v>
      </c>
      <c r="G10" s="46">
        <f>+Model!G47/Model!$N$55</f>
        <v>0.12350399756768596</v>
      </c>
      <c r="H10" s="46">
        <f>+Model!H47/Model!$N$55</f>
        <v>0.14118117683565659</v>
      </c>
      <c r="I10" s="46">
        <f>+Model!I47/Model!$N$55</f>
        <v>0.15536386368070862</v>
      </c>
      <c r="J10" s="46">
        <f>+Model!J47/Model!$N$55</f>
        <v>0.15961943375039475</v>
      </c>
      <c r="K10" s="46">
        <f>+Model!K47/Model!$N$55</f>
        <v>0.16411576686457952</v>
      </c>
      <c r="L10" s="46">
        <f>+Model!L47/Model!$N$55</f>
        <v>0.16306886880941204</v>
      </c>
      <c r="M10" s="46">
        <f>+Model!M47/Model!M$55</f>
        <v>0.19335119099332373</v>
      </c>
      <c r="N10" s="46">
        <f>+Model!N47/Model!$N$55</f>
        <v>0.21004646001922969</v>
      </c>
      <c r="O10" s="42">
        <f>+Model!O47/Model!$O$55</f>
        <v>0.20656938035773828</v>
      </c>
      <c r="P10" s="46">
        <f>+Model!P47/Model!$P$55</f>
        <v>0.21421142769568477</v>
      </c>
      <c r="Q10" s="46">
        <f>+Model!Q47/Model!$Q$55</f>
        <v>0.21508477104360363</v>
      </c>
      <c r="R10" s="46">
        <f>+Model!R47/Model!$R$55</f>
        <v>0.23817906601087793</v>
      </c>
      <c r="S10" s="46">
        <f>+Model!S47/Model!$S$55</f>
        <v>0.23692259254627415</v>
      </c>
      <c r="T10" s="46">
        <f>+Model!T47/Model!$T$55</f>
        <v>0.22906740560092678</v>
      </c>
      <c r="U10" s="46">
        <f>+Model!U47/Model!$U$55</f>
        <v>0.22913476393373314</v>
      </c>
      <c r="V10" s="46">
        <f>+Model!V47/Model!V$55</f>
        <v>0.20766161457805685</v>
      </c>
      <c r="W10" s="92">
        <f>+Model!W47/Model!W$55</f>
        <v>0.16954529563306361</v>
      </c>
      <c r="X10" s="92">
        <f>+Model!X47/Model!X$55</f>
        <v>0.1598541312470437</v>
      </c>
      <c r="Y10" s="92">
        <f>+Model!Y47/Model!Y$55</f>
        <v>0.15804062435780486</v>
      </c>
      <c r="Z10" s="46"/>
      <c r="AS10" s="47"/>
      <c r="AT10" s="13"/>
    </row>
    <row r="11" spans="2:49">
      <c r="B11" s="27" t="s">
        <v>121</v>
      </c>
      <c r="C11" s="46">
        <f>+Model!C48/Model!$N$55</f>
        <v>0.2591037424254653</v>
      </c>
      <c r="D11" s="46">
        <f>+Model!D48/Model!$N$55</f>
        <v>0.26021215357743716</v>
      </c>
      <c r="E11" s="46">
        <f>+Model!E48/Model!$N$55</f>
        <v>0.26089898452455862</v>
      </c>
      <c r="F11" s="46">
        <f>+Model!F48/Model!$N$55</f>
        <v>0.26218801693529997</v>
      </c>
      <c r="G11" s="46">
        <f>+Model!G48/Model!$N$55</f>
        <v>0.26323628630154267</v>
      </c>
      <c r="H11" s="46">
        <f>+Model!H48/Model!$N$55</f>
        <v>0.26132271964681297</v>
      </c>
      <c r="I11" s="46">
        <f>+Model!I48/Model!$N$55</f>
        <v>0.26670825004251064</v>
      </c>
      <c r="J11" s="46">
        <f>+Model!J48/Model!$N$55</f>
        <v>0.27019804082745696</v>
      </c>
      <c r="K11" s="46">
        <f>+Model!K48/Model!$N$55</f>
        <v>0.26773555793946013</v>
      </c>
      <c r="L11" s="46">
        <f>+Model!L48/Model!$N$55</f>
        <v>0.27189102230065249</v>
      </c>
      <c r="M11" s="46">
        <f>+Model!M48/Model!M$55</f>
        <v>0.28867237471842999</v>
      </c>
      <c r="N11" s="46">
        <f>+Model!N48/Model!$N$55</f>
        <v>0.28575967890947074</v>
      </c>
      <c r="O11" s="42">
        <f>+Model!O48/Model!$O$55</f>
        <v>0.28150761127270435</v>
      </c>
      <c r="P11" s="46">
        <f>+Model!P48/Model!$P$55</f>
        <v>0.27895940674795711</v>
      </c>
      <c r="Q11" s="46">
        <f>+Model!Q48/Model!$Q$55</f>
        <v>0.27473648883806495</v>
      </c>
      <c r="R11" s="46">
        <f>+Model!R48/Model!$R$55</f>
        <v>0.26569489053641049</v>
      </c>
      <c r="S11" s="46">
        <f>+Model!S48/Model!$S$55</f>
        <v>0.26242551909162037</v>
      </c>
      <c r="T11" s="46">
        <f>+Model!T48/Model!$T$55</f>
        <v>0.26361777176133233</v>
      </c>
      <c r="U11" s="46">
        <f>+Model!U48/Model!$U$55</f>
        <v>0.25940499733914424</v>
      </c>
      <c r="V11" s="46">
        <f>+Model!V48/Model!V$55</f>
        <v>0.26593854943921186</v>
      </c>
      <c r="W11" s="92">
        <f>+Model!W48/Model!W$55</f>
        <v>0.27515854093938125</v>
      </c>
      <c r="X11" s="92">
        <f>+Model!X48/Model!X$55</f>
        <v>0.27704429535779368</v>
      </c>
      <c r="Y11" s="92">
        <f>+Model!Y48/Model!Y$55</f>
        <v>0.27453469683694914</v>
      </c>
      <c r="Z11" s="46"/>
      <c r="AS11" s="48"/>
      <c r="AT11" s="13"/>
    </row>
    <row r="12" spans="2:49">
      <c r="B12" s="27" t="s">
        <v>122</v>
      </c>
      <c r="C12" s="46">
        <f>+Model!C49/Model!$N$55</f>
        <v>0</v>
      </c>
      <c r="D12" s="46">
        <f>+Model!D49/Model!$N$55</f>
        <v>0</v>
      </c>
      <c r="E12" s="46">
        <f>+Model!E49/Model!$N$55</f>
        <v>0</v>
      </c>
      <c r="F12" s="46">
        <f>+Model!F49/Model!$N$55</f>
        <v>0</v>
      </c>
      <c r="G12" s="46">
        <f>+Model!G49/Model!$N$55</f>
        <v>9.6726406201147041E-3</v>
      </c>
      <c r="H12" s="46">
        <f>+Model!H49/Model!$N$55</f>
        <v>0</v>
      </c>
      <c r="I12" s="46">
        <f>+Model!I49/Model!$N$55</f>
        <v>0</v>
      </c>
      <c r="J12" s="46">
        <f>+Model!J49/Model!$N$55</f>
        <v>0</v>
      </c>
      <c r="K12" s="46">
        <f>+Model!K49/Model!$N$55</f>
        <v>0</v>
      </c>
      <c r="L12" s="46">
        <f>+Model!L49/Model!$N$55</f>
        <v>0</v>
      </c>
      <c r="M12" s="46">
        <f>+Model!M49/Model!M$55</f>
        <v>0</v>
      </c>
      <c r="N12" s="46">
        <f>+Model!N49/Model!$N$55</f>
        <v>0</v>
      </c>
      <c r="O12" s="42">
        <f>+Model!O49/Model!$O$55</f>
        <v>0</v>
      </c>
      <c r="P12" s="46">
        <f>+Model!P49/Model!$P$55</f>
        <v>0</v>
      </c>
      <c r="Q12" s="46">
        <f>+Model!Q49/Model!$Q$55</f>
        <v>1.0915825585442251E-2</v>
      </c>
      <c r="R12" s="46">
        <f>+Model!R49/Model!$R$55</f>
        <v>1.7160788985754571E-2</v>
      </c>
      <c r="S12" s="46">
        <f>+Model!S49/Model!$S$55</f>
        <v>1.8039833411909043E-2</v>
      </c>
      <c r="T12" s="46">
        <f>+Model!T49/Model!$T$55</f>
        <v>2.3861260599317709E-2</v>
      </c>
      <c r="U12" s="46">
        <f>+Model!U49/Model!$U$55</f>
        <v>2.8418271742858277E-2</v>
      </c>
      <c r="V12" s="46">
        <f>+Model!V49/Model!V$55</f>
        <v>4.1231434198141639E-2</v>
      </c>
      <c r="W12" s="92">
        <f>+Model!W49/Model!W$55</f>
        <v>5.150375189976214E-2</v>
      </c>
      <c r="X12" s="92">
        <f>+Model!X49/Model!X$55</f>
        <v>5.4987398660664634E-2</v>
      </c>
      <c r="Y12" s="92">
        <f>+Model!Y49/Model!Y$55</f>
        <v>6.4924692373394863E-2</v>
      </c>
      <c r="Z12" s="46"/>
      <c r="AS12" s="10"/>
      <c r="AT12" s="13"/>
    </row>
    <row r="13" spans="2:49">
      <c r="B13" s="27" t="s">
        <v>123</v>
      </c>
      <c r="C13" s="46">
        <f>+Model!C50/Model!$N$55</f>
        <v>0</v>
      </c>
      <c r="D13" s="46">
        <f>+Model!D50/Model!$N$55</f>
        <v>0</v>
      </c>
      <c r="E13" s="46">
        <f>+Model!E50/Model!$N$55</f>
        <v>0</v>
      </c>
      <c r="F13" s="46">
        <f>+Model!F50/Model!$N$55</f>
        <v>5.7988827340965136E-3</v>
      </c>
      <c r="G13" s="46">
        <f>+Model!G50/Model!$N$55</f>
        <v>0</v>
      </c>
      <c r="H13" s="46">
        <f>+Model!H50/Model!$N$55</f>
        <v>0</v>
      </c>
      <c r="I13" s="46">
        <f>+Model!I50/Model!$N$55</f>
        <v>5.7947688008707435E-3</v>
      </c>
      <c r="J13" s="46">
        <f>+Model!J50/Model!$N$55</f>
        <v>5.9160318802398779E-3</v>
      </c>
      <c r="K13" s="46">
        <f>+Model!K50/Model!$N$55</f>
        <v>5.5600787054196563E-3</v>
      </c>
      <c r="L13" s="46">
        <f>+Model!L50/Model!$N$55</f>
        <v>5.5916188601505623E-3</v>
      </c>
      <c r="M13" s="46">
        <f>+Model!M50/Model!M$55</f>
        <v>5.8115362751691652E-3</v>
      </c>
      <c r="N13" s="46">
        <f>+Model!N50/Model!$N$55</f>
        <v>5.4568385716110401E-3</v>
      </c>
      <c r="O13" s="42">
        <f>+Model!O50/Model!$O$55</f>
        <v>5.3694544191785322E-3</v>
      </c>
      <c r="P13" s="46">
        <f>+Model!P50/Model!$P$55</f>
        <v>5.2101169264276524E-3</v>
      </c>
      <c r="Q13" s="46">
        <f>+Model!Q50/Model!$Q$55</f>
        <v>4.8992833348722575E-3</v>
      </c>
      <c r="R13" s="46">
        <f>+Model!R50/Model!$R$55</f>
        <v>4.6703816400621443E-3</v>
      </c>
      <c r="S13" s="46">
        <f>+Model!S50/Model!$S$55</f>
        <v>4.5312624256817185E-3</v>
      </c>
      <c r="T13" s="46">
        <f>+Model!T50/Model!$T$55</f>
        <v>4.4106008840504177E-3</v>
      </c>
      <c r="U13" s="46">
        <f>+Model!U50/Model!$U$55</f>
        <v>4.2083316547384579E-3</v>
      </c>
      <c r="V13" s="46">
        <f>+Model!V50/Model!V$55</f>
        <v>4.6379369898321915E-3</v>
      </c>
      <c r="W13" s="92">
        <f>+Model!W50/Model!W$55</f>
        <v>4.7735848443938439E-3</v>
      </c>
      <c r="X13" s="92">
        <f>+Model!X50/Model!X$55</f>
        <v>4.7201549316948739E-3</v>
      </c>
      <c r="Y13" s="92">
        <f>+Model!Y50/Model!Y$55</f>
        <v>4.543349648848974E-3</v>
      </c>
      <c r="Z13" s="46"/>
      <c r="AS13" s="10"/>
      <c r="AT13" s="13"/>
    </row>
    <row r="14" spans="2:49">
      <c r="B14" s="27" t="s">
        <v>124</v>
      </c>
      <c r="C14" s="46">
        <f>+Model!C52/Model!$N$55</f>
        <v>0</v>
      </c>
      <c r="D14" s="46">
        <f>+Model!D52/Model!$N$55</f>
        <v>0</v>
      </c>
      <c r="E14" s="46">
        <f>+Model!E52/Model!$N$55</f>
        <v>0</v>
      </c>
      <c r="F14" s="46">
        <f>+Model!F52/Model!$N$55</f>
        <v>0</v>
      </c>
      <c r="G14" s="46">
        <f>+Model!G52/Model!$N$55</f>
        <v>0</v>
      </c>
      <c r="H14" s="46">
        <f>+Model!H52/Model!$N$55</f>
        <v>0</v>
      </c>
      <c r="I14" s="46">
        <f>+Model!I52/Model!$N$55</f>
        <v>0</v>
      </c>
      <c r="J14" s="46">
        <f>+Model!J52/Model!$N$55</f>
        <v>0</v>
      </c>
      <c r="K14" s="46">
        <f>+Model!K52/Model!$N$55</f>
        <v>0.46036734681083979</v>
      </c>
      <c r="L14" s="46">
        <f>+Model!L52/Model!$N$55</f>
        <v>0.46442583988885328</v>
      </c>
      <c r="M14" s="46">
        <f>+Model!M51/Model!M$55</f>
        <v>1.9510171960476612E-3</v>
      </c>
      <c r="N14" s="46">
        <f>+Model!N52/Model!$N$55</f>
        <v>0.49082475349703913</v>
      </c>
      <c r="O14" s="42">
        <f>+Model!O52/Model!$O$55</f>
        <v>0.49772821909893961</v>
      </c>
      <c r="P14" s="46">
        <f>+Model!P52/Model!$P$55</f>
        <v>0.49052173607002736</v>
      </c>
      <c r="Q14" s="46">
        <f>+Model!Q52/Model!$Q$55</f>
        <v>0.48089330994168661</v>
      </c>
      <c r="R14" s="46">
        <f>+Model!R52/Model!$R$55</f>
        <v>0.46406729213456011</v>
      </c>
      <c r="S14" s="46">
        <f>+Model!S52/Model!$S$55</f>
        <v>0.46484266942307756</v>
      </c>
      <c r="T14" s="46">
        <f>+Model!T52/Model!$T$55</f>
        <v>0.46609183454226549</v>
      </c>
      <c r="U14" s="46">
        <f>+Model!U52/Model!$U$55</f>
        <v>0.46684477124109042</v>
      </c>
      <c r="V14" s="46">
        <f>+Model!V51/Model!V$55</f>
        <v>0</v>
      </c>
      <c r="W14" s="92">
        <f>+Model!W51/Model!W$55</f>
        <v>0</v>
      </c>
      <c r="X14" s="92">
        <f>+Model!X51/Model!X$55</f>
        <v>0</v>
      </c>
      <c r="Y14" s="92">
        <f>+Model!Y51/Model!Y$55</f>
        <v>0</v>
      </c>
      <c r="Z14" s="46"/>
      <c r="AT14" s="13"/>
    </row>
    <row r="15" spans="2:49">
      <c r="B15" s="27" t="s">
        <v>125</v>
      </c>
      <c r="C15" s="46">
        <f>+Model!C53/Model!$N$55</f>
        <v>1.0527163321581851E-2</v>
      </c>
      <c r="D15" s="46">
        <f>+Model!D53/Model!$N$55</f>
        <v>1.065058131835496E-2</v>
      </c>
      <c r="E15" s="46">
        <f>+Model!E53/Model!$N$55</f>
        <v>1.0718950970535619E-2</v>
      </c>
      <c r="F15" s="46">
        <f>+Model!F53/Model!$N$55</f>
        <v>5.1426124337950602E-3</v>
      </c>
      <c r="G15" s="46">
        <f>+Model!G53/Model!$N$55</f>
        <v>1.0181788832199324E-2</v>
      </c>
      <c r="H15" s="46">
        <f>+Model!H53/Model!$N$55</f>
        <v>1.0198636368266765E-2</v>
      </c>
      <c r="I15" s="46">
        <f>+Model!I53/Model!$N$55</f>
        <v>4.8665871045040906E-3</v>
      </c>
      <c r="J15" s="46">
        <f>+Model!J53/Model!$N$55</f>
        <v>3.7871693866948345E-3</v>
      </c>
      <c r="K15" s="46">
        <f>+Model!K53/Model!$N$55</f>
        <v>4.0626070112392658E-3</v>
      </c>
      <c r="L15" s="46">
        <f>+Model!L53/Model!$N$55</f>
        <v>3.4903784896928342E-3</v>
      </c>
      <c r="M15" s="46">
        <f>+Model!M52/Model!M$55</f>
        <v>0.50212548276739866</v>
      </c>
      <c r="N15" s="46">
        <f>+Model!N53/Model!$N$55</f>
        <v>3.614384191212482E-3</v>
      </c>
      <c r="O15" s="42">
        <f>+Model!O53/Model!$O$55</f>
        <v>4.6115538919901475E-3</v>
      </c>
      <c r="P15" s="46">
        <f>+Model!P53/Model!$P$55</f>
        <v>7.011935839902542E-3</v>
      </c>
      <c r="Q15" s="46">
        <f>+Model!Q53/Model!$Q$55</f>
        <v>9.5746532093670764E-3</v>
      </c>
      <c r="R15" s="46">
        <f>+Model!R53/Model!$R$55</f>
        <v>9.902403127607793E-3</v>
      </c>
      <c r="S15" s="46">
        <f>+Model!S53/Model!$S$55</f>
        <v>9.6702601162226617E-3</v>
      </c>
      <c r="T15" s="46">
        <f>+Model!T53/Model!$T$55</f>
        <v>9.4800152014396441E-3</v>
      </c>
      <c r="U15" s="46">
        <f>+Model!U53/Model!$U$55</f>
        <v>8.6785995524451126E-3</v>
      </c>
      <c r="V15" s="46">
        <f>+Model!V52/Model!V$55</f>
        <v>0.46870790406312501</v>
      </c>
      <c r="W15" s="92">
        <f>+Model!W52/Model!W$55</f>
        <v>0.48661449514067556</v>
      </c>
      <c r="X15" s="92">
        <f>+Model!X52/Model!X$55</f>
        <v>0.49041546530231606</v>
      </c>
      <c r="Y15" s="92">
        <f>+Model!Y52/Model!Y$55</f>
        <v>0.48538050296614405</v>
      </c>
      <c r="Z15" s="46"/>
      <c r="AT15" s="13"/>
    </row>
    <row r="16" spans="2:49" s="10" customFormat="1">
      <c r="B16" s="27" t="s">
        <v>126</v>
      </c>
      <c r="C16" s="46">
        <f>+Model!C54/Model!$N$55</f>
        <v>4.2978848114368908E-3</v>
      </c>
      <c r="D16" s="46">
        <f>+Model!D54/Model!$N$55</f>
        <v>4.2978848114368908E-3</v>
      </c>
      <c r="E16" s="46">
        <f>+Model!E54/Model!$N$55</f>
        <v>4.2978848114368908E-3</v>
      </c>
      <c r="F16" s="46">
        <f>+Model!F54/Model!$N$55</f>
        <v>4.2978848114368908E-3</v>
      </c>
      <c r="G16" s="46">
        <f>+Model!G54/Model!$N$55</f>
        <v>4.2978848114368908E-3</v>
      </c>
      <c r="H16" s="46">
        <f>+Model!H54/Model!$N$55</f>
        <v>4.2978848114368908E-3</v>
      </c>
      <c r="I16" s="46">
        <f>+Model!I54/Model!$N$55</f>
        <v>4.2978848114368908E-3</v>
      </c>
      <c r="J16" s="46">
        <f>+Model!J54/Model!$N$55</f>
        <v>4.2978848114368908E-3</v>
      </c>
      <c r="K16" s="46">
        <f>+Model!K54/Model!$N$55</f>
        <v>4.2978848114368908E-3</v>
      </c>
      <c r="L16" s="46">
        <f>+Model!L54/Model!$N$55</f>
        <v>4.2978848114368908E-3</v>
      </c>
      <c r="M16" s="46">
        <f>+Model!M53/Model!M$55</f>
        <v>3.6454495065449399E-3</v>
      </c>
      <c r="N16" s="46">
        <f>+Model!N54/Model!$N$55</f>
        <v>4.2978848114368908E-3</v>
      </c>
      <c r="O16" s="42">
        <f>+Model!O54/Model!$O$55</f>
        <v>4.213780959449057E-3</v>
      </c>
      <c r="P16" s="46">
        <f>+Model!P54/Model!$P$55</f>
        <v>4.0853767200005808E-3</v>
      </c>
      <c r="Q16" s="46">
        <f>+Model!Q54/Model!$Q$55</f>
        <v>3.895668046963229E-3</v>
      </c>
      <c r="R16" s="46">
        <f>+Model!R54/Model!$R$55</f>
        <v>3.2517756472693807E-4</v>
      </c>
      <c r="S16" s="46">
        <f>+Model!S54/Model!$S$55</f>
        <v>3.5678629852144857E-3</v>
      </c>
      <c r="T16" s="46">
        <f>+Model!T54/Model!$T$55</f>
        <v>3.4711114106676516E-3</v>
      </c>
      <c r="U16" s="46">
        <f>+Model!U54/Model!$U$55</f>
        <v>3.3102645359903565E-3</v>
      </c>
      <c r="V16" s="46">
        <f>+Model!V54/Model!V$55</f>
        <v>3.2976309184576244E-3</v>
      </c>
      <c r="W16" s="92">
        <f>+Model!W54/Model!W$55</f>
        <v>3.3923191857073254E-3</v>
      </c>
      <c r="X16" s="92">
        <f>+Model!X54/Model!X$55</f>
        <v>3.3518523724374119E-3</v>
      </c>
      <c r="Y16" s="92">
        <f>+Model!Y54/Model!Y$55</f>
        <v>3.2180715421352628E-3</v>
      </c>
      <c r="Z16" s="46"/>
      <c r="AT16" s="14"/>
    </row>
    <row r="17" spans="2:46">
      <c r="B17" s="32" t="s">
        <v>127</v>
      </c>
      <c r="C17" s="46">
        <f>+Model!C55/Model!$N55</f>
        <v>0.4040532820959275</v>
      </c>
      <c r="D17" s="46">
        <f>+Model!D55/Model!$N55</f>
        <v>0.40523241371906615</v>
      </c>
      <c r="E17" s="46">
        <f>+Model!E55/Model!$N55</f>
        <v>0.40441472051504879</v>
      </c>
      <c r="F17" s="46">
        <f>+Model!F55/Model!$N55</f>
        <v>0.40075429945202412</v>
      </c>
      <c r="G17" s="46">
        <f>+Model!G55/Model!$N55</f>
        <v>0.41089259813297957</v>
      </c>
      <c r="H17" s="46">
        <f>+Model!H55/Model!$N55</f>
        <v>0.41700041766217322</v>
      </c>
      <c r="I17" s="46">
        <f>+Model!I55/Model!$N55</f>
        <v>0.43703135444003099</v>
      </c>
      <c r="J17" s="46">
        <f>+Model!J55/Model!$N55</f>
        <v>0.44381856065622327</v>
      </c>
      <c r="K17" s="46">
        <f>+Model!K55/Model!$N55</f>
        <v>0.90613924214297525</v>
      </c>
      <c r="L17" s="46">
        <f>+Model!L55/Model!$N55</f>
        <v>0.91276561316019811</v>
      </c>
      <c r="M17" s="42">
        <f>+Model!M55/Model!$O$55</f>
        <v>0.94841993297593308</v>
      </c>
      <c r="N17" s="42">
        <f>+Model!N55/Model!$O$55</f>
        <v>0.98043133874504274</v>
      </c>
      <c r="O17" s="42">
        <f>+Model!O55/Model!$O$55</f>
        <v>1</v>
      </c>
      <c r="P17" s="46">
        <f>+Model!P55/Model!$P$55</f>
        <v>1</v>
      </c>
      <c r="Q17" s="46">
        <f>+Model!Q55/Model!$Q$55</f>
        <v>1</v>
      </c>
      <c r="R17" s="46">
        <f>+Model!R55/Model!$R$55</f>
        <v>1</v>
      </c>
      <c r="S17" s="46">
        <f>+Model!S55/Model!$S$55</f>
        <v>1</v>
      </c>
      <c r="T17" s="46">
        <f>+Model!T55/Model!$T$55</f>
        <v>1</v>
      </c>
      <c r="U17" s="46">
        <f>+Model!U55/Model!$U$55</f>
        <v>1</v>
      </c>
      <c r="V17" s="46">
        <f>+Model!V55/Model!V$55</f>
        <v>1</v>
      </c>
      <c r="W17" s="92">
        <f>+Model!W55/Model!W$55</f>
        <v>1</v>
      </c>
      <c r="X17" s="92">
        <f>+Model!X55/Model!X$55</f>
        <v>1</v>
      </c>
      <c r="Y17" s="92">
        <f>+Model!Y55/Model!Y$55</f>
        <v>1</v>
      </c>
      <c r="Z17" s="46"/>
      <c r="AT17" s="13"/>
    </row>
    <row r="18" spans="2:46"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2"/>
      <c r="P18" s="46"/>
      <c r="Q18" s="46"/>
      <c r="R18" s="46"/>
      <c r="S18" s="46"/>
      <c r="T18" s="46"/>
      <c r="U18" s="46"/>
      <c r="V18" s="46"/>
      <c r="W18" s="92"/>
      <c r="X18" s="92"/>
      <c r="Y18" s="92"/>
      <c r="Z18" s="46"/>
      <c r="AT18" s="13"/>
    </row>
    <row r="19" spans="2:46">
      <c r="B19" s="27" t="s">
        <v>128</v>
      </c>
      <c r="C19" s="46">
        <f>+Model!C57/Model!$N$55</f>
        <v>1.6424388649932491E-2</v>
      </c>
      <c r="D19" s="46">
        <f>+Model!D57/Model!$N$55</f>
        <v>1.5863326518570295E-2</v>
      </c>
      <c r="E19" s="46">
        <f>+Model!E57/Model!$N$55</f>
        <v>1.698564668287687E-2</v>
      </c>
      <c r="F19" s="46">
        <f>+Model!F57/Model!$N$55</f>
        <v>1.606941498302317E-2</v>
      </c>
      <c r="G19" s="46">
        <f>+Model!G57/Model!$N$55</f>
        <v>1.9394452537356471E-2</v>
      </c>
      <c r="H19" s="46">
        <f>+Model!H57/Model!$N$55</f>
        <v>1.8727603551617324E-2</v>
      </c>
      <c r="I19" s="46">
        <f>+Model!I57/Model!$N$55</f>
        <v>2.0273071133431703E-2</v>
      </c>
      <c r="J19" s="46">
        <f>+Model!J57/Model!$N$55</f>
        <v>2.2150787798622576E-2</v>
      </c>
      <c r="K19" s="46">
        <f>+Model!K57/Model!$N$55</f>
        <v>2.0807490649617483E-2</v>
      </c>
      <c r="L19" s="46">
        <f>+Model!L57/Model!$N$55</f>
        <v>1.9395627946849549E-2</v>
      </c>
      <c r="M19" s="46">
        <f>+Model!M57/Model!$N$55</f>
        <v>2.3211007161378239E-2</v>
      </c>
      <c r="N19" s="46">
        <f>+Model!N57/Model!$N$55</f>
        <v>2.2688537641705409E-2</v>
      </c>
      <c r="O19" s="42">
        <f>+Model!O57/Model!$O$55</f>
        <v>2.5050091347564807E-2</v>
      </c>
      <c r="P19" s="46">
        <f>+Model!P57/Model!$P$55</f>
        <v>2.9891833138459056E-2</v>
      </c>
      <c r="Q19" s="46">
        <f>+Model!Q57/Model!$Q$55</f>
        <v>2.7935734528485485E-2</v>
      </c>
      <c r="R19" s="46">
        <f>+Model!R57/Model!$R$55</f>
        <v>2.0458180052108907E-2</v>
      </c>
      <c r="S19" s="46">
        <f>+Model!S57/Model!$S$55</f>
        <v>2.3973912105901083E-2</v>
      </c>
      <c r="T19" s="46">
        <f>+Model!T57/Model!$T$55</f>
        <v>2.2190019894140517E-2</v>
      </c>
      <c r="U19" s="46">
        <f>+Model!U57/Model!U$55</f>
        <v>2.590875354409846E-2</v>
      </c>
      <c r="V19" s="46">
        <f>+Model!V57/Model!V$55</f>
        <v>2.4524579893635282E-2</v>
      </c>
      <c r="W19" s="92">
        <f>+Model!W57/Model!W$55</f>
        <v>2.6116945715934901E-2</v>
      </c>
      <c r="X19" s="92">
        <f>+Model!X57/Model!X$55</f>
        <v>2.422809157543631E-2</v>
      </c>
      <c r="Y19" s="92">
        <f>+Model!Y57/Model!Y$55</f>
        <v>2.4619516102605717E-2</v>
      </c>
      <c r="Z19" s="46"/>
      <c r="AT19" s="13"/>
    </row>
    <row r="20" spans="2:46">
      <c r="B20" s="27" t="s">
        <v>129</v>
      </c>
      <c r="C20" s="46">
        <f>+Model!C58/Model!$N$55</f>
        <v>1.8949560044226741E-2</v>
      </c>
      <c r="D20" s="46">
        <f>+Model!D58/Model!$N$55</f>
        <v>1.66847418526491E-2</v>
      </c>
      <c r="E20" s="46">
        <f>+Model!E58/Model!$N$55</f>
        <v>2.1180879065251682E-2</v>
      </c>
      <c r="F20" s="46">
        <f>+Model!F58/Model!$N$55</f>
        <v>1.6169912494681273E-2</v>
      </c>
      <c r="G20" s="46">
        <f>+Model!G58/Model!$N$55</f>
        <v>2.1601675663773332E-2</v>
      </c>
      <c r="H20" s="46">
        <f>+Model!H58/Model!$N$55</f>
        <v>1.9114705078004092E-2</v>
      </c>
      <c r="I20" s="46">
        <f>+Model!I58/Model!$N$55</f>
        <v>2.4938663214619586E-2</v>
      </c>
      <c r="J20" s="46">
        <f>+Model!J58/Model!$N$55</f>
        <v>2.2228364825165672E-2</v>
      </c>
      <c r="K20" s="46">
        <f>+Model!K58/Model!$N$55</f>
        <v>2.3447264469486761E-2</v>
      </c>
      <c r="L20" s="46">
        <f>+Model!L58/Model!$N$55</f>
        <v>1.9355076319338384E-2</v>
      </c>
      <c r="M20" s="46">
        <f>+Model!M58/Model!$N$55</f>
        <v>2.8555790027982583E-2</v>
      </c>
      <c r="N20" s="46">
        <f>+Model!N58/Model!$N$55</f>
        <v>2.4801140303929551E-2</v>
      </c>
      <c r="O20" s="42">
        <f>+Model!O58/Model!$O$55</f>
        <v>2.5405417240950138E-2</v>
      </c>
      <c r="P20" s="46">
        <f>+Model!P58/Model!$P$55</f>
        <v>2.4264966446802302E-2</v>
      </c>
      <c r="Q20" s="46">
        <f>+Model!Q58/Model!$Q$55</f>
        <v>3.4603951957156355E-2</v>
      </c>
      <c r="R20" s="46">
        <f>+Model!R58/Model!$R$55</f>
        <v>3.4052916569398496E-2</v>
      </c>
      <c r="S20" s="46">
        <f>+Model!S58/Model!$S$55</f>
        <v>3.6048930413580357E-2</v>
      </c>
      <c r="T20" s="46">
        <f>+Model!T58/Model!$T$55</f>
        <v>3.5615163087968048E-2</v>
      </c>
      <c r="U20" s="46">
        <f>+Model!U58/Model!$U$55</f>
        <v>2.8805744249737499E-2</v>
      </c>
      <c r="V20" s="46">
        <f>+Model!V58/Model!V$55</f>
        <v>2.4410946228730138E-2</v>
      </c>
      <c r="W20" s="92">
        <f>+Model!W58/Model!W$55</f>
        <v>2.6665710052963722E-2</v>
      </c>
      <c r="X20" s="92">
        <f>+Model!X58/Model!X$55</f>
        <v>2.460561230164502E-2</v>
      </c>
      <c r="Y20" s="92">
        <f>+Model!Y58/Model!Y$55</f>
        <v>1.8847992288010876E-2</v>
      </c>
      <c r="Z20" s="46"/>
      <c r="AT20" s="13"/>
    </row>
    <row r="21" spans="2:46">
      <c r="B21" s="27" t="s">
        <v>130</v>
      </c>
      <c r="C21" s="46">
        <f>+Model!C59/Model!$N$55</f>
        <v>1.9808392580501839E-2</v>
      </c>
      <c r="D21" s="46">
        <f>+Model!D59/Model!$N$55</f>
        <v>1.9259280445652591E-2</v>
      </c>
      <c r="E21" s="46">
        <f>+Model!E59/Model!$N$55</f>
        <v>2.5188437731898498E-2</v>
      </c>
      <c r="F21" s="46">
        <f>+Model!F59/Model!$N$55</f>
        <v>3.1211823679172763E-2</v>
      </c>
      <c r="G21" s="46">
        <f>+Model!G59/Model!$N$55</f>
        <v>2.9269459491862639E-2</v>
      </c>
      <c r="H21" s="46">
        <f>+Model!H59/Model!$N$55</f>
        <v>3.173429319884559E-2</v>
      </c>
      <c r="I21" s="46">
        <f>+Model!I59/Model!$N$55</f>
        <v>3.3694680331716229E-2</v>
      </c>
      <c r="J21" s="46">
        <f>+Model!J59/Model!$N$55</f>
        <v>2.8963853023662559E-2</v>
      </c>
      <c r="K21" s="46">
        <f>+Model!K59/Model!$N$55</f>
        <v>2.3471556265677023E-2</v>
      </c>
      <c r="L21" s="46">
        <f>+Model!L59/Model!$N$55</f>
        <v>2.4855796845357641E-2</v>
      </c>
      <c r="M21" s="46">
        <f>+Model!M59/Model!$N$55</f>
        <v>2.7653271438881449E-2</v>
      </c>
      <c r="N21" s="46">
        <f>+Model!N59/Model!$N$55</f>
        <v>3.052989027160579E-2</v>
      </c>
      <c r="O21" s="42">
        <f>+Model!O59/Model!$O$55</f>
        <v>2.8280483888563655E-2</v>
      </c>
      <c r="P21" s="46">
        <f>+Model!P59/Model!$P$55</f>
        <v>2.7230072126758965E-2</v>
      </c>
      <c r="Q21" s="46">
        <f>+Model!Q59/Model!$Q$55</f>
        <v>2.8097321561747556E-2</v>
      </c>
      <c r="R21" s="46">
        <f>+Model!R59/Model!$R$55</f>
        <v>2.7612254179848181E-2</v>
      </c>
      <c r="S21" s="46">
        <f>+Model!S59/Model!$S$55</f>
        <v>2.3682810654443224E-2</v>
      </c>
      <c r="T21" s="46">
        <f>+Model!T59/Model!$T$55</f>
        <v>2.2699160534986884E-2</v>
      </c>
      <c r="U21" s="46">
        <f>+Model!U59/Model!$U$55</f>
        <v>2.3120550874853471E-2</v>
      </c>
      <c r="V21" s="46">
        <f>+Model!V59/Model!V$55</f>
        <v>2.601128700947759E-2</v>
      </c>
      <c r="W21" s="92">
        <f>+Model!W59/Model!W$55</f>
        <v>2.1130287539214847E-2</v>
      </c>
      <c r="X21" s="92">
        <f>+Model!X59/Model!X$55</f>
        <v>2.2705327885382813E-2</v>
      </c>
      <c r="Y21" s="92">
        <f>+Model!Y59/Model!Y$55</f>
        <v>2.2949240308344616E-2</v>
      </c>
      <c r="Z21" s="46"/>
      <c r="AT21" s="13"/>
    </row>
    <row r="22" spans="2:46">
      <c r="B22" s="27" t="s">
        <v>131</v>
      </c>
      <c r="C22" s="46">
        <f>+Model!C60/Model!$N$55</f>
        <v>0</v>
      </c>
      <c r="D22" s="46">
        <f>+Model!D60/Model!$N$55</f>
        <v>0</v>
      </c>
      <c r="E22" s="46">
        <f>+Model!E60/Model!$N$55</f>
        <v>0</v>
      </c>
      <c r="F22" s="46">
        <f>+Model!F60/Model!$N$55</f>
        <v>0</v>
      </c>
      <c r="G22" s="46">
        <f>+Model!G60/Model!$N$55</f>
        <v>0</v>
      </c>
      <c r="H22" s="46">
        <f>+Model!H60/Model!$N$55</f>
        <v>0</v>
      </c>
      <c r="I22" s="46">
        <f>+Model!I60/Model!$N$55</f>
        <v>0</v>
      </c>
      <c r="J22" s="46">
        <f>+Model!J60/Model!$N$55</f>
        <v>1.3805968102520784E-2</v>
      </c>
      <c r="K22" s="46">
        <f>+Model!K60/Model!$N$55</f>
        <v>1.1183629523465483E-2</v>
      </c>
      <c r="L22" s="46">
        <f>+Model!L60/Model!$N$55</f>
        <v>1.2105542369202391E-2</v>
      </c>
      <c r="M22" s="46">
        <f>+Model!M60/Model!$N$55</f>
        <v>1.2108480892935083E-2</v>
      </c>
      <c r="N22" s="46">
        <f>+Model!N60/Model!$N$55</f>
        <v>1.864885111558115E-2</v>
      </c>
      <c r="O22" s="42">
        <f>+Model!O60/Model!$O$55</f>
        <v>1.4885081844037669E-2</v>
      </c>
      <c r="P22" s="46">
        <f>+Model!P60/Model!$P$55</f>
        <v>1.655900631064915E-2</v>
      </c>
      <c r="Q22" s="46">
        <f>+Model!Q60/Model!$Q$55</f>
        <v>1.6241627660859004E-2</v>
      </c>
      <c r="R22" s="46">
        <f>+Model!R60/Model!$R$55</f>
        <v>2.142415363273148E-2</v>
      </c>
      <c r="S22" s="46">
        <f>+Model!S60/Model!$S$55</f>
        <v>1.7920953433687985E-2</v>
      </c>
      <c r="T22" s="46">
        <f>+Model!T60/Model!$T$55</f>
        <v>1.7880993991887292E-2</v>
      </c>
      <c r="U22" s="46">
        <f>+Model!U60/Model!$U$55</f>
        <v>1.8170016236727596E-2</v>
      </c>
      <c r="V22" s="46">
        <f>+Model!V60/Model!V$55</f>
        <v>2.3500975055005608E-2</v>
      </c>
      <c r="W22" s="92">
        <f>+Model!W60/Model!W$55</f>
        <v>2.0475605036261897E-2</v>
      </c>
      <c r="X22" s="92">
        <f>+Model!X60/Model!X$55</f>
        <v>2.0235172037004669E-2</v>
      </c>
      <c r="Y22" s="92">
        <f>+Model!Y60/Model!Y$55</f>
        <v>1.9526106365192666E-2</v>
      </c>
      <c r="Z22" s="46"/>
      <c r="AT22" s="13"/>
    </row>
    <row r="23" spans="2:46" s="10" customFormat="1">
      <c r="B23" s="27" t="s">
        <v>132</v>
      </c>
      <c r="C23" s="46">
        <f>+Model!C61/Model!$N$55</f>
        <v>0</v>
      </c>
      <c r="D23" s="46">
        <f>+Model!D61/Model!$N$55</f>
        <v>0</v>
      </c>
      <c r="E23" s="46">
        <f>+Model!E61/Model!$N$55</f>
        <v>0</v>
      </c>
      <c r="F23" s="46">
        <f>+Model!F61/Model!$N$55</f>
        <v>0</v>
      </c>
      <c r="G23" s="46">
        <f>+Model!G61/Model!$N$55</f>
        <v>0</v>
      </c>
      <c r="H23" s="46">
        <f>+Model!H61/Model!$N$55</f>
        <v>0</v>
      </c>
      <c r="I23" s="46">
        <f>+Model!I61/Model!$N$55</f>
        <v>0</v>
      </c>
      <c r="J23" s="46">
        <f>+Model!J61/Model!$N$55</f>
        <v>0</v>
      </c>
      <c r="K23" s="46">
        <f>+Model!K61/Model!$N$55</f>
        <v>3.0886822954336909E-2</v>
      </c>
      <c r="L23" s="46">
        <f>+Model!L61/Model!$N$55</f>
        <v>3.1589717831197094E-2</v>
      </c>
      <c r="M23" s="46">
        <f>+Model!M61/Model!$N$55</f>
        <v>3.2676775710711349E-2</v>
      </c>
      <c r="N23" s="46">
        <f>+Model!N61/Model!$N$55</f>
        <v>3.3918204036983084E-2</v>
      </c>
      <c r="O23" s="42">
        <f>+Model!O61/Model!$O$55</f>
        <v>3.4256873347254427E-2</v>
      </c>
      <c r="P23" s="46">
        <f>+Model!P61/Model!$P$55</f>
        <v>3.6720905587184216E-2</v>
      </c>
      <c r="Q23" s="46">
        <f>+Model!Q61/Model!$Q$55</f>
        <v>3.5480783572813604E-2</v>
      </c>
      <c r="R23" s="46">
        <f>+Model!R61/Model!$R$55</f>
        <v>3.4338348346172734E-2</v>
      </c>
      <c r="S23" s="46">
        <f>+Model!S61/Model!$S$55</f>
        <v>3.4002926301406444E-2</v>
      </c>
      <c r="T23" s="46">
        <f>+Model!T61/Model!$T$55</f>
        <v>3.3802318630908476E-2</v>
      </c>
      <c r="U23" s="46">
        <f>+Model!U61/Model!$U$55</f>
        <v>3.239258086715683E-2</v>
      </c>
      <c r="V23" s="46">
        <f>+Model!V61/Model!V$55</f>
        <v>3.2874549937035528E-2</v>
      </c>
      <c r="W23" s="92">
        <f>+Model!W61/Model!W$55</f>
        <v>3.4528239715848619E-2</v>
      </c>
      <c r="X23" s="92">
        <f>+Model!X61/Model!X$55</f>
        <v>3.5281611211403052E-2</v>
      </c>
      <c r="Y23" s="92">
        <f>+Model!Y61/Model!Y$55</f>
        <v>3.4022609963245722E-2</v>
      </c>
      <c r="Z23" s="46"/>
      <c r="AT23" s="14"/>
    </row>
    <row r="24" spans="2:46">
      <c r="B24" s="32" t="s">
        <v>133</v>
      </c>
      <c r="C24" s="46">
        <f>+Model!C63/Model!$N$55</f>
        <v>6.0009160357982712E-2</v>
      </c>
      <c r="D24" s="46">
        <f>+Model!D63/Model!$N$55</f>
        <v>5.2459505183947666E-2</v>
      </c>
      <c r="E24" s="46">
        <f>+Model!E63/Model!$N$55</f>
        <v>6.3354963480027046E-2</v>
      </c>
      <c r="F24" s="46">
        <f>+Model!F63/Model!$N$55</f>
        <v>6.3451151156877203E-2</v>
      </c>
      <c r="G24" s="46">
        <f>+Model!G63/Model!$N$55</f>
        <v>7.1958569166188008E-2</v>
      </c>
      <c r="H24" s="46">
        <f>+Model!H63/Model!$N$55</f>
        <v>6.9576601828467005E-2</v>
      </c>
      <c r="I24" s="46">
        <f>+Model!I63/Model!$N$55</f>
        <v>7.8906414679767514E-2</v>
      </c>
      <c r="J24" s="46">
        <f>+Model!J63/Model!$N$55</f>
        <v>8.8153752964970453E-2</v>
      </c>
      <c r="K24" s="46">
        <f>+Model!K63/Model!$N$55</f>
        <v>0.11394948560162552</v>
      </c>
      <c r="L24" s="46">
        <f>+Model!L63/Model!$N$55</f>
        <v>0.10740656865841111</v>
      </c>
      <c r="M24" s="46">
        <f>+Model!M63/Model!$N$55</f>
        <v>0.12420532523188871</v>
      </c>
      <c r="N24" s="46">
        <f>+Model!N63/Model!$N$55</f>
        <v>0.13058662336980498</v>
      </c>
      <c r="O24" s="42">
        <f>+Model!O63/Model!$O$55</f>
        <v>0.12787794766837068</v>
      </c>
      <c r="P24" s="46">
        <f>+Model!P63/Model!$P$55</f>
        <v>0.13466678360985368</v>
      </c>
      <c r="Q24" s="46">
        <f>+Model!Q63/Model!$Q$55</f>
        <v>0.14235941928106199</v>
      </c>
      <c r="R24" s="46">
        <f>+Model!R63/Model!$R$55</f>
        <v>0.1378858527802598</v>
      </c>
      <c r="S24" s="46">
        <f>+Model!S63/Model!$S$55</f>
        <v>0.13562953290901908</v>
      </c>
      <c r="T24" s="46">
        <f>+Model!T63/Model!$T$55</f>
        <v>0.13218765613989122</v>
      </c>
      <c r="U24" s="46">
        <f>+Model!U63/Model!$U$55</f>
        <v>0.12839764577257387</v>
      </c>
      <c r="V24" s="46">
        <f>+Model!V62/Model!V$55</f>
        <v>0</v>
      </c>
      <c r="W24" s="92">
        <f>+Model!W62/Model!W$55</f>
        <v>0</v>
      </c>
      <c r="X24" s="92">
        <f>+Model!X62/Model!X$55</f>
        <v>0</v>
      </c>
      <c r="Y24" s="92">
        <f>+Model!Y62/Model!Y$55</f>
        <v>0</v>
      </c>
      <c r="Z24" s="46"/>
      <c r="AT24" s="13"/>
    </row>
    <row r="25" spans="2:46">
      <c r="B25" s="27" t="s">
        <v>134</v>
      </c>
      <c r="C25" s="46">
        <f>+Model!C65/Model!$N$55</f>
        <v>0</v>
      </c>
      <c r="D25" s="46">
        <f>+Model!D65/Model!$N$55</f>
        <v>0</v>
      </c>
      <c r="E25" s="46">
        <f>+Model!E65/Model!$N$55</f>
        <v>0</v>
      </c>
      <c r="F25" s="46">
        <f>+Model!F65/Model!$N$55</f>
        <v>0</v>
      </c>
      <c r="G25" s="46">
        <f>+Model!G65/Model!$N$55</f>
        <v>0</v>
      </c>
      <c r="H25" s="46">
        <f>+Model!H65/Model!$N$55</f>
        <v>0</v>
      </c>
      <c r="I25" s="46">
        <f>+Model!I65/Model!$N$55</f>
        <v>0</v>
      </c>
      <c r="J25" s="46">
        <f>+Model!J65/Model!$N$55</f>
        <v>0</v>
      </c>
      <c r="K25" s="46">
        <f>+Model!K65/Model!$N$55</f>
        <v>0.49247718334272356</v>
      </c>
      <c r="L25" s="46">
        <f>+Model!L65/Model!$N$55</f>
        <v>0.49656525755964614</v>
      </c>
      <c r="M25" s="46">
        <f>+Model!M65/Model!$N$55</f>
        <v>0.51771635958440654</v>
      </c>
      <c r="N25" s="46">
        <f>+Model!N65/Model!$N$55</f>
        <v>0.52469770426853879</v>
      </c>
      <c r="O25" s="42">
        <f>+Model!O65/Model!$O$55</f>
        <v>0.53102552046600315</v>
      </c>
      <c r="P25" s="46">
        <f>+Model!P65/Model!$P$55</f>
        <v>0.52311182841231563</v>
      </c>
      <c r="Q25" s="46">
        <f>+Model!Q65/Model!$Q$55</f>
        <v>0.51337443444538355</v>
      </c>
      <c r="R25" s="46">
        <f>+Model!R65/Model!$R$55</f>
        <v>0.49511110037807132</v>
      </c>
      <c r="S25" s="46">
        <f>+Model!S65/Model!$S$55</f>
        <v>0.49441321021639245</v>
      </c>
      <c r="T25" s="46">
        <f>+Model!T65/Model!$T$55</f>
        <v>0.49593826645997263</v>
      </c>
      <c r="U25" s="46">
        <f>+Model!U65/Model!$U$55</f>
        <v>0.49412929360050228</v>
      </c>
      <c r="V25" s="46">
        <f>+Model!V63/Model!V$55</f>
        <v>0.13132233812388414</v>
      </c>
      <c r="W25" s="92">
        <f>+Model!W63/Model!W$55</f>
        <v>0.128916788060224</v>
      </c>
      <c r="X25" s="92">
        <f>+Model!X63/Model!X$55</f>
        <v>0.12705581501087188</v>
      </c>
      <c r="Y25" s="92">
        <f>+Model!Y63/Model!Y$55</f>
        <v>0.11996546502739959</v>
      </c>
      <c r="Z25" s="46"/>
      <c r="AT25" s="13"/>
    </row>
    <row r="26" spans="2:46">
      <c r="B26" s="27" t="s">
        <v>135</v>
      </c>
      <c r="C26" s="46">
        <f>+Model!C66/Model!$N$55</f>
        <v>3.0836868050881125E-3</v>
      </c>
      <c r="D26" s="46">
        <f>+Model!D66/Model!$N$55</f>
        <v>2.52046975632194E-3</v>
      </c>
      <c r="E26" s="46">
        <f>+Model!E66/Model!$N$55</f>
        <v>1.4843462881743619E-3</v>
      </c>
      <c r="F26" s="46">
        <f>+Model!F66/Model!$N$55</f>
        <v>1.5946388789414418E-4</v>
      </c>
      <c r="G26" s="46">
        <f>+Model!G66/Model!$N$55</f>
        <v>1.2829594616937964E-3</v>
      </c>
      <c r="H26" s="46">
        <f>+Model!H66/Model!$N$55</f>
        <v>3.495863733993861E-3</v>
      </c>
      <c r="I26" s="46">
        <f>+Model!I66/Model!$N$55</f>
        <v>5.3524230283093456E-3</v>
      </c>
      <c r="J26" s="46">
        <f>+Model!J66/Model!$N$55</f>
        <v>2.26579769948854E-3</v>
      </c>
      <c r="K26" s="46">
        <f>+Model!K66/Model!$N$55</f>
        <v>2.4542550215452558E-3</v>
      </c>
      <c r="L26" s="46">
        <f>+Model!L66/Model!$N$55</f>
        <v>8.6333827266522531E-4</v>
      </c>
      <c r="M26" s="46">
        <f>+Model!M66/Model!$N$55</f>
        <v>0</v>
      </c>
      <c r="N26" s="46">
        <f>+Model!N66/Model!$N$55</f>
        <v>7.4078224285370614E-3</v>
      </c>
      <c r="O26" s="42">
        <f>+Model!O66/Model!$O$55</f>
        <v>1.2455805141584885E-2</v>
      </c>
      <c r="P26" s="46">
        <f>+Model!P66/Model!$P$55</f>
        <v>1.7970145596129999E-2</v>
      </c>
      <c r="Q26" s="46">
        <f>+Model!Q66/Model!$Q$55</f>
        <v>1.6908218565107144E-2</v>
      </c>
      <c r="R26" s="46">
        <f>+Model!R66/Model!$R$55</f>
        <v>2.5058629229823898E-2</v>
      </c>
      <c r="S26" s="46">
        <f>+Model!S66/Model!$S$55</f>
        <v>2.2105658768276578E-2</v>
      </c>
      <c r="T26" s="46">
        <f>+Model!T66/Model!$T$55</f>
        <v>2.1123482585269981E-2</v>
      </c>
      <c r="U26" s="46">
        <f>+Model!U66/Model!$U$55</f>
        <v>2.2390569571005468E-2</v>
      </c>
      <c r="V26" s="46">
        <f>+Model!V64/Model!V$55</f>
        <v>0</v>
      </c>
      <c r="W26" s="92">
        <f>+Model!W64/Model!W$55</f>
        <v>0</v>
      </c>
      <c r="X26" s="92">
        <f>+Model!X64/Model!X$55</f>
        <v>0</v>
      </c>
      <c r="Y26" s="92">
        <f>+Model!Y64/Model!Y$55</f>
        <v>0</v>
      </c>
      <c r="Z26" s="46"/>
      <c r="AT26" s="13"/>
    </row>
    <row r="27" spans="2:46">
      <c r="B27" s="32" t="s">
        <v>136</v>
      </c>
      <c r="C27" s="46">
        <f>+Model!C67/Model!$N$55</f>
        <v>6.78465949562395E-3</v>
      </c>
      <c r="D27" s="46">
        <f>+Model!D67/Model!$N$55</f>
        <v>7.0287528670196549E-3</v>
      </c>
      <c r="E27" s="46">
        <f>+Model!E67/Model!$N$55</f>
        <v>7.2142716653436781E-3</v>
      </c>
      <c r="F27" s="46">
        <f>+Model!F67/Model!$N$55</f>
        <v>7.844291153633073E-3</v>
      </c>
      <c r="G27" s="46">
        <f>+Model!G67/Model!$N$55</f>
        <v>7.3717765374160266E-3</v>
      </c>
      <c r="H27" s="46">
        <f>+Model!H67/Model!$N$55</f>
        <v>7.1419839815194284E-3</v>
      </c>
      <c r="I27" s="46">
        <f>+Model!I67/Model!$N$55</f>
        <v>7.2724544352510013E-3</v>
      </c>
      <c r="J27" s="46">
        <f>+Model!J67/Model!$N$55</f>
        <v>6.1979342569962329E-3</v>
      </c>
      <c r="K27" s="46">
        <f>+Model!K67/Model!$N$55</f>
        <v>6.5797464406641536E-3</v>
      </c>
      <c r="L27" s="46">
        <f>+Model!L67/Model!$N$55</f>
        <v>6.6242160998189088E-3</v>
      </c>
      <c r="M27" s="46">
        <f>+Model!M67/Model!$N$55</f>
        <v>7.588051884142237E-3</v>
      </c>
      <c r="N27" s="46">
        <f>+Model!N67/Model!$N$55</f>
        <v>7.6003936838195483E-3</v>
      </c>
      <c r="O27" s="42">
        <f>+Model!O67/Model!$O$55</f>
        <v>7.4991049628847697E-3</v>
      </c>
      <c r="P27" s="46">
        <f>+Model!P67/Model!$P$55</f>
        <v>6.848066405853565E-3</v>
      </c>
      <c r="Q27" s="46">
        <f>+Model!Q67/Model!$Q$55</f>
        <v>6.7433287639124661E-3</v>
      </c>
      <c r="R27" s="46">
        <f>+Model!R67/Model!$R$55</f>
        <v>6.5142843343234565E-3</v>
      </c>
      <c r="S27" s="46">
        <f>+Model!S67/Model!$S$55</f>
        <v>6.735827384320105E-3</v>
      </c>
      <c r="T27" s="46">
        <f>+Model!T67/Model!$T$55</f>
        <v>6.7629635466059873E-3</v>
      </c>
      <c r="U27" s="46">
        <f>+Model!U67/Model!$U$55</f>
        <v>6.4012932649341759E-3</v>
      </c>
      <c r="V27" s="46">
        <f>+Model!V65/Model!V$55</f>
        <v>0.49626061069376959</v>
      </c>
      <c r="W27" s="92">
        <f>+Model!W65/Model!W$55</f>
        <v>0.5151053993988487</v>
      </c>
      <c r="X27" s="92">
        <f>+Model!X65/Model!X$55</f>
        <v>0.51844901468771043</v>
      </c>
      <c r="Y27" s="92">
        <f>+Model!Y65/Model!Y$55</f>
        <v>0.51298178479683787</v>
      </c>
      <c r="Z27" s="46"/>
      <c r="AT27" s="13"/>
    </row>
    <row r="28" spans="2:46">
      <c r="B28" s="27" t="s">
        <v>137</v>
      </c>
      <c r="C28" s="46">
        <f>+Model!C68/Model!$N$55</f>
        <v>0.128225421599795</v>
      </c>
      <c r="D28" s="46">
        <f>+Model!D68/Model!$N$55</f>
        <v>0.12113672284862842</v>
      </c>
      <c r="E28" s="46">
        <f>+Model!E68/Model!$N$55</f>
        <v>0.13267454243267451</v>
      </c>
      <c r="F28" s="46">
        <f>+Model!F68/Model!$N$55</f>
        <v>0.13345736515506393</v>
      </c>
      <c r="G28" s="46">
        <f>+Model!G68/Model!$N$55</f>
        <v>0.14367402446889121</v>
      </c>
      <c r="H28" s="46">
        <f>+Model!H68/Model!$N$55</f>
        <v>0.14430404395718061</v>
      </c>
      <c r="I28" s="46">
        <f>+Model!I68/Model!$N$55</f>
        <v>0.15574861438810925</v>
      </c>
      <c r="J28" s="46">
        <f>+Model!J68/Model!$N$55</f>
        <v>0.16145797009914972</v>
      </c>
      <c r="K28" s="46">
        <f>+Model!K68/Model!$N$55</f>
        <v>0.6154606704065585</v>
      </c>
      <c r="L28" s="46">
        <f>+Model!L68/Model!$N$55</f>
        <v>0.61145938059054139</v>
      </c>
      <c r="M28" s="46">
        <f>+Model!M68/Model!$N$55</f>
        <v>0.64950973670043743</v>
      </c>
      <c r="N28" s="46">
        <f>+Model!N68/Model!$N$55</f>
        <v>0.67029254375070035</v>
      </c>
      <c r="O28" s="42">
        <f>+Model!O68/Model!$O$55</f>
        <v>0.67885837823884354</v>
      </c>
      <c r="P28" s="46">
        <f>+Model!P68/Model!$P$55</f>
        <v>0.68259682402415289</v>
      </c>
      <c r="Q28" s="46">
        <f>+Model!Q68/Model!$Q$55</f>
        <v>0.67938540105546519</v>
      </c>
      <c r="R28" s="46">
        <f>+Model!R68/Model!$R$55</f>
        <v>0.66456986672247842</v>
      </c>
      <c r="S28" s="46">
        <f>+Model!S68/Model!$S$55</f>
        <v>0.65888422927800827</v>
      </c>
      <c r="T28" s="46">
        <f>+Model!T68/Model!$T$55</f>
        <v>0.65601236873173985</v>
      </c>
      <c r="U28" s="46">
        <f>+Model!U68/Model!$U$55</f>
        <v>0.65131880220901572</v>
      </c>
      <c r="V28" s="46">
        <f>+Model!V68/Model!V$55</f>
        <v>0.65468382635212785</v>
      </c>
      <c r="W28" s="92">
        <f>+Model!W68/Model!W$55</f>
        <v>0.67003630751027832</v>
      </c>
      <c r="X28" s="92">
        <f>+Model!X68/Model!X$55</f>
        <v>0.67088030316549063</v>
      </c>
      <c r="Y28" s="92">
        <f>+Model!Y68/Model!Y$55</f>
        <v>0.658613493604708</v>
      </c>
      <c r="Z28" s="46"/>
      <c r="AT28" s="13"/>
    </row>
    <row r="29" spans="2:46">
      <c r="B29" s="27" t="s">
        <v>138</v>
      </c>
      <c r="C29" s="46">
        <f>+Model!C69/Model!$N$55</f>
        <v>0.27577496706894405</v>
      </c>
      <c r="D29" s="46">
        <f>+Model!D69/Model!$N$55</f>
        <v>0.28409569087043773</v>
      </c>
      <c r="E29" s="46">
        <f>+Model!E69/Model!$N$55</f>
        <v>0.27174017808237427</v>
      </c>
      <c r="F29" s="46">
        <f>+Model!F69/Model!$N$55</f>
        <v>0.26729693429696016</v>
      </c>
      <c r="G29" s="46">
        <f>+Model!G69/Model!$N$55</f>
        <v>0.26721857366408835</v>
      </c>
      <c r="H29" s="46">
        <f>+Model!H69/Model!$N$55</f>
        <v>0.27269637370499261</v>
      </c>
      <c r="I29" s="46">
        <f>+Model!I69/Model!$N$55</f>
        <v>0.28128274005192178</v>
      </c>
      <c r="J29" s="46">
        <f>+Model!J69/Model!$N$55</f>
        <v>0.28236059055707358</v>
      </c>
      <c r="K29" s="46">
        <f>+Model!K69/Model!$N$55</f>
        <v>0.29067857173641676</v>
      </c>
      <c r="L29" s="46">
        <f>+Model!L69/Model!$N$55</f>
        <v>0.30130623256965672</v>
      </c>
      <c r="M29" s="46">
        <f>+Model!M69/Model!$N$55</f>
        <v>0.31783993430244539</v>
      </c>
      <c r="N29" s="46">
        <f>+Model!N69/Model!$N$55</f>
        <v>0.32970745624929965</v>
      </c>
      <c r="O29" s="42">
        <f>+Model!O69/Model!$O$55</f>
        <v>0.32114162176115646</v>
      </c>
      <c r="P29" s="46">
        <f>+Model!P69/Model!$P$55</f>
        <v>0.31740317597584716</v>
      </c>
      <c r="Q29" s="46">
        <f>+Model!Q69/Model!$Q$55</f>
        <v>0.32061459894453481</v>
      </c>
      <c r="R29" s="46">
        <f>+Model!R69/Model!$R$55</f>
        <v>0.3387842082102388</v>
      </c>
      <c r="S29" s="46">
        <f>+Model!S69/Model!$S$55</f>
        <v>0.3411141444568998</v>
      </c>
      <c r="T29" s="46">
        <f>+Model!T69/Model!$T$55</f>
        <v>0.34398763126826015</v>
      </c>
      <c r="U29" s="46">
        <f>+Model!U69/Model!$U$55</f>
        <v>0.34868119779098422</v>
      </c>
      <c r="V29" s="46">
        <f>+Model!V69/Model!V$55</f>
        <v>0.34531617364787209</v>
      </c>
      <c r="W29" s="92">
        <f>+Model!W69/Model!W$55</f>
        <v>0.32996369248972168</v>
      </c>
      <c r="X29" s="92">
        <f>+Model!X69/Model!X$55</f>
        <v>0.32911969683450931</v>
      </c>
      <c r="Y29" s="92">
        <f>+Model!Y69/Model!Y$55</f>
        <v>0.34138650639529194</v>
      </c>
      <c r="Z29" s="46"/>
      <c r="AT29" s="13"/>
    </row>
    <row r="30" spans="2:46" s="10" customFormat="1">
      <c r="B30" s="32" t="s">
        <v>139</v>
      </c>
      <c r="C30" s="46">
        <f>+Model!C70/Model!$N$55</f>
        <v>0.40400038866873905</v>
      </c>
      <c r="D30" s="46">
        <f>+Model!D70/Model!$N$55</f>
        <v>0.40523241371906615</v>
      </c>
      <c r="E30" s="46">
        <f>+Model!E70/Model!$N$55</f>
        <v>0.40441472051504879</v>
      </c>
      <c r="F30" s="46">
        <f>+Model!F70/Model!$N$55</f>
        <v>0.40075429945202412</v>
      </c>
      <c r="G30" s="46">
        <f>+Model!G70/Model!$N$55</f>
        <v>0.41089259813297957</v>
      </c>
      <c r="H30" s="46">
        <f>+Model!H70/Model!$N$55</f>
        <v>0.41700041766217322</v>
      </c>
      <c r="I30" s="46">
        <f>+Model!I70/Model!$N$55</f>
        <v>0.43703135444003099</v>
      </c>
      <c r="J30" s="46">
        <f>+Model!J70/Model!$N$55</f>
        <v>0.44381856065622327</v>
      </c>
      <c r="K30" s="46">
        <f>+Model!K70/Model!$N$55</f>
        <v>0.90613924214297525</v>
      </c>
      <c r="L30" s="46">
        <f>+Model!L70/Model!$N$55</f>
        <v>0.91276561316019811</v>
      </c>
      <c r="M30" s="46">
        <f>+Model!M70/Model!$N$55</f>
        <v>0.96734967100288294</v>
      </c>
      <c r="N30" s="46">
        <f>+Model!N70/Model!$N$55</f>
        <v>1</v>
      </c>
      <c r="O30" s="42">
        <f>+Model!O70/Model!$O$55</f>
        <v>1</v>
      </c>
      <c r="P30" s="46">
        <f>+Model!P70/Model!$P$55</f>
        <v>1</v>
      </c>
      <c r="Q30" s="46">
        <f>+Model!Q70/Model!$Q$55</f>
        <v>1</v>
      </c>
      <c r="R30" s="46">
        <f>+Model!R70/Model!$R$55</f>
        <v>1.0033540749327172</v>
      </c>
      <c r="S30" s="46">
        <f>+Model!S70/Model!$S$55</f>
        <v>0.99999837373490807</v>
      </c>
      <c r="T30" s="46">
        <f>+Model!T70/Model!$T$55</f>
        <v>1</v>
      </c>
      <c r="U30" s="46">
        <f>+Model!U70/Model!$U$55</f>
        <v>1</v>
      </c>
      <c r="V30" s="46">
        <f>+Model!V70/Model!V$55</f>
        <v>1</v>
      </c>
      <c r="W30" s="92">
        <f>+Model!W70/Model!W$55</f>
        <v>1</v>
      </c>
      <c r="X30" s="92">
        <f>+Model!X70/Model!X$55</f>
        <v>1</v>
      </c>
      <c r="Y30" s="92">
        <f>+Model!Y70/Model!Y$55</f>
        <v>1</v>
      </c>
      <c r="Z30" s="46"/>
      <c r="AT30" s="14"/>
    </row>
    <row r="31" spans="2:46">
      <c r="Z31" s="23"/>
      <c r="AT31" s="13"/>
    </row>
    <row r="32" spans="2:46">
      <c r="Z32" s="23"/>
      <c r="AT32" s="13"/>
    </row>
    <row r="33" spans="2:46">
      <c r="Z33" s="23"/>
      <c r="AT33" s="13"/>
    </row>
    <row r="34" spans="2:46" s="10" customFormat="1">
      <c r="V34" s="26"/>
      <c r="W34" s="32"/>
      <c r="X34" s="32"/>
      <c r="Y34" s="32"/>
      <c r="Z34" s="26"/>
      <c r="AT34" s="14"/>
    </row>
    <row r="35" spans="2:46" s="10" customFormat="1">
      <c r="B35" s="10" t="s">
        <v>215</v>
      </c>
      <c r="V35" s="26"/>
      <c r="W35" s="32"/>
      <c r="X35" s="32"/>
      <c r="Y35" s="32"/>
      <c r="Z35" s="26"/>
      <c r="AT35" s="14"/>
    </row>
    <row r="36" spans="2:46" s="10" customFormat="1">
      <c r="B36" s="49" t="s">
        <v>114</v>
      </c>
      <c r="F36" s="40">
        <f t="shared" ref="F36:U51" si="0">STDEV(C4:F4)</f>
        <v>7.0785247288818543E-3</v>
      </c>
      <c r="G36" s="40">
        <f t="shared" si="0"/>
        <v>9.5306626630213415E-3</v>
      </c>
      <c r="H36" s="40">
        <f t="shared" si="0"/>
        <v>1.0671246444210395E-2</v>
      </c>
      <c r="I36" s="40">
        <f t="shared" si="0"/>
        <v>1.3287780194322838E-2</v>
      </c>
      <c r="J36" s="40">
        <f t="shared" si="0"/>
        <v>1.0693918086455071E-2</v>
      </c>
      <c r="K36" s="40">
        <f t="shared" si="0"/>
        <v>9.9206002729861839E-3</v>
      </c>
      <c r="L36" s="40">
        <f t="shared" si="0"/>
        <v>7.7030248174419589E-3</v>
      </c>
      <c r="M36" s="40">
        <f t="shared" si="0"/>
        <v>1.2767338028843007E-2</v>
      </c>
      <c r="N36" s="40">
        <f t="shared" si="0"/>
        <v>1.8387850879736083E-2</v>
      </c>
      <c r="O36" s="40">
        <f t="shared" si="0"/>
        <v>1.7325211483543119E-2</v>
      </c>
      <c r="P36" s="40">
        <f t="shared" si="0"/>
        <v>1.4105210955242895E-2</v>
      </c>
      <c r="Q36" s="40">
        <f t="shared" si="0"/>
        <v>1.1783793261194869E-2</v>
      </c>
      <c r="R36" s="40">
        <f t="shared" si="0"/>
        <v>9.8393425490674435E-3</v>
      </c>
      <c r="S36" s="40">
        <f t="shared" si="0"/>
        <v>6.6379995037671299E-3</v>
      </c>
      <c r="T36" s="40">
        <f t="shared" si="0"/>
        <v>7.0506789734753259E-3</v>
      </c>
      <c r="U36" s="40">
        <f t="shared" si="0"/>
        <v>4.6749808018943153E-3</v>
      </c>
      <c r="V36" s="40">
        <f>STDEV(S4:V4)</f>
        <v>7.3229549014013464E-3</v>
      </c>
      <c r="W36" s="92">
        <f t="shared" ref="W36:Y49" si="1">STDEV(T4:W4)</f>
        <v>1.1266993134116502E-2</v>
      </c>
      <c r="X36" s="92">
        <f t="shared" si="1"/>
        <v>1.8405149313001055E-2</v>
      </c>
      <c r="Y36" s="92">
        <f t="shared" si="1"/>
        <v>2.8799749086002337E-2</v>
      </c>
      <c r="Z36" s="40"/>
      <c r="AT36" s="14"/>
    </row>
    <row r="37" spans="2:46" s="10" customFormat="1">
      <c r="B37" s="49" t="s">
        <v>115</v>
      </c>
      <c r="F37" s="40">
        <f t="shared" si="0"/>
        <v>1.674165212352062E-3</v>
      </c>
      <c r="G37" s="40">
        <f t="shared" si="0"/>
        <v>1.5145049029843607E-3</v>
      </c>
      <c r="H37" s="40">
        <f t="shared" si="0"/>
        <v>1.5609813328508345E-3</v>
      </c>
      <c r="I37" s="40">
        <f t="shared" si="0"/>
        <v>1.4676609963375498E-3</v>
      </c>
      <c r="J37" s="40">
        <f t="shared" si="0"/>
        <v>3.5922059384795903E-3</v>
      </c>
      <c r="K37" s="40">
        <f t="shared" si="0"/>
        <v>3.6277533026998401E-3</v>
      </c>
      <c r="L37" s="40">
        <f t="shared" si="0"/>
        <v>2.8896681218421559E-3</v>
      </c>
      <c r="M37" s="40">
        <f t="shared" si="0"/>
        <v>1.2075336365468844E-3</v>
      </c>
      <c r="N37" s="40">
        <f t="shared" si="0"/>
        <v>2.987732943445951E-3</v>
      </c>
      <c r="O37" s="40">
        <f t="shared" si="0"/>
        <v>2.8063583198320095E-3</v>
      </c>
      <c r="P37" s="40">
        <f t="shared" si="0"/>
        <v>2.3739869152901586E-3</v>
      </c>
      <c r="Q37" s="40">
        <f t="shared" si="0"/>
        <v>1.7063149422469018E-3</v>
      </c>
      <c r="R37" s="40">
        <f t="shared" si="0"/>
        <v>2.5753813079196683E-3</v>
      </c>
      <c r="S37" s="40">
        <f t="shared" si="0"/>
        <v>2.8210919211892303E-3</v>
      </c>
      <c r="T37" s="40">
        <f t="shared" si="0"/>
        <v>2.9014241717493011E-3</v>
      </c>
      <c r="U37" s="40">
        <f t="shared" si="0"/>
        <v>3.0174368281918624E-3</v>
      </c>
      <c r="V37" s="40">
        <f t="shared" ref="V37:V62" si="2">STDEV(S5:V5)</f>
        <v>1.7548289085101369E-3</v>
      </c>
      <c r="W37" s="92">
        <f t="shared" si="1"/>
        <v>1.619908940082931E-3</v>
      </c>
      <c r="X37" s="92">
        <f t="shared" si="1"/>
        <v>1.4853409397178326E-3</v>
      </c>
      <c r="Y37" s="92">
        <f t="shared" si="1"/>
        <v>1.9202057333435336E-3</v>
      </c>
      <c r="Z37" s="40"/>
      <c r="AT37" s="14"/>
    </row>
    <row r="38" spans="2:46" s="21" customFormat="1">
      <c r="B38" s="49" t="s">
        <v>116</v>
      </c>
      <c r="C38" s="50"/>
      <c r="D38" s="50"/>
      <c r="E38" s="50"/>
      <c r="F38" s="40">
        <f t="shared" si="0"/>
        <v>2.7699501770346796E-4</v>
      </c>
      <c r="G38" s="40">
        <f t="shared" si="0"/>
        <v>3.4336847855095053E-4</v>
      </c>
      <c r="H38" s="40">
        <f t="shared" si="0"/>
        <v>3.6011135105377956E-4</v>
      </c>
      <c r="I38" s="40">
        <f t="shared" si="0"/>
        <v>3.0315713403164535E-4</v>
      </c>
      <c r="J38" s="40">
        <f t="shared" si="0"/>
        <v>3.9041979150360309E-4</v>
      </c>
      <c r="K38" s="40">
        <f t="shared" si="0"/>
        <v>3.0978663968336459E-4</v>
      </c>
      <c r="L38" s="40">
        <f t="shared" si="0"/>
        <v>3.2274177739179702E-4</v>
      </c>
      <c r="M38" s="40">
        <f t="shared" si="0"/>
        <v>4.7467966231298547E-4</v>
      </c>
      <c r="N38" s="40">
        <f t="shared" si="0"/>
        <v>6.5194363974197965E-4</v>
      </c>
      <c r="O38" s="40">
        <f t="shared" si="0"/>
        <v>4.2172682028550324E-4</v>
      </c>
      <c r="P38" s="40">
        <f t="shared" si="0"/>
        <v>3.0018587349816265E-4</v>
      </c>
      <c r="Q38" s="40">
        <f t="shared" si="0"/>
        <v>3.0558438444210046E-4</v>
      </c>
      <c r="R38" s="40">
        <f t="shared" si="0"/>
        <v>3.7219420399642165E-5</v>
      </c>
      <c r="S38" s="40">
        <f t="shared" si="0"/>
        <v>2.6947544946299333E-4</v>
      </c>
      <c r="T38" s="40">
        <f t="shared" si="0"/>
        <v>2.9778484032155192E-4</v>
      </c>
      <c r="U38" s="40">
        <f t="shared" si="0"/>
        <v>2.3688461055038231E-4</v>
      </c>
      <c r="V38" s="40">
        <f t="shared" si="2"/>
        <v>4.5624315427163529E-4</v>
      </c>
      <c r="W38" s="92">
        <f t="shared" si="1"/>
        <v>4.1101296797080614E-4</v>
      </c>
      <c r="X38" s="92">
        <f t="shared" si="1"/>
        <v>2.6796163109039104E-4</v>
      </c>
      <c r="Y38" s="92">
        <f t="shared" si="1"/>
        <v>2.2697047096950044E-4</v>
      </c>
      <c r="Z38" s="40"/>
      <c r="AT38" s="51"/>
    </row>
    <row r="39" spans="2:46">
      <c r="B39" s="49" t="s">
        <v>117</v>
      </c>
      <c r="F39" s="40">
        <f t="shared" si="0"/>
        <v>3.3619095495588606E-4</v>
      </c>
      <c r="G39" s="40">
        <f t="shared" si="0"/>
        <v>5.7221282494881369E-4</v>
      </c>
      <c r="H39" s="40">
        <f t="shared" si="0"/>
        <v>1.8415706976500159E-3</v>
      </c>
      <c r="I39" s="40">
        <f t="shared" si="0"/>
        <v>1.6100534172312497E-3</v>
      </c>
      <c r="J39" s="40">
        <f t="shared" si="0"/>
        <v>1.4528954203215762E-3</v>
      </c>
      <c r="K39" s="40">
        <f t="shared" si="0"/>
        <v>2.8690822381496664E-3</v>
      </c>
      <c r="L39" s="40">
        <f t="shared" si="0"/>
        <v>1.9366918859754212E-3</v>
      </c>
      <c r="M39" s="40">
        <f t="shared" si="0"/>
        <v>2.5365724934242962E-3</v>
      </c>
      <c r="N39" s="40">
        <f t="shared" si="0"/>
        <v>2.6248198918565621E-3</v>
      </c>
      <c r="O39" s="40">
        <f t="shared" si="0"/>
        <v>1.719357308671851E-3</v>
      </c>
      <c r="P39" s="40">
        <f t="shared" si="0"/>
        <v>1.3041994831071986E-3</v>
      </c>
      <c r="Q39" s="40">
        <f t="shared" si="0"/>
        <v>8.9761554101494827E-4</v>
      </c>
      <c r="R39" s="40">
        <f t="shared" si="0"/>
        <v>4.5531596854866919E-4</v>
      </c>
      <c r="S39" s="40">
        <f t="shared" si="0"/>
        <v>5.2097953667168829E-4</v>
      </c>
      <c r="T39" s="40">
        <f t="shared" si="0"/>
        <v>1.0511359189774817E-3</v>
      </c>
      <c r="U39" s="40">
        <f t="shared" si="0"/>
        <v>9.6182609570977023E-4</v>
      </c>
      <c r="V39" s="40">
        <f t="shared" si="2"/>
        <v>7.6666130344933616E-4</v>
      </c>
      <c r="W39" s="92">
        <f t="shared" si="1"/>
        <v>4.2924991310612205E-4</v>
      </c>
      <c r="X39" s="92">
        <f t="shared" si="1"/>
        <v>4.2689820365129368E-4</v>
      </c>
      <c r="Y39" s="92">
        <f t="shared" si="1"/>
        <v>3.9564990104260558E-4</v>
      </c>
      <c r="Z39" s="40"/>
      <c r="AT39" s="13"/>
    </row>
    <row r="40" spans="2:46">
      <c r="B40" s="49" t="s">
        <v>118</v>
      </c>
      <c r="F40" s="40">
        <f t="shared" si="0"/>
        <v>1.296295610338144E-3</v>
      </c>
      <c r="G40" s="40">
        <f t="shared" si="0"/>
        <v>1.296295610338144E-3</v>
      </c>
      <c r="H40" s="40">
        <f t="shared" si="0"/>
        <v>2.6629122609560232E-3</v>
      </c>
      <c r="I40" s="40">
        <f t="shared" si="0"/>
        <v>2.7689497521828591E-3</v>
      </c>
      <c r="J40" s="40">
        <f t="shared" si="0"/>
        <v>3.1717712945920529E-3</v>
      </c>
      <c r="K40" s="40">
        <f t="shared" si="0"/>
        <v>3.1717712945920529E-3</v>
      </c>
      <c r="L40" s="40">
        <f t="shared" si="0"/>
        <v>2.1252383142747215E-3</v>
      </c>
      <c r="M40" s="40">
        <f t="shared" si="0"/>
        <v>3.8720623612654433E-4</v>
      </c>
      <c r="N40" s="40">
        <f t="shared" si="0"/>
        <v>2.6103115715969626E-3</v>
      </c>
      <c r="O40" s="40">
        <f t="shared" si="0"/>
        <v>5.0147866444283182E-3</v>
      </c>
      <c r="P40" s="40">
        <f t="shared" si="0"/>
        <v>7.5015312366795359E-3</v>
      </c>
      <c r="Q40" s="40">
        <f t="shared" si="0"/>
        <v>5.2556281187363654E-3</v>
      </c>
      <c r="R40" s="40">
        <f t="shared" si="0"/>
        <v>1.7428152797839418E-2</v>
      </c>
      <c r="S40" s="40">
        <f t="shared" si="0"/>
        <v>1.7357997087869736E-2</v>
      </c>
      <c r="T40" s="40">
        <f t="shared" si="0"/>
        <v>1.6969882492930796E-2</v>
      </c>
      <c r="U40" s="40">
        <f t="shared" si="0"/>
        <v>3.8024401814050301E-3</v>
      </c>
      <c r="V40" s="40">
        <f t="shared" si="2"/>
        <v>1.5456431420835337E-2</v>
      </c>
      <c r="W40" s="92">
        <f t="shared" si="1"/>
        <v>2.0729023426190346E-2</v>
      </c>
      <c r="X40" s="92">
        <f t="shared" si="1"/>
        <v>1.8160557195039412E-2</v>
      </c>
      <c r="Y40" s="92">
        <f t="shared" si="1"/>
        <v>3.7899420392374836E-3</v>
      </c>
      <c r="Z40" s="40"/>
      <c r="AT40" s="13"/>
    </row>
    <row r="41" spans="2:46">
      <c r="B41" s="49" t="s">
        <v>119</v>
      </c>
      <c r="F41" s="40">
        <f t="shared" si="0"/>
        <v>1.127173872100996E-2</v>
      </c>
      <c r="G41" s="40">
        <f t="shared" si="0"/>
        <v>1.2272660124613307E-2</v>
      </c>
      <c r="H41" s="40">
        <f t="shared" si="0"/>
        <v>1.15778850448183E-2</v>
      </c>
      <c r="I41" s="40">
        <f t="shared" si="0"/>
        <v>3.9792045629553126E-3</v>
      </c>
      <c r="J41" s="40">
        <f t="shared" si="0"/>
        <v>1.0745460656881759E-2</v>
      </c>
      <c r="K41" s="40">
        <f t="shared" si="0"/>
        <v>1.213285420933685E-2</v>
      </c>
      <c r="L41" s="40">
        <f t="shared" si="0"/>
        <v>1.0920337494199923E-2</v>
      </c>
      <c r="M41" s="40">
        <f t="shared" si="0"/>
        <v>3.4331857466920754E-3</v>
      </c>
      <c r="N41" s="40">
        <f t="shared" si="0"/>
        <v>5.0101531049985062E-3</v>
      </c>
      <c r="O41" s="40">
        <f t="shared" si="0"/>
        <v>5.7555052823020578E-3</v>
      </c>
      <c r="P41" s="40">
        <f t="shared" si="0"/>
        <v>1.2987983680036719E-2</v>
      </c>
      <c r="Q41" s="40">
        <f t="shared" si="0"/>
        <v>1.0409308471849775E-2</v>
      </c>
      <c r="R41" s="40">
        <f t="shared" si="0"/>
        <v>7.757553124208786E-3</v>
      </c>
      <c r="S41" s="40">
        <f t="shared" si="0"/>
        <v>2.060002939726658E-3</v>
      </c>
      <c r="T41" s="40">
        <f t="shared" si="0"/>
        <v>4.3051188385676651E-3</v>
      </c>
      <c r="U41" s="40">
        <f t="shared" si="0"/>
        <v>6.2922062757506539E-3</v>
      </c>
      <c r="V41" s="40">
        <f t="shared" si="2"/>
        <v>8.4501200248364161E-3</v>
      </c>
      <c r="W41" s="92">
        <f t="shared" si="1"/>
        <v>6.2875719291870689E-3</v>
      </c>
      <c r="X41" s="92">
        <f t="shared" si="1"/>
        <v>4.0335975896340429E-3</v>
      </c>
      <c r="Y41" s="92">
        <f t="shared" si="1"/>
        <v>1.1792261918153661E-2</v>
      </c>
      <c r="Z41" s="40"/>
      <c r="AT41" s="13"/>
    </row>
    <row r="42" spans="2:46">
      <c r="B42" s="52" t="s">
        <v>120</v>
      </c>
      <c r="F42" s="40">
        <f t="shared" si="0"/>
        <v>3.2089673344143565E-3</v>
      </c>
      <c r="G42" s="40">
        <f t="shared" si="0"/>
        <v>3.4500420408253955E-3</v>
      </c>
      <c r="H42" s="40">
        <f t="shared" si="0"/>
        <v>8.3856419600609518E-3</v>
      </c>
      <c r="I42" s="40">
        <f t="shared" si="0"/>
        <v>1.5475399010531606E-2</v>
      </c>
      <c r="J42" s="40">
        <f t="shared" si="0"/>
        <v>1.6307171906597112E-2</v>
      </c>
      <c r="K42" s="40">
        <f t="shared" si="0"/>
        <v>9.9248679312163683E-3</v>
      </c>
      <c r="L42" s="40">
        <f t="shared" si="0"/>
        <v>3.9505737898564552E-3</v>
      </c>
      <c r="M42" s="40">
        <f t="shared" si="0"/>
        <v>1.5659853439000442E-2</v>
      </c>
      <c r="N42" s="40">
        <f t="shared" si="0"/>
        <v>2.3036347572489305E-2</v>
      </c>
      <c r="O42" s="40">
        <f t="shared" si="0"/>
        <v>2.1373172901611739E-2</v>
      </c>
      <c r="P42" s="40">
        <f t="shared" si="0"/>
        <v>9.0205318553153828E-3</v>
      </c>
      <c r="Q42" s="40">
        <f t="shared" si="0"/>
        <v>3.9422615268004503E-3</v>
      </c>
      <c r="R42" s="40">
        <f t="shared" si="0"/>
        <v>1.3658458515346758E-2</v>
      </c>
      <c r="S42" s="40">
        <f t="shared" si="0"/>
        <v>1.3237645364222759E-2</v>
      </c>
      <c r="T42" s="40">
        <f t="shared" si="0"/>
        <v>1.0614675454771325E-2</v>
      </c>
      <c r="U42" s="40">
        <f t="shared" si="0"/>
        <v>4.9054328270282544E-3</v>
      </c>
      <c r="V42" s="40">
        <f t="shared" si="2"/>
        <v>1.2575994453097688E-2</v>
      </c>
      <c r="W42" s="92">
        <f t="shared" si="1"/>
        <v>2.8086100724691542E-2</v>
      </c>
      <c r="X42" s="92">
        <f t="shared" si="1"/>
        <v>3.2460405163565569E-2</v>
      </c>
      <c r="Y42" s="92">
        <f t="shared" si="1"/>
        <v>2.3148464380936592E-2</v>
      </c>
      <c r="Z42" s="40"/>
      <c r="AT42" s="13"/>
    </row>
    <row r="43" spans="2:46">
      <c r="B43" s="49" t="s">
        <v>121</v>
      </c>
      <c r="F43" s="40">
        <f t="shared" si="0"/>
        <v>1.291045959774439E-3</v>
      </c>
      <c r="G43" s="40">
        <f t="shared" si="0"/>
        <v>1.3461241989724862E-3</v>
      </c>
      <c r="H43" s="40">
        <f t="shared" si="0"/>
        <v>1.0333392880295721E-3</v>
      </c>
      <c r="I43" s="40">
        <f t="shared" si="0"/>
        <v>2.3629135018881256E-3</v>
      </c>
      <c r="J43" s="40">
        <f t="shared" si="0"/>
        <v>3.9172290276955294E-3</v>
      </c>
      <c r="K43" s="40">
        <f t="shared" si="0"/>
        <v>3.7438569893640588E-3</v>
      </c>
      <c r="L43" s="40">
        <f t="shared" si="0"/>
        <v>2.3504081528002039E-3</v>
      </c>
      <c r="M43" s="40">
        <f t="shared" si="0"/>
        <v>9.5195543961729776E-3</v>
      </c>
      <c r="N43" s="40">
        <f t="shared" si="0"/>
        <v>1.0258834971271362E-2</v>
      </c>
      <c r="O43" s="40">
        <f t="shared" si="0"/>
        <v>7.3276299025032982E-3</v>
      </c>
      <c r="P43" s="40">
        <f t="shared" si="0"/>
        <v>4.3299009405759221E-3</v>
      </c>
      <c r="Q43" s="40">
        <f t="shared" si="0"/>
        <v>4.6188831713515959E-3</v>
      </c>
      <c r="R43" s="40">
        <f t="shared" si="0"/>
        <v>6.9397076562908912E-3</v>
      </c>
      <c r="S43" s="40">
        <f t="shared" si="0"/>
        <v>7.6982093839130256E-3</v>
      </c>
      <c r="T43" s="40">
        <f t="shared" si="0"/>
        <v>5.5779403595548199E-3</v>
      </c>
      <c r="U43" s="40">
        <f t="shared" si="0"/>
        <v>2.6277121687358004E-3</v>
      </c>
      <c r="V43" s="40">
        <f t="shared" si="2"/>
        <v>2.7188720197200596E-3</v>
      </c>
      <c r="W43" s="92">
        <f t="shared" si="1"/>
        <v>6.6595327216920916E-3</v>
      </c>
      <c r="X43" s="92">
        <f t="shared" si="1"/>
        <v>8.2356348621779561E-3</v>
      </c>
      <c r="Y43" s="92">
        <f t="shared" si="1"/>
        <v>4.9369602800495615E-3</v>
      </c>
      <c r="Z43" s="40"/>
      <c r="AT43" s="13"/>
    </row>
    <row r="44" spans="2:46">
      <c r="B44" s="49" t="s">
        <v>122</v>
      </c>
      <c r="F44" s="40">
        <f t="shared" si="0"/>
        <v>0</v>
      </c>
      <c r="G44" s="40">
        <f t="shared" si="0"/>
        <v>4.836320310057352E-3</v>
      </c>
      <c r="H44" s="40">
        <f t="shared" si="0"/>
        <v>4.836320310057352E-3</v>
      </c>
      <c r="I44" s="40">
        <f t="shared" si="0"/>
        <v>4.836320310057352E-3</v>
      </c>
      <c r="J44" s="40">
        <f t="shared" si="0"/>
        <v>4.836320310057352E-3</v>
      </c>
      <c r="K44" s="40">
        <f t="shared" si="0"/>
        <v>0</v>
      </c>
      <c r="L44" s="40">
        <f t="shared" si="0"/>
        <v>0</v>
      </c>
      <c r="M44" s="40">
        <f t="shared" si="0"/>
        <v>0</v>
      </c>
      <c r="N44" s="40">
        <f t="shared" si="0"/>
        <v>0</v>
      </c>
      <c r="O44" s="40">
        <f t="shared" si="0"/>
        <v>0</v>
      </c>
      <c r="P44" s="40">
        <f t="shared" si="0"/>
        <v>0</v>
      </c>
      <c r="Q44" s="40">
        <f t="shared" si="0"/>
        <v>5.4579127927211254E-3</v>
      </c>
      <c r="R44" s="40">
        <f t="shared" si="0"/>
        <v>8.496545481949426E-3</v>
      </c>
      <c r="S44" s="40">
        <f t="shared" si="0"/>
        <v>8.314682249093942E-3</v>
      </c>
      <c r="T44" s="40">
        <f t="shared" si="0"/>
        <v>5.2985327884777968E-3</v>
      </c>
      <c r="U44" s="40">
        <f t="shared" si="0"/>
        <v>5.2817871361861427E-3</v>
      </c>
      <c r="V44" s="40">
        <f t="shared" si="2"/>
        <v>9.8578131332322533E-3</v>
      </c>
      <c r="W44" s="92">
        <f t="shared" si="1"/>
        <v>1.2547355776730053E-2</v>
      </c>
      <c r="X44" s="92">
        <f t="shared" si="1"/>
        <v>1.1937049800818859E-2</v>
      </c>
      <c r="Y44" s="92">
        <f t="shared" si="1"/>
        <v>9.777204766279135E-3</v>
      </c>
      <c r="Z44" s="40"/>
      <c r="AT44" s="13"/>
    </row>
    <row r="45" spans="2:46">
      <c r="B45" s="49" t="s">
        <v>123</v>
      </c>
      <c r="F45" s="40">
        <f t="shared" si="0"/>
        <v>2.8994413670482568E-3</v>
      </c>
      <c r="G45" s="40">
        <f t="shared" si="0"/>
        <v>2.8994413670482568E-3</v>
      </c>
      <c r="H45" s="40">
        <f t="shared" si="0"/>
        <v>2.8994413670482568E-3</v>
      </c>
      <c r="I45" s="40">
        <f t="shared" si="0"/>
        <v>3.3467993387108147E-3</v>
      </c>
      <c r="J45" s="40">
        <f t="shared" si="0"/>
        <v>3.3809794199996888E-3</v>
      </c>
      <c r="K45" s="40">
        <f t="shared" si="0"/>
        <v>2.882269659949809E-3</v>
      </c>
      <c r="L45" s="40">
        <f t="shared" si="0"/>
        <v>1.6931118425452928E-4</v>
      </c>
      <c r="M45" s="40">
        <f t="shared" si="0"/>
        <v>1.7210829001929845E-4</v>
      </c>
      <c r="N45" s="40">
        <f t="shared" si="0"/>
        <v>1.492269168331316E-4</v>
      </c>
      <c r="O45" s="40">
        <f t="shared" si="0"/>
        <v>1.9252039996702384E-4</v>
      </c>
      <c r="P45" s="40">
        <f t="shared" si="0"/>
        <v>2.5443533203296109E-4</v>
      </c>
      <c r="Q45" s="40">
        <f t="shared" si="0"/>
        <v>2.4536405079430543E-4</v>
      </c>
      <c r="R45" s="40">
        <f t="shared" si="0"/>
        <v>3.1298026062485295E-4</v>
      </c>
      <c r="S45" s="40">
        <f t="shared" si="0"/>
        <v>2.9664297641391723E-4</v>
      </c>
      <c r="T45" s="40">
        <f t="shared" si="0"/>
        <v>2.0977077129220249E-4</v>
      </c>
      <c r="U45" s="40">
        <f t="shared" si="0"/>
        <v>1.958074559183874E-4</v>
      </c>
      <c r="V45" s="40">
        <f t="shared" si="2"/>
        <v>1.8425033766296948E-4</v>
      </c>
      <c r="W45" s="92">
        <f t="shared" si="1"/>
        <v>2.4947013087556192E-4</v>
      </c>
      <c r="X45" s="92">
        <f t="shared" si="1"/>
        <v>2.5723689878743504E-4</v>
      </c>
      <c r="Y45" s="92">
        <f t="shared" si="1"/>
        <v>1.0051119521659131E-4</v>
      </c>
      <c r="Z45" s="40"/>
      <c r="AT45" s="13"/>
    </row>
    <row r="46" spans="2:46">
      <c r="B46" s="49" t="s">
        <v>124</v>
      </c>
      <c r="F46" s="40">
        <f t="shared" si="0"/>
        <v>0</v>
      </c>
      <c r="G46" s="40">
        <f t="shared" si="0"/>
        <v>0</v>
      </c>
      <c r="H46" s="40">
        <f t="shared" si="0"/>
        <v>0</v>
      </c>
      <c r="I46" s="40">
        <f t="shared" si="0"/>
        <v>0</v>
      </c>
      <c r="J46" s="40">
        <f t="shared" si="0"/>
        <v>0</v>
      </c>
      <c r="K46" s="40">
        <f t="shared" si="0"/>
        <v>0.2301836734054199</v>
      </c>
      <c r="L46" s="40">
        <f t="shared" si="0"/>
        <v>0.26696993914707295</v>
      </c>
      <c r="M46" s="40">
        <f t="shared" si="0"/>
        <v>0.26640793054426298</v>
      </c>
      <c r="N46" s="40">
        <f t="shared" si="0"/>
        <v>0.23534850940589785</v>
      </c>
      <c r="O46" s="40">
        <f t="shared" si="0"/>
        <v>0.24161421290533172</v>
      </c>
      <c r="P46" s="40">
        <f t="shared" si="0"/>
        <v>0.24555949624736451</v>
      </c>
      <c r="Q46" s="40">
        <f t="shared" si="0"/>
        <v>6.9187991591672712E-3</v>
      </c>
      <c r="R46" s="40">
        <f t="shared" si="0"/>
        <v>1.4560404747607137E-2</v>
      </c>
      <c r="S46" s="40">
        <f t="shared" si="0"/>
        <v>1.2888295089424765E-2</v>
      </c>
      <c r="T46" s="40">
        <f t="shared" si="0"/>
        <v>7.9900042015954905E-3</v>
      </c>
      <c r="U46" s="40">
        <f t="shared" si="0"/>
        <v>1.2433191781303986E-3</v>
      </c>
      <c r="V46" s="40">
        <f t="shared" si="2"/>
        <v>0.23296467574100702</v>
      </c>
      <c r="W46" s="92">
        <f t="shared" si="1"/>
        <v>0.26931577566088871</v>
      </c>
      <c r="X46" s="92">
        <f t="shared" si="1"/>
        <v>0.23342238562054521</v>
      </c>
      <c r="Y46" s="92">
        <f t="shared" si="1"/>
        <v>0</v>
      </c>
      <c r="Z46" s="40"/>
      <c r="AT46" s="13"/>
    </row>
    <row r="47" spans="2:46">
      <c r="B47" s="49" t="s">
        <v>125</v>
      </c>
      <c r="F47" s="40">
        <f t="shared" si="0"/>
        <v>2.7459568746058477E-3</v>
      </c>
      <c r="G47" s="40">
        <f t="shared" si="0"/>
        <v>2.6978317752584472E-3</v>
      </c>
      <c r="H47" s="40">
        <f t="shared" si="0"/>
        <v>2.6237978606749746E-3</v>
      </c>
      <c r="I47" s="40">
        <f t="shared" si="0"/>
        <v>2.9960427981388141E-3</v>
      </c>
      <c r="J47" s="40">
        <f t="shared" si="0"/>
        <v>3.4137663940151906E-3</v>
      </c>
      <c r="K47" s="40">
        <f t="shared" si="0"/>
        <v>3.0149061201827339E-3</v>
      </c>
      <c r="L47" s="40">
        <f t="shared" si="0"/>
        <v>5.9138770093431674E-4</v>
      </c>
      <c r="M47" s="40">
        <f t="shared" si="0"/>
        <v>0.24917282513078162</v>
      </c>
      <c r="N47" s="40">
        <f t="shared" si="0"/>
        <v>0.2492016343169324</v>
      </c>
      <c r="O47" s="40">
        <f t="shared" si="0"/>
        <v>0.24911052747823748</v>
      </c>
      <c r="P47" s="40">
        <f t="shared" si="0"/>
        <v>0.24852718642667654</v>
      </c>
      <c r="Q47" s="40">
        <f t="shared" si="0"/>
        <v>2.6618323894171928E-3</v>
      </c>
      <c r="R47" s="40">
        <f t="shared" si="0"/>
        <v>2.473476221670004E-3</v>
      </c>
      <c r="S47" s="40">
        <f t="shared" si="0"/>
        <v>1.3589045981476681E-3</v>
      </c>
      <c r="T47" s="40">
        <f t="shared" si="0"/>
        <v>1.8120248977275536E-4</v>
      </c>
      <c r="U47" s="40">
        <f t="shared" si="0"/>
        <v>5.3165213974100552E-4</v>
      </c>
      <c r="V47" s="40">
        <f t="shared" si="2"/>
        <v>0.22971620812938356</v>
      </c>
      <c r="W47" s="92">
        <f t="shared" si="1"/>
        <v>0.27063483014119022</v>
      </c>
      <c r="X47" s="92">
        <f t="shared" si="1"/>
        <v>0.23680625004349629</v>
      </c>
      <c r="Y47" s="92">
        <f t="shared" si="1"/>
        <v>9.6227193390431946E-3</v>
      </c>
      <c r="Z47" s="40"/>
      <c r="AT47" s="13"/>
    </row>
    <row r="48" spans="2:46">
      <c r="B48" s="49" t="s">
        <v>126</v>
      </c>
      <c r="F48" s="40">
        <f t="shared" si="0"/>
        <v>0</v>
      </c>
      <c r="G48" s="40">
        <f t="shared" si="0"/>
        <v>0</v>
      </c>
      <c r="H48" s="40">
        <f t="shared" si="0"/>
        <v>0</v>
      </c>
      <c r="I48" s="40">
        <f t="shared" si="0"/>
        <v>0</v>
      </c>
      <c r="J48" s="40">
        <f t="shared" si="0"/>
        <v>0</v>
      </c>
      <c r="K48" s="40">
        <f t="shared" si="0"/>
        <v>0</v>
      </c>
      <c r="L48" s="40">
        <f t="shared" si="0"/>
        <v>0</v>
      </c>
      <c r="M48" s="40">
        <f t="shared" si="0"/>
        <v>3.2621765244597546E-4</v>
      </c>
      <c r="N48" s="40">
        <f t="shared" si="0"/>
        <v>3.2621765244597546E-4</v>
      </c>
      <c r="O48" s="40">
        <f t="shared" si="0"/>
        <v>3.1470769643398108E-4</v>
      </c>
      <c r="P48" s="40">
        <f t="shared" si="0"/>
        <v>2.902483442562361E-4</v>
      </c>
      <c r="Q48" s="40">
        <f t="shared" si="0"/>
        <v>1.7504388185369076E-4</v>
      </c>
      <c r="R48" s="40">
        <f t="shared" si="0"/>
        <v>1.8744423434479815E-3</v>
      </c>
      <c r="S48" s="40">
        <f t="shared" si="0"/>
        <v>1.7751472876010644E-3</v>
      </c>
      <c r="T48" s="40">
        <f t="shared" si="0"/>
        <v>1.6697648573508232E-3</v>
      </c>
      <c r="U48" s="40">
        <f t="shared" si="0"/>
        <v>1.5658927770497214E-3</v>
      </c>
      <c r="V48" s="40">
        <f t="shared" si="2"/>
        <v>1.3066177861387735E-4</v>
      </c>
      <c r="W48" s="92">
        <f t="shared" si="1"/>
        <v>8.0640072116769818E-5</v>
      </c>
      <c r="X48" s="92">
        <f t="shared" si="1"/>
        <v>4.2978210540478044E-5</v>
      </c>
      <c r="Y48" s="92">
        <f t="shared" si="1"/>
        <v>7.5350648753127976E-5</v>
      </c>
      <c r="Z48" s="40"/>
      <c r="AT48" s="13"/>
    </row>
    <row r="49" spans="2:46">
      <c r="B49" s="52" t="s">
        <v>127</v>
      </c>
      <c r="F49" s="40">
        <f t="shared" si="0"/>
        <v>1.9690329166770853E-3</v>
      </c>
      <c r="G49" s="40">
        <f t="shared" si="0"/>
        <v>4.1923193471302984E-3</v>
      </c>
      <c r="H49" s="40">
        <f t="shared" si="0"/>
        <v>7.1751206140516065E-3</v>
      </c>
      <c r="I49" s="40">
        <f t="shared" si="0"/>
        <v>1.5287589314332804E-2</v>
      </c>
      <c r="J49" s="40">
        <f t="shared" si="0"/>
        <v>1.5735248220771839E-2</v>
      </c>
      <c r="K49" s="40">
        <f t="shared" si="0"/>
        <v>0.23703479523760898</v>
      </c>
      <c r="L49" s="40">
        <f>STDEV(I17:L17)</f>
        <v>0.27082082341909558</v>
      </c>
      <c r="M49" s="40">
        <f t="shared" si="0"/>
        <v>0.24003074311102496</v>
      </c>
      <c r="N49" s="40">
        <f t="shared" si="0"/>
        <v>3.4430476165094606E-2</v>
      </c>
      <c r="O49" s="40">
        <f t="shared" si="0"/>
        <v>3.8218543824295882E-2</v>
      </c>
      <c r="P49" s="40">
        <f t="shared" si="0"/>
        <v>2.4344064530448333E-2</v>
      </c>
      <c r="Q49" s="40">
        <f t="shared" si="0"/>
        <v>9.7843306274786324E-3</v>
      </c>
      <c r="R49" s="40">
        <f t="shared" si="0"/>
        <v>0</v>
      </c>
      <c r="S49" s="40">
        <f t="shared" si="0"/>
        <v>0</v>
      </c>
      <c r="T49" s="40">
        <f t="shared" si="0"/>
        <v>0</v>
      </c>
      <c r="U49" s="40">
        <f t="shared" si="0"/>
        <v>0</v>
      </c>
      <c r="V49" s="40">
        <f t="shared" si="2"/>
        <v>0</v>
      </c>
      <c r="W49" s="92">
        <f t="shared" si="1"/>
        <v>0</v>
      </c>
      <c r="X49" s="92">
        <f t="shared" si="1"/>
        <v>0</v>
      </c>
      <c r="Y49" s="92">
        <f t="shared" si="1"/>
        <v>0</v>
      </c>
      <c r="Z49" s="40"/>
      <c r="AT49" s="13"/>
    </row>
    <row r="50" spans="2:46">
      <c r="B50" s="49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92"/>
      <c r="X50" s="92"/>
      <c r="Y50" s="92"/>
      <c r="Z50" s="40"/>
      <c r="AT50" s="13"/>
    </row>
    <row r="51" spans="2:46">
      <c r="B51" s="49" t="s">
        <v>128</v>
      </c>
      <c r="F51" s="40">
        <f t="shared" si="0"/>
        <v>4.9137249390515116E-4</v>
      </c>
      <c r="G51" s="40">
        <f t="shared" si="0"/>
        <v>1.6193781439454151E-3</v>
      </c>
      <c r="H51" s="40">
        <f t="shared" si="0"/>
        <v>1.5341329983266552E-3</v>
      </c>
      <c r="I51" s="40">
        <f t="shared" si="0"/>
        <v>1.8119440409035039E-3</v>
      </c>
      <c r="J51" s="40">
        <f t="shared" si="0"/>
        <v>1.4845460189838358E-3</v>
      </c>
      <c r="K51" s="40">
        <f t="shared" si="0"/>
        <v>1.4156406706374034E-3</v>
      </c>
      <c r="L51" s="40">
        <f t="shared" si="0"/>
        <v>1.1536189423761779E-3</v>
      </c>
      <c r="M51" s="40">
        <f t="shared" si="0"/>
        <v>1.6544582346128835E-3</v>
      </c>
      <c r="N51" s="40">
        <f t="shared" si="0"/>
        <v>1.7555135266814203E-3</v>
      </c>
      <c r="O51" s="40">
        <f t="shared" si="0"/>
        <v>2.3559405430331596E-3</v>
      </c>
      <c r="P51" s="40">
        <f t="shared" si="0"/>
        <v>3.2812028570303299E-3</v>
      </c>
      <c r="Q51" s="40">
        <f t="shared" si="0"/>
        <v>3.1700841076785138E-3</v>
      </c>
      <c r="R51" s="40">
        <f t="shared" si="0"/>
        <v>4.0986685109856607E-3</v>
      </c>
      <c r="S51" s="40">
        <f t="shared" si="0"/>
        <v>4.2013108212642985E-3</v>
      </c>
      <c r="T51" s="40">
        <f t="shared" si="0"/>
        <v>3.2037088799583488E-3</v>
      </c>
      <c r="U51" s="40">
        <f t="shared" ref="U51:U62" si="3">STDEV(R19:U19)</f>
        <v>2.3420655996641837E-3</v>
      </c>
      <c r="V51" s="40">
        <f t="shared" si="2"/>
        <v>1.5390528708646557E-3</v>
      </c>
      <c r="W51" s="92">
        <f t="shared" ref="W51:W62" si="4">STDEV(T19:W19)</f>
        <v>1.8072724925405432E-3</v>
      </c>
      <c r="X51" s="92">
        <f t="shared" ref="X51:X62" si="5">STDEV(U19:X19)</f>
        <v>9.5634763235329069E-4</v>
      </c>
      <c r="Y51" s="92">
        <f t="shared" ref="Y51:Y62" si="6">STDEV(V19:Y19)</f>
        <v>8.4635619422585733E-4</v>
      </c>
      <c r="Z51" s="40"/>
      <c r="AT51" s="13"/>
    </row>
    <row r="52" spans="2:46">
      <c r="B52" s="49" t="s">
        <v>129</v>
      </c>
      <c r="F52" s="40">
        <f t="shared" ref="F52:F62" si="7">STDEV(C20:F20)</f>
        <v>2.2989981801488429E-3</v>
      </c>
      <c r="G52" s="40">
        <f t="shared" ref="G52:G62" si="8">STDEV(D20:G20)</f>
        <v>2.8787648404474692E-3</v>
      </c>
      <c r="H52" s="40">
        <f t="shared" ref="H52:H62" si="9">STDEV(E20:H20)</f>
        <v>2.4818811392547193E-3</v>
      </c>
      <c r="I52" s="40">
        <f t="shared" ref="I52:I62" si="10">STDEV(F20:I20)</f>
        <v>3.7227436192763222E-3</v>
      </c>
      <c r="J52" s="40">
        <f t="shared" ref="J52:J62" si="11">STDEV(G20:J20)</f>
        <v>2.3922153378547733E-3</v>
      </c>
      <c r="K52" s="40">
        <f t="shared" ref="K52:K62" si="12">STDEV(H20:K20)</f>
        <v>2.473865736700612E-3</v>
      </c>
      <c r="L52" s="40">
        <f t="shared" ref="L52:L62" si="13">STDEV(I20:L20)</f>
        <v>2.3670293835466056E-3</v>
      </c>
      <c r="M52" s="40">
        <f t="shared" ref="M52:M62" si="14">STDEV(J20:M20)</f>
        <v>3.8435441854311691E-3</v>
      </c>
      <c r="N52" s="40">
        <f t="shared" ref="N52:N62" si="15">STDEV(K20:N20)</f>
        <v>3.7978739363418164E-3</v>
      </c>
      <c r="O52" s="40">
        <f t="shared" ref="O52:O62" si="16">STDEV(L20:O20)</f>
        <v>3.8221586920291206E-3</v>
      </c>
      <c r="P52" s="40">
        <f t="shared" ref="P52:P62" si="17">STDEV(M20:P20)</f>
        <v>1.9232496650195333E-3</v>
      </c>
      <c r="Q52" s="40">
        <f t="shared" ref="Q52:Q62" si="18">STDEV(N20:Q20)</f>
        <v>4.9121960436308886E-3</v>
      </c>
      <c r="R52" s="40">
        <f t="shared" ref="R52:R62" si="19">STDEV(O20:R20)</f>
        <v>5.5052637127188291E-3</v>
      </c>
      <c r="S52" s="40">
        <f t="shared" ref="S52:S62" si="20">STDEV(P20:S20)</f>
        <v>5.3846701366032481E-3</v>
      </c>
      <c r="T52" s="40">
        <f t="shared" ref="T52:T62" si="21">STDEV(Q20:T20)</f>
        <v>9.1410202899191366E-4</v>
      </c>
      <c r="U52" s="40">
        <f t="shared" si="3"/>
        <v>3.3288835417507406E-3</v>
      </c>
      <c r="V52" s="40">
        <f t="shared" si="2"/>
        <v>5.6222140194975099E-3</v>
      </c>
      <c r="W52" s="92">
        <f t="shared" si="4"/>
        <v>4.8388473651696578E-3</v>
      </c>
      <c r="X52" s="92">
        <f t="shared" si="5"/>
        <v>2.0595501514935133E-3</v>
      </c>
      <c r="Y52" s="92">
        <f t="shared" si="6"/>
        <v>3.3488706224192042E-3</v>
      </c>
      <c r="Z52" s="40"/>
      <c r="AT52" s="13"/>
    </row>
    <row r="53" spans="2:46">
      <c r="B53" s="49" t="s">
        <v>130</v>
      </c>
      <c r="F53" s="40">
        <f t="shared" si="7"/>
        <v>5.5796059070352538E-3</v>
      </c>
      <c r="G53" s="40">
        <f t="shared" si="8"/>
        <v>5.2830749878161444E-3</v>
      </c>
      <c r="H53" s="40">
        <f t="shared" si="9"/>
        <v>2.9707644766329986E-3</v>
      </c>
      <c r="I53" s="40">
        <f t="shared" si="10"/>
        <v>1.819144317792709E-3</v>
      </c>
      <c r="J53" s="40">
        <f t="shared" si="11"/>
        <v>2.2295471044507902E-3</v>
      </c>
      <c r="K53" s="40">
        <f t="shared" si="12"/>
        <v>4.4426868228188178E-3</v>
      </c>
      <c r="L53" s="40">
        <f t="shared" si="13"/>
        <v>4.6005110694175514E-3</v>
      </c>
      <c r="M53" s="40">
        <f t="shared" si="14"/>
        <v>2.5164094990996737E-3</v>
      </c>
      <c r="N53" s="40">
        <f t="shared" si="15"/>
        <v>3.1294179295235439E-3</v>
      </c>
      <c r="O53" s="40">
        <f t="shared" si="16"/>
        <v>2.3359124216067086E-3</v>
      </c>
      <c r="P53" s="40">
        <f t="shared" si="17"/>
        <v>1.4691103531863064E-3</v>
      </c>
      <c r="Q53" s="40">
        <f t="shared" si="18"/>
        <v>1.4069782716606639E-3</v>
      </c>
      <c r="R53" s="40">
        <f t="shared" si="19"/>
        <v>4.7582553876451752E-4</v>
      </c>
      <c r="S53" s="40">
        <f t="shared" si="20"/>
        <v>2.0133920795555806E-3</v>
      </c>
      <c r="T53" s="40">
        <f t="shared" si="21"/>
        <v>2.7296202807741E-3</v>
      </c>
      <c r="U53" s="40">
        <f t="shared" si="3"/>
        <v>2.2586073806368577E-3</v>
      </c>
      <c r="V53" s="40">
        <f t="shared" si="2"/>
        <v>1.4778817260632873E-3</v>
      </c>
      <c r="W53" s="92">
        <f t="shared" si="4"/>
        <v>2.0361477813985733E-3</v>
      </c>
      <c r="X53" s="92">
        <f t="shared" si="5"/>
        <v>2.0356036640912672E-3</v>
      </c>
      <c r="Y53" s="92">
        <f t="shared" si="6"/>
        <v>2.0408022543693216E-3</v>
      </c>
      <c r="Z53" s="40"/>
    </row>
    <row r="54" spans="2:46">
      <c r="B54" s="49" t="s">
        <v>131</v>
      </c>
      <c r="F54" s="40">
        <f t="shared" si="7"/>
        <v>0</v>
      </c>
      <c r="G54" s="40">
        <f t="shared" si="8"/>
        <v>0</v>
      </c>
      <c r="H54" s="40">
        <f t="shared" si="9"/>
        <v>0</v>
      </c>
      <c r="I54" s="40">
        <f t="shared" si="10"/>
        <v>0</v>
      </c>
      <c r="J54" s="40">
        <f t="shared" si="11"/>
        <v>6.9029840512603918E-3</v>
      </c>
      <c r="K54" s="40">
        <f t="shared" si="12"/>
        <v>7.2928807108662598E-3</v>
      </c>
      <c r="L54" s="40">
        <f t="shared" si="13"/>
        <v>6.2772108403558518E-3</v>
      </c>
      <c r="M54" s="40">
        <f t="shared" si="14"/>
        <v>1.0937265087041662E-3</v>
      </c>
      <c r="N54" s="40">
        <f t="shared" si="15"/>
        <v>3.4523681172586489E-3</v>
      </c>
      <c r="O54" s="40">
        <f t="shared" si="16"/>
        <v>3.0982878645293781E-3</v>
      </c>
      <c r="P54" s="40">
        <f t="shared" si="17"/>
        <v>2.7632795362077596E-3</v>
      </c>
      <c r="Q54" s="40">
        <f t="shared" si="18"/>
        <v>1.5564677981324479E-3</v>
      </c>
      <c r="R54" s="40">
        <f t="shared" si="19"/>
        <v>2.8581850688386662E-3</v>
      </c>
      <c r="S54" s="40">
        <f t="shared" si="20"/>
        <v>2.3730502483417836E-3</v>
      </c>
      <c r="T54" s="40">
        <f t="shared" si="21"/>
        <v>2.1831594288210694E-3</v>
      </c>
      <c r="U54" s="40">
        <f t="shared" si="3"/>
        <v>1.7215052754787964E-3</v>
      </c>
      <c r="V54" s="40">
        <f t="shared" si="2"/>
        <v>2.7581260737019773E-3</v>
      </c>
      <c r="W54" s="92">
        <f t="shared" si="4"/>
        <v>2.6026821560401737E-3</v>
      </c>
      <c r="X54" s="92">
        <f t="shared" si="5"/>
        <v>2.1961305221525683E-3</v>
      </c>
      <c r="Y54" s="92">
        <f t="shared" si="6"/>
        <v>1.7578406280715764E-3</v>
      </c>
      <c r="Z54" s="40"/>
      <c r="AA54" s="13"/>
      <c r="AB54" s="13"/>
      <c r="AC54" s="13"/>
      <c r="AD54" s="13"/>
      <c r="AE54" s="13"/>
      <c r="AF54" s="13"/>
      <c r="AG54" s="13"/>
    </row>
    <row r="55" spans="2:46">
      <c r="B55" s="49" t="s">
        <v>132</v>
      </c>
      <c r="F55" s="40">
        <f t="shared" si="7"/>
        <v>0</v>
      </c>
      <c r="G55" s="40">
        <f t="shared" si="8"/>
        <v>0</v>
      </c>
      <c r="H55" s="40">
        <f t="shared" si="9"/>
        <v>0</v>
      </c>
      <c r="I55" s="40">
        <f t="shared" si="10"/>
        <v>0</v>
      </c>
      <c r="J55" s="40">
        <f t="shared" si="11"/>
        <v>0</v>
      </c>
      <c r="K55" s="40">
        <f t="shared" si="12"/>
        <v>1.5443411477168456E-2</v>
      </c>
      <c r="L55" s="40">
        <f t="shared" si="13"/>
        <v>1.8037706503651191E-2</v>
      </c>
      <c r="M55" s="40">
        <f t="shared" si="14"/>
        <v>1.5875971000820503E-2</v>
      </c>
      <c r="N55" s="40">
        <f t="shared" si="15"/>
        <v>1.3238816185562484E-3</v>
      </c>
      <c r="O55" s="40">
        <f t="shared" si="16"/>
        <v>1.2203077181181E-3</v>
      </c>
      <c r="P55" s="40">
        <f t="shared" si="17"/>
        <v>1.6939629828868806E-3</v>
      </c>
      <c r="Q55" s="40">
        <f t="shared" si="18"/>
        <v>1.2753692738831949E-3</v>
      </c>
      <c r="R55" s="40">
        <f t="shared" si="19"/>
        <v>1.1581482763224275E-3</v>
      </c>
      <c r="S55" s="40">
        <f t="shared" si="20"/>
        <v>1.2316527285513596E-3</v>
      </c>
      <c r="T55" s="40">
        <f t="shared" si="21"/>
        <v>7.4980798453946852E-4</v>
      </c>
      <c r="U55" s="40">
        <f t="shared" si="3"/>
        <v>8.5667298816293185E-4</v>
      </c>
      <c r="V55" s="40">
        <f t="shared" si="2"/>
        <v>7.6305846056839315E-4</v>
      </c>
      <c r="W55" s="92">
        <f t="shared" si="4"/>
        <v>9.5320072738751477E-4</v>
      </c>
      <c r="X55" s="92">
        <f t="shared" si="5"/>
        <v>1.3612503965630075E-3</v>
      </c>
      <c r="Y55" s="92">
        <f t="shared" si="6"/>
        <v>1.0105687295934465E-3</v>
      </c>
      <c r="Z55" s="40"/>
      <c r="AG55" s="14"/>
    </row>
    <row r="56" spans="2:46">
      <c r="B56" s="52" t="s">
        <v>133</v>
      </c>
      <c r="F56" s="40">
        <f t="shared" si="7"/>
        <v>5.1605517888351094E-3</v>
      </c>
      <c r="G56" s="40">
        <f t="shared" si="8"/>
        <v>7.990349559085827E-3</v>
      </c>
      <c r="H56" s="40">
        <f t="shared" si="9"/>
        <v>4.36187213365329E-3</v>
      </c>
      <c r="I56" s="40">
        <f t="shared" si="10"/>
        <v>6.3884936356705556E-3</v>
      </c>
      <c r="J56" s="40">
        <f t="shared" si="11"/>
        <v>8.3361637934996086E-3</v>
      </c>
      <c r="K56" s="40">
        <f t="shared" si="12"/>
        <v>1.9105101137724404E-2</v>
      </c>
      <c r="L56" s="40">
        <f t="shared" si="13"/>
        <v>1.6341892378982328E-2</v>
      </c>
      <c r="M56" s="40">
        <f t="shared" si="14"/>
        <v>1.5182217746338E-2</v>
      </c>
      <c r="N56" s="40">
        <f t="shared" si="15"/>
        <v>1.0348190206214828E-2</v>
      </c>
      <c r="O56" s="40">
        <f t="shared" si="16"/>
        <v>1.0408876672296936E-2</v>
      </c>
      <c r="P56" s="40">
        <f t="shared" si="17"/>
        <v>4.4132769189515336E-3</v>
      </c>
      <c r="Q56" s="40">
        <f t="shared" si="18"/>
        <v>6.308468595782094E-3</v>
      </c>
      <c r="R56" s="40">
        <f t="shared" si="19"/>
        <v>6.093106250571469E-3</v>
      </c>
      <c r="S56" s="40">
        <f t="shared" si="20"/>
        <v>3.4261382936419046E-3</v>
      </c>
      <c r="T56" s="40">
        <f t="shared" si="21"/>
        <v>4.2639562343879875E-3</v>
      </c>
      <c r="U56" s="40">
        <f t="shared" si="3"/>
        <v>4.1442468391623011E-3</v>
      </c>
      <c r="V56" s="40">
        <f t="shared" si="2"/>
        <v>6.6101823574598845E-2</v>
      </c>
      <c r="W56" s="92">
        <f t="shared" si="4"/>
        <v>7.5240407987762409E-2</v>
      </c>
      <c r="X56" s="92">
        <f t="shared" si="5"/>
        <v>6.4198822886286935E-2</v>
      </c>
      <c r="Y56" s="92">
        <f t="shared" si="6"/>
        <v>0</v>
      </c>
      <c r="Z56" s="40"/>
    </row>
    <row r="57" spans="2:46">
      <c r="B57" s="49" t="s">
        <v>134</v>
      </c>
      <c r="F57" s="40">
        <f t="shared" si="7"/>
        <v>0</v>
      </c>
      <c r="G57" s="40">
        <f t="shared" si="8"/>
        <v>0</v>
      </c>
      <c r="H57" s="40">
        <f t="shared" si="9"/>
        <v>0</v>
      </c>
      <c r="I57" s="40">
        <f t="shared" si="10"/>
        <v>0</v>
      </c>
      <c r="J57" s="40">
        <f t="shared" si="11"/>
        <v>0</v>
      </c>
      <c r="K57" s="40">
        <f t="shared" si="12"/>
        <v>0.24623859167136181</v>
      </c>
      <c r="L57" s="40">
        <f t="shared" si="13"/>
        <v>0.28551683759569002</v>
      </c>
      <c r="M57" s="40">
        <f t="shared" si="14"/>
        <v>0.25136993946419789</v>
      </c>
      <c r="N57" s="40">
        <f t="shared" si="15"/>
        <v>1.5757096774633193E-2</v>
      </c>
      <c r="O57" s="40">
        <f t="shared" si="16"/>
        <v>1.4978394409575215E-2</v>
      </c>
      <c r="P57" s="40">
        <f t="shared" si="17"/>
        <v>5.4784943401803912E-3</v>
      </c>
      <c r="Q57" s="40">
        <f t="shared" si="18"/>
        <v>7.3016944405812226E-3</v>
      </c>
      <c r="R57" s="40">
        <f t="shared" si="19"/>
        <v>1.5482355314059826E-2</v>
      </c>
      <c r="S57" s="40">
        <f t="shared" si="20"/>
        <v>1.4130442150030868E-2</v>
      </c>
      <c r="T57" s="40">
        <f t="shared" si="21"/>
        <v>9.1314219433169998E-3</v>
      </c>
      <c r="U57" s="40">
        <f t="shared" si="3"/>
        <v>8.0694831259806477E-4</v>
      </c>
      <c r="V57" s="40">
        <f t="shared" si="2"/>
        <v>0.1817540284568443</v>
      </c>
      <c r="W57" s="92">
        <f t="shared" si="4"/>
        <v>0.21068690455315051</v>
      </c>
      <c r="X57" s="92">
        <f t="shared" si="5"/>
        <v>0.18252384614537026</v>
      </c>
      <c r="Y57" s="92">
        <f t="shared" si="6"/>
        <v>4.8890261873643336E-3</v>
      </c>
      <c r="Z57" s="40"/>
    </row>
    <row r="58" spans="2:46">
      <c r="B58" s="49" t="s">
        <v>135</v>
      </c>
      <c r="F58" s="40">
        <f t="shared" si="7"/>
        <v>1.2854764722686212E-3</v>
      </c>
      <c r="G58" s="40">
        <f t="shared" si="8"/>
        <v>9.6770538793696935E-4</v>
      </c>
      <c r="H58" s="40">
        <f t="shared" si="9"/>
        <v>1.3884290889062928E-3</v>
      </c>
      <c r="I58" s="40">
        <f t="shared" si="10"/>
        <v>2.3141759210553378E-3</v>
      </c>
      <c r="J58" s="40">
        <f t="shared" si="11"/>
        <v>1.7538191854520832E-3</v>
      </c>
      <c r="K58" s="40">
        <f t="shared" si="12"/>
        <v>1.4144190047091058E-3</v>
      </c>
      <c r="L58" s="40">
        <f t="shared" si="13"/>
        <v>1.8844084033478275E-3</v>
      </c>
      <c r="M58" s="40">
        <f t="shared" si="14"/>
        <v>1.1703270414299305E-3</v>
      </c>
      <c r="N58" s="40">
        <f t="shared" si="15"/>
        <v>3.3108870015010256E-3</v>
      </c>
      <c r="O58" s="40">
        <f t="shared" si="16"/>
        <v>5.8698804521870006E-3</v>
      </c>
      <c r="P58" s="40">
        <f t="shared" si="17"/>
        <v>7.6398178338912453E-3</v>
      </c>
      <c r="Q58" s="40">
        <f t="shared" si="18"/>
        <v>4.8189033320305951E-3</v>
      </c>
      <c r="R58" s="40">
        <f t="shared" si="19"/>
        <v>5.2190883158969451E-3</v>
      </c>
      <c r="S58" s="40">
        <f t="shared" si="20"/>
        <v>3.7709345841712176E-3</v>
      </c>
      <c r="T58" s="40">
        <f t="shared" si="21"/>
        <v>3.37121532418343E-3</v>
      </c>
      <c r="U58" s="40">
        <f t="shared" si="3"/>
        <v>1.6826395349105162E-3</v>
      </c>
      <c r="V58" s="40">
        <f t="shared" si="2"/>
        <v>1.0950078483254201E-2</v>
      </c>
      <c r="W58" s="92">
        <f t="shared" si="4"/>
        <v>1.2572071408211073E-2</v>
      </c>
      <c r="X58" s="92">
        <f t="shared" si="5"/>
        <v>1.1195284785502734E-2</v>
      </c>
      <c r="Y58" s="92">
        <f t="shared" si="6"/>
        <v>0</v>
      </c>
      <c r="Z58" s="40"/>
    </row>
    <row r="59" spans="2:46">
      <c r="B59" s="52" t="s">
        <v>136</v>
      </c>
      <c r="F59" s="40">
        <f t="shared" si="7"/>
        <v>4.5308313421068647E-4</v>
      </c>
      <c r="G59" s="40">
        <f t="shared" si="8"/>
        <v>3.4906870894875871E-4</v>
      </c>
      <c r="H59" s="40">
        <f t="shared" si="9"/>
        <v>3.1573563504802169E-4</v>
      </c>
      <c r="I59" s="40">
        <f t="shared" si="10"/>
        <v>3.0594044859687394E-4</v>
      </c>
      <c r="J59" s="40">
        <f t="shared" si="11"/>
        <v>5.4032561426506332E-4</v>
      </c>
      <c r="K59" s="40">
        <f t="shared" si="12"/>
        <v>5.0038168738596341E-4</v>
      </c>
      <c r="L59" s="40">
        <f t="shared" si="13"/>
        <v>4.4573209652471965E-4</v>
      </c>
      <c r="M59" s="40">
        <f t="shared" si="14"/>
        <v>5.921402288517081E-4</v>
      </c>
      <c r="N59" s="40">
        <f t="shared" si="15"/>
        <v>5.731806454309981E-4</v>
      </c>
      <c r="O59" s="40">
        <f t="shared" si="16"/>
        <v>4.7131517207819879E-4</v>
      </c>
      <c r="P59" s="40">
        <f t="shared" si="17"/>
        <v>3.600635735302117E-4</v>
      </c>
      <c r="Q59" s="40">
        <f t="shared" si="18"/>
        <v>4.3939682657112659E-4</v>
      </c>
      <c r="R59" s="40">
        <f t="shared" si="19"/>
        <v>4.222718646158996E-4</v>
      </c>
      <c r="S59" s="40">
        <f t="shared" si="20"/>
        <v>1.4040921957278479E-4</v>
      </c>
      <c r="T59" s="40">
        <f t="shared" si="21"/>
        <v>1.1710472202258705E-4</v>
      </c>
      <c r="U59" s="40">
        <f t="shared" si="3"/>
        <v>1.7491533579766123E-4</v>
      </c>
      <c r="V59" s="40">
        <f t="shared" si="2"/>
        <v>0.24481367989477532</v>
      </c>
      <c r="W59" s="92">
        <f t="shared" si="4"/>
        <v>0.2882587457457394</v>
      </c>
      <c r="X59" s="92">
        <f t="shared" si="5"/>
        <v>0.25195791953220142</v>
      </c>
      <c r="Y59" s="92">
        <f t="shared" si="6"/>
        <v>9.8852967472738782E-3</v>
      </c>
      <c r="Z59" s="40"/>
      <c r="AT59" s="14"/>
    </row>
    <row r="60" spans="2:46">
      <c r="B60" s="49" t="s">
        <v>137</v>
      </c>
      <c r="F60" s="40">
        <f t="shared" si="7"/>
        <v>5.6491140791255084E-3</v>
      </c>
      <c r="G60" s="40">
        <f t="shared" si="8"/>
        <v>9.2142598542258713E-3</v>
      </c>
      <c r="H60" s="40">
        <f t="shared" si="9"/>
        <v>6.3197719850413255E-3</v>
      </c>
      <c r="I60" s="40">
        <f t="shared" si="10"/>
        <v>9.1108964046823122E-3</v>
      </c>
      <c r="J60" s="40">
        <f t="shared" si="11"/>
        <v>8.7573468466991804E-3</v>
      </c>
      <c r="K60" s="40">
        <f t="shared" si="12"/>
        <v>0.23092206930393841</v>
      </c>
      <c r="L60" s="40">
        <f t="shared" si="13"/>
        <v>0.26262708118721712</v>
      </c>
      <c r="M60" s="40">
        <f t="shared" si="14"/>
        <v>0.23263659554640587</v>
      </c>
      <c r="N60" s="40">
        <f t="shared" si="15"/>
        <v>2.8170580585830121E-2</v>
      </c>
      <c r="O60" s="40">
        <f t="shared" si="16"/>
        <v>3.0025595915585374E-2</v>
      </c>
      <c r="P60" s="40">
        <f t="shared" si="17"/>
        <v>1.4795179358553246E-2</v>
      </c>
      <c r="Q60" s="40">
        <f t="shared" si="18"/>
        <v>5.260036873393441E-3</v>
      </c>
      <c r="R60" s="40">
        <f t="shared" si="19"/>
        <v>8.0270364804637742E-3</v>
      </c>
      <c r="S60" s="40">
        <f t="shared" si="20"/>
        <v>1.1437133060072944E-2</v>
      </c>
      <c r="T60" s="40">
        <f t="shared" si="21"/>
        <v>1.0407935953857856E-2</v>
      </c>
      <c r="U60" s="40">
        <f t="shared" si="3"/>
        <v>5.5427188889877648E-3</v>
      </c>
      <c r="V60" s="40">
        <f t="shared" si="2"/>
        <v>3.1390634685442989E-3</v>
      </c>
      <c r="W60" s="92">
        <f t="shared" si="4"/>
        <v>8.2554654639605402E-3</v>
      </c>
      <c r="X60" s="92">
        <f t="shared" si="5"/>
        <v>1.017782548566519E-2</v>
      </c>
      <c r="Y60" s="92">
        <f t="shared" si="6"/>
        <v>8.140098517938732E-3</v>
      </c>
      <c r="Z60" s="40"/>
    </row>
    <row r="61" spans="2:46" s="10" customFormat="1">
      <c r="B61" s="49" t="s">
        <v>138</v>
      </c>
      <c r="C61" s="32"/>
      <c r="D61" s="32"/>
      <c r="E61" s="32"/>
      <c r="F61" s="40">
        <f t="shared" si="7"/>
        <v>7.1413720695984936E-3</v>
      </c>
      <c r="G61" s="40">
        <f t="shared" si="8"/>
        <v>7.9576350449776512E-3</v>
      </c>
      <c r="H61" s="40">
        <f t="shared" si="9"/>
        <v>2.8906171705296037E-3</v>
      </c>
      <c r="I61" s="40">
        <f t="shared" si="10"/>
        <v>6.6225347956918217E-3</v>
      </c>
      <c r="J61" s="40">
        <f t="shared" si="11"/>
        <v>7.2190274112896909E-3</v>
      </c>
      <c r="K61" s="40">
        <f t="shared" si="12"/>
        <v>7.3547855515065886E-3</v>
      </c>
      <c r="L61" s="40">
        <f t="shared" si="13"/>
        <v>9.2711784774008477E-3</v>
      </c>
      <c r="M61" s="40">
        <f t="shared" si="14"/>
        <v>1.5305119184414465E-2</v>
      </c>
      <c r="N61" s="40">
        <f t="shared" si="15"/>
        <v>1.7307925675343533E-2</v>
      </c>
      <c r="O61" s="40">
        <f t="shared" si="16"/>
        <v>1.1897297317670285E-2</v>
      </c>
      <c r="P61" s="40">
        <f t="shared" si="17"/>
        <v>5.7058068775412349E-3</v>
      </c>
      <c r="Q61" s="40">
        <f t="shared" si="18"/>
        <v>5.2600368733934245E-3</v>
      </c>
      <c r="R61" s="40">
        <f t="shared" si="19"/>
        <v>9.6743262655707516E-3</v>
      </c>
      <c r="S61" s="40">
        <f t="shared" si="20"/>
        <v>1.2197904441599676E-2</v>
      </c>
      <c r="T61" s="40">
        <f t="shared" si="21"/>
        <v>1.0557090224019686E-2</v>
      </c>
      <c r="U61" s="40">
        <f t="shared" si="3"/>
        <v>4.2622510339296506E-3</v>
      </c>
      <c r="V61" s="40">
        <f t="shared" si="2"/>
        <v>3.1396954600076497E-3</v>
      </c>
      <c r="W61" s="92">
        <f t="shared" si="4"/>
        <v>8.2554654639605176E-3</v>
      </c>
      <c r="X61" s="92">
        <f t="shared" si="5"/>
        <v>1.0177825485665174E-2</v>
      </c>
      <c r="Y61" s="92">
        <f t="shared" si="6"/>
        <v>8.1400985179387181E-3</v>
      </c>
      <c r="Z61" s="40"/>
    </row>
    <row r="62" spans="2:46">
      <c r="B62" s="52" t="s">
        <v>139</v>
      </c>
      <c r="C62" s="53"/>
      <c r="D62" s="53"/>
      <c r="E62" s="53"/>
      <c r="F62" s="40">
        <f t="shared" si="7"/>
        <v>1.9652706287258317E-3</v>
      </c>
      <c r="G62" s="40">
        <f t="shared" si="8"/>
        <v>4.1923193471302984E-3</v>
      </c>
      <c r="H62" s="40">
        <f t="shared" si="9"/>
        <v>7.1751206140516065E-3</v>
      </c>
      <c r="I62" s="40">
        <f t="shared" si="10"/>
        <v>1.5287589314332804E-2</v>
      </c>
      <c r="J62" s="40">
        <f t="shared" si="11"/>
        <v>1.5735248220771839E-2</v>
      </c>
      <c r="K62" s="40">
        <f t="shared" si="12"/>
        <v>0.23703479523760898</v>
      </c>
      <c r="L62" s="40">
        <f t="shared" si="13"/>
        <v>0.27082082341909558</v>
      </c>
      <c r="M62" s="40">
        <f t="shared" si="14"/>
        <v>0.24401274195691633</v>
      </c>
      <c r="N62" s="40">
        <f t="shared" si="15"/>
        <v>4.4959026588176645E-2</v>
      </c>
      <c r="O62" s="40">
        <f t="shared" si="16"/>
        <v>4.1161454291247956E-2</v>
      </c>
      <c r="P62" s="40">
        <f t="shared" si="17"/>
        <v>1.6325164498558531E-2</v>
      </c>
      <c r="Q62" s="40">
        <f t="shared" si="18"/>
        <v>0</v>
      </c>
      <c r="R62" s="40">
        <f t="shared" si="19"/>
        <v>1.6770374663586107E-3</v>
      </c>
      <c r="S62" s="40">
        <f t="shared" si="20"/>
        <v>1.6773086857378129E-3</v>
      </c>
      <c r="T62" s="40">
        <f t="shared" si="21"/>
        <v>1.6773086857378129E-3</v>
      </c>
      <c r="U62" s="40">
        <f t="shared" si="3"/>
        <v>1.6773086857378126E-3</v>
      </c>
      <c r="V62" s="40">
        <f t="shared" si="2"/>
        <v>8.1313254596260265E-7</v>
      </c>
      <c r="W62" s="92">
        <f t="shared" si="4"/>
        <v>0</v>
      </c>
      <c r="X62" s="92">
        <f t="shared" si="5"/>
        <v>0</v>
      </c>
      <c r="Y62" s="92">
        <f t="shared" si="6"/>
        <v>0</v>
      </c>
      <c r="Z62" s="40"/>
    </row>
    <row r="63" spans="2:46">
      <c r="S63" s="26"/>
    </row>
    <row r="67" spans="45:45">
      <c r="AS67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34CF-0C4A-B240-91BB-4015F29D8D70}">
  <dimension ref="B3:Z30"/>
  <sheetViews>
    <sheetView zoomScale="158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AA18" sqref="AA18"/>
    </sheetView>
  </sheetViews>
  <sheetFormatPr baseColWidth="10" defaultRowHeight="14"/>
  <cols>
    <col min="1" max="1" width="10.83203125" style="3"/>
    <col min="2" max="2" width="23.33203125" style="3" bestFit="1" customWidth="1"/>
    <col min="3" max="21" width="6.1640625" style="55" bestFit="1" customWidth="1"/>
    <col min="22" max="23" width="6" style="3" bestFit="1" customWidth="1"/>
    <col min="24" max="24" width="6" style="3" customWidth="1"/>
    <col min="25" max="26" width="6" style="3" bestFit="1" customWidth="1"/>
    <col min="27" max="16384" width="10.83203125" style="3"/>
  </cols>
  <sheetData>
    <row r="3" spans="2:26">
      <c r="B3" s="27"/>
      <c r="C3" s="20" t="s">
        <v>187</v>
      </c>
      <c r="D3" s="20" t="s">
        <v>188</v>
      </c>
      <c r="E3" s="20" t="s">
        <v>189</v>
      </c>
      <c r="F3" s="20" t="s">
        <v>190</v>
      </c>
      <c r="G3" s="20" t="s">
        <v>183</v>
      </c>
      <c r="H3" s="20" t="s">
        <v>184</v>
      </c>
      <c r="I3" s="20" t="s">
        <v>185</v>
      </c>
      <c r="J3" s="20" t="s">
        <v>186</v>
      </c>
      <c r="K3" s="20" t="s">
        <v>0</v>
      </c>
      <c r="L3" s="20" t="s">
        <v>1</v>
      </c>
      <c r="M3" s="20" t="s">
        <v>2</v>
      </c>
      <c r="N3" s="20" t="s">
        <v>3</v>
      </c>
      <c r="O3" s="20" t="s">
        <v>4</v>
      </c>
      <c r="P3" s="20" t="s">
        <v>5</v>
      </c>
      <c r="Q3" s="20" t="s">
        <v>6</v>
      </c>
      <c r="R3" s="20" t="s">
        <v>7</v>
      </c>
      <c r="S3" s="20" t="s">
        <v>8</v>
      </c>
      <c r="T3" s="20" t="s">
        <v>9</v>
      </c>
      <c r="U3" s="20" t="s">
        <v>10</v>
      </c>
      <c r="V3" s="20" t="s">
        <v>11</v>
      </c>
      <c r="W3" s="20" t="s">
        <v>195</v>
      </c>
      <c r="X3" s="20" t="s">
        <v>196</v>
      </c>
      <c r="Y3" s="3" t="s">
        <v>197</v>
      </c>
      <c r="Z3" s="3" t="s">
        <v>198</v>
      </c>
    </row>
    <row r="4" spans="2:26">
      <c r="B4" s="27" t="str">
        <f>+Model!B14</f>
        <v xml:space="preserve">Total Revenue </v>
      </c>
      <c r="C4" s="28">
        <f>+Model!C14/Model!C$14</f>
        <v>1</v>
      </c>
      <c r="D4" s="28">
        <f>+Model!D14/Model!D$14</f>
        <v>1</v>
      </c>
      <c r="E4" s="28">
        <f>+Model!E14/Model!E$14</f>
        <v>1</v>
      </c>
      <c r="F4" s="28">
        <f>+Model!F14/Model!F$14</f>
        <v>1</v>
      </c>
      <c r="G4" s="28">
        <f>+Model!G14/Model!G$14</f>
        <v>1</v>
      </c>
      <c r="H4" s="28">
        <f>+Model!H14/Model!H$14</f>
        <v>1</v>
      </c>
      <c r="I4" s="28">
        <f>+Model!I14/Model!I$14</f>
        <v>1</v>
      </c>
      <c r="J4" s="28">
        <f>+Model!J14/Model!J$14</f>
        <v>1</v>
      </c>
      <c r="K4" s="28">
        <f>+Model!K14/Model!K$14</f>
        <v>1</v>
      </c>
      <c r="L4" s="28">
        <f>+Model!L14/Model!L$14</f>
        <v>1</v>
      </c>
      <c r="M4" s="28">
        <f>+Model!M14/Model!M$14</f>
        <v>1</v>
      </c>
      <c r="N4" s="28">
        <f>+Model!N14/Model!N$14</f>
        <v>1</v>
      </c>
      <c r="O4" s="28">
        <f>+Model!O14/Model!O$14</f>
        <v>1</v>
      </c>
      <c r="P4" s="28">
        <f>+Model!P14/Model!P$14</f>
        <v>1</v>
      </c>
      <c r="Q4" s="28">
        <f>+Model!Q14/Model!Q$14</f>
        <v>1</v>
      </c>
      <c r="R4" s="28">
        <f>+Model!R14/Model!R$14</f>
        <v>1</v>
      </c>
      <c r="S4" s="28">
        <f>+Model!S14/Model!S$14</f>
        <v>1</v>
      </c>
      <c r="T4" s="28">
        <f>+Model!T14/Model!T$14</f>
        <v>1</v>
      </c>
      <c r="U4" s="28">
        <f>+Model!U14/Model!U$14</f>
        <v>1</v>
      </c>
      <c r="V4" s="28">
        <f>+Model!V14/Model!V$14</f>
        <v>1</v>
      </c>
      <c r="W4" s="28">
        <f>+Model!W14/Model!W$14</f>
        <v>1</v>
      </c>
      <c r="X4" s="28">
        <f>+Model!X14/Model!X$14</f>
        <v>1</v>
      </c>
      <c r="Y4" s="28">
        <f>+Model!Y14/Model!Y$14</f>
        <v>1</v>
      </c>
      <c r="Z4" s="28">
        <f>+Model!Z14/Model!Z$14</f>
        <v>1</v>
      </c>
    </row>
    <row r="5" spans="2:26">
      <c r="B5" s="27" t="str">
        <f>+Model!B15</f>
        <v xml:space="preserve">Food, beverage, packaging </v>
      </c>
      <c r="C5" s="54">
        <f>+Model!C15/Model!C$14</f>
        <v>0.33849661639046097</v>
      </c>
      <c r="D5" s="54">
        <f>+Model!D15/Model!D$14</f>
        <v>0.34132796994037157</v>
      </c>
      <c r="E5" s="54">
        <f>+Model!E15/Model!E$14</f>
        <v>0.34977049377966341</v>
      </c>
      <c r="F5" s="54">
        <f>+Model!F15/Model!F$14</f>
        <v>0.34223403297000271</v>
      </c>
      <c r="G5" s="54">
        <f>+Model!G15/Model!G$14</f>
        <v>0.32385577461452791</v>
      </c>
      <c r="H5" s="54">
        <f>+Model!H15/Model!H$14</f>
        <v>0.32616618766383476</v>
      </c>
      <c r="I5" s="54">
        <f>+Model!I15/Model!I$14</f>
        <v>0.33404951971703017</v>
      </c>
      <c r="J5" s="54">
        <f>+Model!J15/Model!J$14</f>
        <v>0.33184959769350258</v>
      </c>
      <c r="K5" s="54">
        <f>+Model!K15/Model!K$14</f>
        <v>0.32209258861488577</v>
      </c>
      <c r="L5" s="54">
        <f>+Model!L15/Model!L$14</f>
        <v>0.33696385031421017</v>
      </c>
      <c r="M5" s="54">
        <f>+Model!M15/Model!M$14</f>
        <v>0.33233382987924032</v>
      </c>
      <c r="N5" s="54">
        <f>+Model!N15/Model!N$14</f>
        <v>0.33103808851956362</v>
      </c>
      <c r="O5" s="54">
        <f>+Model!O15/Model!O$14</f>
        <v>0.32769221390841324</v>
      </c>
      <c r="P5" s="54">
        <f>+Model!P15/Model!P$14</f>
        <v>0.33321853718442662</v>
      </c>
      <c r="Q5" s="54">
        <f>+Model!Q15/Model!Q$14</f>
        <v>0.32300267138915983</v>
      </c>
      <c r="R5" s="54">
        <f>+Model!R15/Model!R$14</f>
        <v>0.31003725796318987</v>
      </c>
      <c r="S5" s="54">
        <f>+Model!S15/Model!S$14</f>
        <v>0.3001139772906708</v>
      </c>
      <c r="T5" s="54">
        <f>+Model!T15/Model!T$14</f>
        <v>0.30354899082607589</v>
      </c>
      <c r="U5" s="54">
        <f>+Model!U15/Model!U$14</f>
        <v>0.30288759754445366</v>
      </c>
      <c r="V5" s="54">
        <f>+Model!V15/Model!V$14</f>
        <v>0.31630090894114299</v>
      </c>
      <c r="W5" s="54">
        <f>+Model!W15/Model!W$14</f>
        <v>0.31027661430935011</v>
      </c>
      <c r="X5" s="54">
        <f>+Model!X15/Model!X$14</f>
        <v>0.30448476261431257</v>
      </c>
      <c r="Y5" s="54">
        <f>+Model!Y15/Model!Y$14</f>
        <v>0.29841791750650287</v>
      </c>
      <c r="Z5" s="54">
        <f>+Model!Z15/Model!Z$14</f>
        <v>0.31630090894114299</v>
      </c>
    </row>
    <row r="6" spans="2:26">
      <c r="B6" s="27" t="str">
        <f>+Model!B16</f>
        <v>Labor</v>
      </c>
      <c r="C6" s="54">
        <f>+Model!C16/Model!C$14</f>
        <v>0.26931436179220436</v>
      </c>
      <c r="D6" s="54">
        <f>+Model!D16/Model!D$14</f>
        <v>0.2615432239703987</v>
      </c>
      <c r="E6" s="54">
        <f>+Model!E16/Model!E$14</f>
        <v>0.27202293466563365</v>
      </c>
      <c r="F6" s="54">
        <f>+Model!F16/Model!F$14</f>
        <v>0.2751355733717683</v>
      </c>
      <c r="G6" s="54">
        <f>+Model!G16/Model!G$14</f>
        <v>0.2776592067029085</v>
      </c>
      <c r="H6" s="54">
        <f>+Model!H16/Model!H$14</f>
        <v>0.26990651549126743</v>
      </c>
      <c r="I6" s="54">
        <f>+Model!I16/Model!I$14</f>
        <v>0.27172497789808547</v>
      </c>
      <c r="J6" s="54">
        <f>+Model!J16/Model!J$14</f>
        <v>0.27142240263954204</v>
      </c>
      <c r="K6" s="54">
        <f>+Model!K16/Model!K$14</f>
        <v>0.26665453819970236</v>
      </c>
      <c r="L6" s="54">
        <f>+Model!L16/Model!L$14</f>
        <v>0.25662044677600748</v>
      </c>
      <c r="M6" s="54">
        <f>+Model!M16/Model!M$14</f>
        <v>0.2661863635813142</v>
      </c>
      <c r="N6" s="54">
        <f>+Model!N16/Model!N$14</f>
        <v>0.26490323727420179</v>
      </c>
      <c r="O6" s="54">
        <f>+Model!O16/Model!O$14</f>
        <v>0.27897137170286906</v>
      </c>
      <c r="P6" s="54">
        <f>+Model!P16/Model!P$14</f>
        <v>0.28230033896616052</v>
      </c>
      <c r="Q6" s="54">
        <f>+Model!Q16/Model!Q$14</f>
        <v>0.25341229688262995</v>
      </c>
      <c r="R6" s="54">
        <f>+Model!R16/Model!R$14</f>
        <v>0.25400352053541997</v>
      </c>
      <c r="S6" s="54">
        <f>+Model!S16/Model!S$14</f>
        <v>0.24900966079554426</v>
      </c>
      <c r="T6" s="54">
        <f>+Model!T16/Model!T$14</f>
        <v>0.24544077846785639</v>
      </c>
      <c r="U6" s="54">
        <f>+Model!U16/Model!U$14</f>
        <v>0.25751838202339272</v>
      </c>
      <c r="V6" s="54">
        <f>+Model!V16/Model!V$14</f>
        <v>0.26360313225371601</v>
      </c>
      <c r="W6" s="54">
        <f>+Model!W16/Model!W$14</f>
        <v>0.26326638585050821</v>
      </c>
      <c r="X6" s="54">
        <f>+Model!X16/Model!X$14</f>
        <v>0.24845990605144536</v>
      </c>
      <c r="Y6" s="54">
        <f>+Model!Y16/Model!Y$14</f>
        <v>0.25096129809587081</v>
      </c>
      <c r="Z6" s="54">
        <f>+Model!Z16/Model!Z$14</f>
        <v>0.26360313225371601</v>
      </c>
    </row>
    <row r="7" spans="2:26">
      <c r="B7" s="27" t="str">
        <f>+Model!B17</f>
        <v>Occupancy</v>
      </c>
      <c r="C7" s="54">
        <f>+Model!C17/Model!C$14</f>
        <v>7.3877112241527876E-2</v>
      </c>
      <c r="D7" s="54">
        <f>+Model!D17/Model!D$14</f>
        <v>6.8685122142894406E-2</v>
      </c>
      <c r="E7" s="54">
        <f>+Model!E17/Model!E$14</f>
        <v>7.3753140308171275E-2</v>
      </c>
      <c r="F7" s="54">
        <f>+Model!F17/Model!F$14</f>
        <v>7.6254391496261592E-2</v>
      </c>
      <c r="G7" s="54">
        <f>+Model!G17/Model!G$14</f>
        <v>7.4239135072627319E-2</v>
      </c>
      <c r="H7" s="54">
        <f>+Model!H17/Model!H$14</f>
        <v>6.8512143511353943E-2</v>
      </c>
      <c r="I7" s="54">
        <f>+Model!I17/Model!I$14</f>
        <v>7.0767758878112527E-2</v>
      </c>
      <c r="J7" s="54">
        <f>+Model!J17/Model!J$14</f>
        <v>7.2162937192515306E-2</v>
      </c>
      <c r="K7" s="54">
        <f>+Model!K17/Model!K$14</f>
        <v>6.785571506867745E-2</v>
      </c>
      <c r="L7" s="54">
        <f>+Model!L17/Model!L$14</f>
        <v>6.2697710480389843E-2</v>
      </c>
      <c r="M7" s="54">
        <f>+Model!M17/Model!M$14</f>
        <v>6.5120179069984477E-2</v>
      </c>
      <c r="N7" s="54">
        <f>+Model!N17/Model!N$14</f>
        <v>6.4552458506454552E-2</v>
      </c>
      <c r="O7" s="54">
        <f>+Model!O17/Model!O$14</f>
        <v>6.7536781280036748E-2</v>
      </c>
      <c r="P7" s="54">
        <f>+Model!P17/Model!P$14</f>
        <v>7.0032489752611851E-2</v>
      </c>
      <c r="Q7" s="54">
        <f>+Model!Q17/Model!Q$14</f>
        <v>6.1004836975323058E-2</v>
      </c>
      <c r="R7" s="54">
        <f>+Model!R17/Model!R$14</f>
        <v>6.1710756293112561E-2</v>
      </c>
      <c r="S7" s="54">
        <f>+Model!S17/Model!S$14</f>
        <v>5.8435037250764398E-2</v>
      </c>
      <c r="T7" s="54">
        <f>+Model!T17/Model!T$14</f>
        <v>5.4651478596466754E-2</v>
      </c>
      <c r="U7" s="54">
        <f>+Model!U17/Model!U$14</f>
        <v>5.3384315543342137E-2</v>
      </c>
      <c r="V7" s="54">
        <f>+Model!V17/Model!V$14</f>
        <v>5.4668058734092508E-2</v>
      </c>
      <c r="W7" s="54">
        <f>+Model!W17/Model!W$14</f>
        <v>5.5446591231349658E-2</v>
      </c>
      <c r="X7" s="54">
        <f>+Model!X17/Model!X$14</f>
        <v>5.1469295937043531E-2</v>
      </c>
      <c r="Y7" s="54">
        <f>+Model!Y17/Model!Y$14</f>
        <v>5.2169761392683006E-2</v>
      </c>
      <c r="Z7" s="54">
        <f>+Model!Z17/Model!Z$14</f>
        <v>5.4668058734092508E-2</v>
      </c>
    </row>
    <row r="8" spans="2:26">
      <c r="B8" s="27" t="str">
        <f>+Model!B18</f>
        <v>Other op costs</v>
      </c>
      <c r="C8" s="54">
        <f>+Model!C18/Model!C$14</f>
        <v>0.14091028592974181</v>
      </c>
      <c r="D8" s="54">
        <f>+Model!D18/Model!D$14</f>
        <v>0.13997241341566552</v>
      </c>
      <c r="E8" s="54">
        <f>+Model!E18/Model!E$14</f>
        <v>0.14388417781103013</v>
      </c>
      <c r="F8" s="54">
        <f>+Model!F18/Model!F$14</f>
        <v>0.15767768669489235</v>
      </c>
      <c r="G8" s="54">
        <f>+Model!G18/Model!G$14</f>
        <v>0.12893537687750839</v>
      </c>
      <c r="H8" s="54">
        <f>+Model!H18/Model!H$14</f>
        <v>0.13830890945267346</v>
      </c>
      <c r="I8" s="54">
        <f>+Model!I18/Model!I$14</f>
        <v>0.13672411667851694</v>
      </c>
      <c r="J8" s="54">
        <f>+Model!J18/Model!J$14</f>
        <v>0.15452536649195428</v>
      </c>
      <c r="K8" s="54">
        <f>+Model!K18/Model!K$14</f>
        <v>0.13357340563530362</v>
      </c>
      <c r="L8" s="54">
        <f>+Model!L18/Model!L$14</f>
        <v>0.1347823328320194</v>
      </c>
      <c r="M8" s="54">
        <f>+Model!M18/Model!M$14</f>
        <v>0.12841731513282426</v>
      </c>
      <c r="N8" s="54">
        <f>+Model!N18/Model!N$14</f>
        <v>0.14724792810007331</v>
      </c>
      <c r="O8" s="54">
        <f>+Model!O18/Model!O$14</f>
        <v>0.14939479944314177</v>
      </c>
      <c r="P8" s="54">
        <f>+Model!P18/Model!P$14</f>
        <v>0.19225521675222643</v>
      </c>
      <c r="Q8" s="54">
        <f>+Model!Q18/Model!Q$14</f>
        <v>0.16761187300722985</v>
      </c>
      <c r="R8" s="54">
        <f>+Model!R18/Model!R$14</f>
        <v>0.17942041786143023</v>
      </c>
      <c r="S8" s="54">
        <f>+Model!S18/Model!S$14</f>
        <v>0.16922038958988272</v>
      </c>
      <c r="T8" s="54">
        <f>+Model!T18/Model!T$14</f>
        <v>0.15177608058596445</v>
      </c>
      <c r="U8" s="54">
        <f>+Model!U18/Model!U$14</f>
        <v>0.15092339094869425</v>
      </c>
      <c r="V8" s="54">
        <f>+Model!V18/Model!V$14</f>
        <v>0.1634431329065664</v>
      </c>
      <c r="W8" s="54">
        <f>+Model!W18/Model!W$14</f>
        <v>0.16366672457200776</v>
      </c>
      <c r="X8" s="54">
        <f>+Model!X18/Model!X$14</f>
        <v>0.14343984360281006</v>
      </c>
      <c r="Y8" s="54">
        <f>+Model!Y18/Model!Y$14</f>
        <v>0.14507189748555857</v>
      </c>
      <c r="Z8" s="54">
        <f>+Model!Z18/Model!Z$14</f>
        <v>0.1634431329065664</v>
      </c>
    </row>
    <row r="9" spans="2:26">
      <c r="B9" s="27" t="str">
        <f>+Model!B19</f>
        <v>G&amp;A</v>
      </c>
      <c r="C9" s="54">
        <f>+Model!C19/Model!C$14</f>
        <v>6.4969232683619177E-2</v>
      </c>
      <c r="D9" s="54">
        <f>+Model!D19/Model!D$14</f>
        <v>5.9923431408514902E-2</v>
      </c>
      <c r="E9" s="54">
        <f>+Model!E19/Model!E$14</f>
        <v>8.7921537062284921E-2</v>
      </c>
      <c r="F9" s="54">
        <f>+Model!F19/Model!F$14</f>
        <v>5.1968291144941899E-2</v>
      </c>
      <c r="G9" s="54">
        <f>+Model!G19/Model!G$14</f>
        <v>6.7104842663295014E-2</v>
      </c>
      <c r="H9" s="54">
        <f>+Model!H19/Model!H$14</f>
        <v>6.7233837602248686E-2</v>
      </c>
      <c r="I9" s="54">
        <f>+Model!I19/Model!I$14</f>
        <v>8.9406836042569549E-2</v>
      </c>
      <c r="J9" s="54">
        <f>+Model!J19/Model!J$14</f>
        <v>8.4665171775119771E-2</v>
      </c>
      <c r="K9" s="54">
        <f>+Model!K19/Model!K$14</f>
        <v>7.8481628047946173E-2</v>
      </c>
      <c r="L9" s="54">
        <f>+Model!L19/Model!L$14</f>
        <v>8.4641177048885435E-2</v>
      </c>
      <c r="M9" s="54">
        <f>+Model!M19/Model!M$14</f>
        <v>8.1976380942610838E-2</v>
      </c>
      <c r="N9" s="54">
        <f>+Model!N19/Model!N$14</f>
        <v>7.8054524851689733E-2</v>
      </c>
      <c r="O9" s="54">
        <f>+Model!O19/Model!O$14</f>
        <v>7.5469317508428016E-2</v>
      </c>
      <c r="P9" s="54">
        <f>+Model!P19/Model!P$14</f>
        <v>7.5213704022310507E-2</v>
      </c>
      <c r="Q9" s="54">
        <f>+Model!Q19/Model!Q$14</f>
        <v>8.3145270367312882E-2</v>
      </c>
      <c r="R9" s="54">
        <f>+Model!R19/Model!R$14</f>
        <v>7.7143265887504586E-2</v>
      </c>
      <c r="S9" s="54">
        <f>+Model!S19/Model!S$14</f>
        <v>8.9059041384953269E-2</v>
      </c>
      <c r="T9" s="54">
        <f>+Model!T19/Model!T$14</f>
        <v>7.7168331626630476E-2</v>
      </c>
      <c r="U9" s="54">
        <f>+Model!U19/Model!U$14</f>
        <v>7.4747159141839298E-2</v>
      </c>
      <c r="V9" s="54">
        <f>+Model!V19/Model!V$14</f>
        <v>8.1492558780761115E-2</v>
      </c>
      <c r="W9" s="54">
        <f>+Model!W19/Model!W$14</f>
        <v>7.2951821271452819E-2</v>
      </c>
      <c r="X9" s="54">
        <f>+Model!X19/Model!X$14</f>
        <v>6.3623331084845108E-2</v>
      </c>
      <c r="Y9" s="54">
        <f>+Model!Y19/Model!Y$14</f>
        <v>6.3461664058013442E-2</v>
      </c>
      <c r="Z9" s="54">
        <f>+Model!Z19/Model!Z$14</f>
        <v>8.1492558780761115E-2</v>
      </c>
    </row>
    <row r="10" spans="2:26">
      <c r="B10" s="27" t="str">
        <f>+Model!B20</f>
        <v>D&amp;A</v>
      </c>
      <c r="C10" s="54">
        <f>+Model!C20/Model!C$14</f>
        <v>3.6749564242736676E-2</v>
      </c>
      <c r="D10" s="54">
        <f>+Model!D20/Model!D$14</f>
        <v>3.5129710819738862E-2</v>
      </c>
      <c r="E10" s="54">
        <f>+Model!E20/Model!E$14</f>
        <v>3.6829144187349415E-2</v>
      </c>
      <c r="F10" s="54">
        <f>+Model!F20/Model!F$14</f>
        <v>3.7331771912440317E-2</v>
      </c>
      <c r="G10" s="54">
        <f>+Model!G20/Model!G$14</f>
        <v>4.0852597141929139E-2</v>
      </c>
      <c r="H10" s="54">
        <f>+Model!H20/Model!H$14</f>
        <v>3.8841076335154594E-2</v>
      </c>
      <c r="I10" s="54">
        <f>+Model!I20/Model!I$14</f>
        <v>4.2982611527934124E-2</v>
      </c>
      <c r="J10" s="54">
        <f>+Model!J20/Model!J$14</f>
        <v>4.3440285830664761E-2</v>
      </c>
      <c r="K10" s="54">
        <f>+Model!K20/Model!K$14</f>
        <v>4.1110152214808397E-2</v>
      </c>
      <c r="L10" s="54">
        <f>+Model!L20/Model!L$14</f>
        <v>3.6006752050401922E-2</v>
      </c>
      <c r="M10" s="54">
        <f>+Model!M20/Model!M$14</f>
        <v>3.7191787116450346E-2</v>
      </c>
      <c r="N10" s="54">
        <f>+Model!N20/Model!N$14</f>
        <v>3.829196013953385E-2</v>
      </c>
      <c r="O10" s="54">
        <f>+Model!O20/Model!O$14</f>
        <v>4.1377345169878621E-2</v>
      </c>
      <c r="P10" s="54">
        <f>+Model!P20/Model!P$14</f>
        <v>4.3982068353046522E-2</v>
      </c>
      <c r="Q10" s="54">
        <f>+Model!Q20/Model!Q$14</f>
        <v>3.7579289303078404E-2</v>
      </c>
      <c r="R10" s="54">
        <f>+Model!R20/Model!R$14</f>
        <v>3.7292795342443598E-2</v>
      </c>
      <c r="S10" s="54">
        <f>+Model!S20/Model!S$14</f>
        <v>3.6244204240414565E-2</v>
      </c>
      <c r="T10" s="54">
        <f>+Model!T20/Model!T$14</f>
        <v>3.2803568541292169E-2</v>
      </c>
      <c r="U10" s="54">
        <f>+Model!U20/Model!U$14</f>
        <v>3.2367215331542298E-2</v>
      </c>
      <c r="V10" s="54">
        <f>+Model!V20/Model!V$14</f>
        <v>3.3796228054918998E-2</v>
      </c>
      <c r="W10" s="54">
        <f>+Model!W20/Model!W$14</f>
        <v>3.5468258717104691E-2</v>
      </c>
      <c r="X10" s="54">
        <f>+Model!X20/Model!X$14</f>
        <v>3.1505792831554497E-2</v>
      </c>
      <c r="Y10" s="54">
        <f>+Model!Y20/Model!Y$14</f>
        <v>3.2166833695542019E-2</v>
      </c>
      <c r="Z10" s="54">
        <f>+Model!Z20/Model!Z$14</f>
        <v>3.3796228054918998E-2</v>
      </c>
    </row>
    <row r="11" spans="2:26">
      <c r="B11" s="27" t="str">
        <f>+Model!B21</f>
        <v>Pre-opening costs</v>
      </c>
      <c r="C11" s="54">
        <f>+Model!C21/Model!C$14</f>
        <v>3.8069700578857797E-3</v>
      </c>
      <c r="D11" s="54">
        <f>+Model!D21/Model!D$14</f>
        <v>2.4824505369806459E-3</v>
      </c>
      <c r="E11" s="54">
        <f>+Model!E21/Model!E$14</f>
        <v>2.4750149369633552E-3</v>
      </c>
      <c r="F11" s="54">
        <f>+Model!F21/Model!F$14</f>
        <v>2.3214124853616789E-3</v>
      </c>
      <c r="G11" s="54">
        <f>+Model!G21/Model!G$14</f>
        <v>2.3066935911535821E-3</v>
      </c>
      <c r="H11" s="54">
        <f>+Model!H21/Model!H$14</f>
        <v>1.5901841265830781E-3</v>
      </c>
      <c r="I11" s="54">
        <f>+Model!I21/Model!I$14</f>
        <v>1.7363166088030517E-3</v>
      </c>
      <c r="J11" s="54">
        <f>+Model!J21/Model!J$14</f>
        <v>1.433398010384789E-3</v>
      </c>
      <c r="K11" s="54">
        <f>+Model!K21/Model!K$14</f>
        <v>7.1853522771833721E-4</v>
      </c>
      <c r="L11" s="54">
        <f>+Model!L21/Model!L$14</f>
        <v>1.4767495612631439E-3</v>
      </c>
      <c r="M11" s="54">
        <f>+Model!M21/Model!M$14</f>
        <v>2.1828072582615763E-3</v>
      </c>
      <c r="N11" s="54">
        <f>+Model!N21/Model!N$14</f>
        <v>3.4619614726598084E-3</v>
      </c>
      <c r="O11" s="54">
        <f>+Model!O21/Model!O$14</f>
        <v>2.5276940568709897E-3</v>
      </c>
      <c r="P11" s="54">
        <f>+Model!P21/Model!P$14</f>
        <v>2.670109574145367E-3</v>
      </c>
      <c r="Q11" s="54">
        <f>+Model!Q21/Model!Q$14</f>
        <v>2.3778985321721928E-3</v>
      </c>
      <c r="R11" s="54">
        <f>+Model!R21/Model!R$14</f>
        <v>2.7971462515005816E-3</v>
      </c>
      <c r="S11" s="54">
        <f>+Model!S21/Model!S$14</f>
        <v>1.9643139112584872E-3</v>
      </c>
      <c r="T11" s="54">
        <f>+Model!T21/Model!T$14</f>
        <v>2.623461193381586E-3</v>
      </c>
      <c r="U11" s="54">
        <f>+Model!U21/Model!U$14</f>
        <v>3.0189800313986217E-3</v>
      </c>
      <c r="V11" s="54">
        <f>+Model!V21/Model!V$14</f>
        <v>3.5621148884059381E-3</v>
      </c>
      <c r="W11" s="54">
        <f>+Model!W21/Model!W$14</f>
        <v>2.6468184974405345E-3</v>
      </c>
      <c r="X11" s="54">
        <f>+Model!X21/Model!X$14</f>
        <v>2.3733372971786065E-3</v>
      </c>
      <c r="Y11" s="54">
        <f>+Model!Y21/Model!Y$14</f>
        <v>3.4312610492416139E-3</v>
      </c>
      <c r="Z11" s="54">
        <f>+Model!Z21/Model!Z$14</f>
        <v>3.5621148884059381E-3</v>
      </c>
    </row>
    <row r="12" spans="2:26">
      <c r="B12" s="27" t="str">
        <f>+Model!B22</f>
        <v>Impairments</v>
      </c>
      <c r="C12" s="54">
        <f>+Model!C22/Model!C$14</f>
        <v>3.4149522514826973E-3</v>
      </c>
      <c r="D12" s="54">
        <f>+Model!D22/Model!D$14</f>
        <v>-3.2837099765779126E-4</v>
      </c>
      <c r="E12" s="54">
        <f>+Model!E22/Model!E$14</f>
        <v>5.9809906087721198E-3</v>
      </c>
      <c r="F12" s="54">
        <f>+Model!F22/Model!F$14</f>
        <v>3.0015313935681468E-3</v>
      </c>
      <c r="G12" s="54">
        <f>+Model!G22/Model!G$14</f>
        <v>4.2311151979672534E-3</v>
      </c>
      <c r="H12" s="54">
        <f>+Model!H22/Model!H$14</f>
        <v>3.578466980387203E-2</v>
      </c>
      <c r="I12" s="54">
        <f>+Model!I22/Model!I$14</f>
        <v>5.268541322621014E-3</v>
      </c>
      <c r="J12" s="54">
        <f>+Model!J22/Model!J$14</f>
        <v>8.1661239726021802E-3</v>
      </c>
      <c r="K12" s="54">
        <f>+Model!K22/Model!K$14</f>
        <v>5.3064590966177628E-3</v>
      </c>
      <c r="L12" s="54">
        <f>+Model!L22/Model!L$14</f>
        <v>3.1285057985777744E-3</v>
      </c>
      <c r="M12" s="54">
        <f>+Model!M22/Model!M$14</f>
        <v>4.2224212205340611E-3</v>
      </c>
      <c r="N12" s="54">
        <f>+Model!N22/Model!N$14</f>
        <v>3.9841024729486522E-3</v>
      </c>
      <c r="O12" s="54">
        <f>+Model!O22/Model!O$14</f>
        <v>6.6176533132214135E-3</v>
      </c>
      <c r="P12" s="54">
        <f>+Model!P22/Model!P$14</f>
        <v>3.946545051138021E-3</v>
      </c>
      <c r="Q12" s="54">
        <f>+Model!Q22/Model!Q$14</f>
        <v>4.989965118326679E-3</v>
      </c>
      <c r="R12" s="54">
        <f>+Model!R22/Model!R$14</f>
        <v>4.8914294244608789E-3</v>
      </c>
      <c r="S12" s="54">
        <f>+Model!S22/Model!S$14</f>
        <v>3.254525357793951E-3</v>
      </c>
      <c r="T12" s="54">
        <f>+Model!T22/Model!T$14</f>
        <v>2.2541159015036952E-3</v>
      </c>
      <c r="U12" s="54">
        <f>+Model!U22/Model!U$14</f>
        <v>2.3858854744239532E-3</v>
      </c>
      <c r="V12" s="54">
        <f>+Model!V22/Model!V$14</f>
        <v>2.3966749514060001E-3</v>
      </c>
      <c r="W12" s="54">
        <f>+Model!W22/Model!W$14</f>
        <v>2.1330941892237667E-3</v>
      </c>
      <c r="X12" s="54">
        <f>+Model!X22/Model!X$14</f>
        <v>2.1149042238897881E-3</v>
      </c>
      <c r="Y12" s="54">
        <f>+Model!Y22/Model!Y$14</f>
        <v>2.8659902935579402E-3</v>
      </c>
      <c r="Z12" s="54">
        <f>+Model!Z22/Model!Z$14</f>
        <v>2.3966749514060001E-3</v>
      </c>
    </row>
    <row r="13" spans="2:26">
      <c r="B13" s="27" t="str">
        <f>+Model!B23</f>
        <v xml:space="preserve">Income From Operations </v>
      </c>
      <c r="C13" s="54">
        <f>+Model!C23/Model!C$14</f>
        <v>6.8460904410340667E-2</v>
      </c>
      <c r="D13" s="54">
        <f>+Model!D23/Model!D$14</f>
        <v>9.1264048763093159E-2</v>
      </c>
      <c r="E13" s="54">
        <f>+Model!E23/Model!E$14</f>
        <v>2.7362566640131765E-2</v>
      </c>
      <c r="F13" s="54">
        <f>+Model!F23/Model!F$14</f>
        <v>5.4075308530762992E-2</v>
      </c>
      <c r="G13" s="54">
        <f>+Model!G23/Model!G$14</f>
        <v>8.0815258138082907E-2</v>
      </c>
      <c r="H13" s="54">
        <f>+Model!H23/Model!H$14</f>
        <v>5.3656476013012031E-2</v>
      </c>
      <c r="I13" s="54">
        <f>+Model!I23/Model!I$14</f>
        <v>4.7339321326327115E-2</v>
      </c>
      <c r="J13" s="54">
        <f>+Model!J23/Model!J$14</f>
        <v>3.2334716393714269E-2</v>
      </c>
      <c r="K13" s="54">
        <f>+Model!K23/Model!K$14</f>
        <v>8.420697789434016E-2</v>
      </c>
      <c r="L13" s="54">
        <f>+Model!L23/Model!L$14</f>
        <v>8.3682475138244811E-2</v>
      </c>
      <c r="M13" s="54">
        <f>+Model!M23/Model!M$14</f>
        <v>8.2368915798779932E-2</v>
      </c>
      <c r="N13" s="54">
        <f>+Model!N23/Model!N$14</f>
        <v>6.846573866287467E-2</v>
      </c>
      <c r="O13" s="54">
        <f>+Model!O23/Model!O$14</f>
        <v>5.0412823617140119E-2</v>
      </c>
      <c r="P13" s="54">
        <f>+Model!P23/Model!P$14</f>
        <v>-3.619009656065853E-3</v>
      </c>
      <c r="Q13" s="54">
        <f>+Model!Q23/Model!Q$14</f>
        <v>6.6875898424767113E-2</v>
      </c>
      <c r="R13" s="54">
        <f>+Model!R23/Model!R$14</f>
        <v>7.2703410440937727E-2</v>
      </c>
      <c r="S13" s="54">
        <f>+Model!S23/Model!S$14</f>
        <v>9.269885017871754E-2</v>
      </c>
      <c r="T13" s="54">
        <f>+Model!T23/Model!T$14</f>
        <v>0.12973319426082858</v>
      </c>
      <c r="U13" s="54">
        <f>+Model!U23/Model!U$14</f>
        <v>0.12276707396091308</v>
      </c>
      <c r="V13" s="54">
        <f>+Model!V23/Model!V$14</f>
        <v>8.0737190488990029E-2</v>
      </c>
      <c r="W13" s="54">
        <f>+Model!W23/Model!W$14</f>
        <v>9.4143691361562434E-2</v>
      </c>
      <c r="X13" s="54">
        <f>+Model!X23/Model!X$14</f>
        <v>0.15252882635692047</v>
      </c>
      <c r="Y13" s="54">
        <f>+Model!Y23/Model!Y$14</f>
        <v>0.15145337642302972</v>
      </c>
      <c r="Z13" s="54">
        <f>+Model!Z23/Model!Z$14</f>
        <v>8.0737190488990015E-2</v>
      </c>
    </row>
    <row r="14" spans="2:26">
      <c r="B14" s="27" t="str">
        <f>+Model!B24</f>
        <v>Interest/other</v>
      </c>
      <c r="C14" s="54">
        <f>+Model!C24/Model!C$14</f>
        <v>1.1114967876058753E-3</v>
      </c>
      <c r="D14" s="54">
        <f>+Model!D24/Model!D$14</f>
        <v>8.9703431391412246E-4</v>
      </c>
      <c r="E14" s="54">
        <f>+Model!E24/Model!E$14</f>
        <v>1.1302450016576926E-3</v>
      </c>
      <c r="F14" s="54">
        <f>+Model!F24/Model!F$14</f>
        <v>1.2944779749572111E-3</v>
      </c>
      <c r="G14" s="54">
        <f>+Model!G24/Model!G$14</f>
        <v>1.2138659366055468E-3</v>
      </c>
      <c r="H14" s="54">
        <f>+Model!H24/Model!H$14</f>
        <v>1.8341597448125573E-3</v>
      </c>
      <c r="I14" s="54">
        <f>+Model!I24/Model!I$14</f>
        <v>2.0350904117282594E-3</v>
      </c>
      <c r="J14" s="54">
        <f>+Model!J24/Model!J$14</f>
        <v>3.1492309362554189E-3</v>
      </c>
      <c r="K14" s="54">
        <f>+Model!K24/Model!K$14</f>
        <v>2.3918050292879543E-3</v>
      </c>
      <c r="L14" s="54">
        <f>+Model!L24/Model!L$14</f>
        <v>2.7519974118534601E-3</v>
      </c>
      <c r="M14" s="54">
        <f>+Model!M24/Model!M$14</f>
        <v>3.1424160627257875E-3</v>
      </c>
      <c r="N14" s="54">
        <f>+Model!N24/Model!N$14</f>
        <v>1.9719154798142511E-3</v>
      </c>
      <c r="O14" s="54">
        <f>+Model!O24/Model!O$14</f>
        <v>1.9443255182269E-3</v>
      </c>
      <c r="P14" s="54">
        <f>+Model!P24/Model!P$14</f>
        <v>4.5649787724823373E-4</v>
      </c>
      <c r="Q14" s="54">
        <f>+Model!Q24/Model!Q$14</f>
        <v>-3.7154664565190515E-4</v>
      </c>
      <c r="R14" s="54">
        <f>+Model!R24/Model!R$14</f>
        <v>5.2621430481865513E-4</v>
      </c>
      <c r="S14" s="54">
        <f>+Model!S24/Model!S$14</f>
        <v>-1.2448502074271851E-3</v>
      </c>
      <c r="T14" s="54">
        <f>+Model!T24/Model!T$14</f>
        <v>4.4966072015462831E-4</v>
      </c>
      <c r="U14" s="54">
        <f>+Model!U24/Model!U$14</f>
        <v>-6.4538765516835141E-5</v>
      </c>
      <c r="V14" s="54">
        <f>+Model!V24/Model!V$14</f>
        <v>4.7244945892474521E-3</v>
      </c>
      <c r="W14" s="54">
        <f>+Model!W24/Model!W$14</f>
        <v>-1.0541741584794948E-4</v>
      </c>
      <c r="X14" s="54">
        <f>+Model!X24/Model!X$14</f>
        <v>4.7764937951213079E-3</v>
      </c>
      <c r="Y14" s="54">
        <f>+Model!Y24/Model!Y$14</f>
        <v>1.6719402749783238E-3</v>
      </c>
      <c r="Z14" s="54">
        <f>+Model!Z24/Model!Z$14</f>
        <v>8.9128260891391589E-4</v>
      </c>
    </row>
    <row r="15" spans="2:26">
      <c r="B15" s="27" t="str">
        <f>+Model!B25</f>
        <v>Income Before taxes</v>
      </c>
      <c r="C15" s="54">
        <f>+Model!C25/Model!C$14</f>
        <v>6.957240119794654E-2</v>
      </c>
      <c r="D15" s="54">
        <f>+Model!D25/Model!D$14</f>
        <v>9.216108307700728E-2</v>
      </c>
      <c r="E15" s="54">
        <f>+Model!E25/Model!E$14</f>
        <v>2.8492811641789458E-2</v>
      </c>
      <c r="F15" s="54">
        <f>+Model!F25/Model!F$14</f>
        <v>5.5369786505720206E-2</v>
      </c>
      <c r="G15" s="54">
        <f>+Model!G25/Model!G$14</f>
        <v>8.2029124074688459E-2</v>
      </c>
      <c r="H15" s="54">
        <f>+Model!H25/Model!H$14</f>
        <v>5.5490635757824591E-2</v>
      </c>
      <c r="I15" s="54">
        <f>+Model!I25/Model!I$14</f>
        <v>4.9374411738055374E-2</v>
      </c>
      <c r="J15" s="54">
        <f>+Model!J25/Model!J$14</f>
        <v>3.5483947329969692E-2</v>
      </c>
      <c r="K15" s="54">
        <f>+Model!K25/Model!K$14</f>
        <v>8.6598782923628118E-2</v>
      </c>
      <c r="L15" s="54">
        <f>+Model!L25/Model!L$14</f>
        <v>8.6434472550098271E-2</v>
      </c>
      <c r="M15" s="54">
        <f>+Model!M25/Model!M$14</f>
        <v>8.5511331861505724E-2</v>
      </c>
      <c r="N15" s="54">
        <f>+Model!N25/Model!N$14</f>
        <v>7.0437654142688919E-2</v>
      </c>
      <c r="O15" s="54">
        <f>+Model!O25/Model!O$14</f>
        <v>5.2357149135367022E-2</v>
      </c>
      <c r="P15" s="54">
        <f>+Model!P25/Model!P$14</f>
        <v>-3.1625117788176191E-3</v>
      </c>
      <c r="Q15" s="54">
        <f>+Model!Q25/Model!Q$14</f>
        <v>6.6504351779115206E-2</v>
      </c>
      <c r="R15" s="54">
        <f>+Model!R25/Model!R$14</f>
        <v>7.322962474575638E-2</v>
      </c>
      <c r="S15" s="54">
        <f>+Model!S25/Model!S$14</f>
        <v>9.1453999971290362E-2</v>
      </c>
      <c r="T15" s="54">
        <f>+Model!T25/Model!T$14</f>
        <v>0.1301828549809832</v>
      </c>
      <c r="U15" s="54">
        <f>+Model!U25/Model!U$14</f>
        <v>0.12270253519539623</v>
      </c>
      <c r="V15" s="54">
        <f>+Model!V25/Model!V$14</f>
        <v>8.5461685078237482E-2</v>
      </c>
      <c r="W15" s="54">
        <f>+Model!W25/Model!W$14</f>
        <v>9.4038273945714485E-2</v>
      </c>
      <c r="X15" s="54">
        <f>+Model!X25/Model!X$14</f>
        <v>0.15730532015204177</v>
      </c>
      <c r="Y15" s="54">
        <f>+Model!Y25/Model!Y$14</f>
        <v>0.15312531669800805</v>
      </c>
      <c r="Z15" s="54">
        <f>+Model!Z25/Model!Z$14</f>
        <v>8.1628473097903942E-2</v>
      </c>
    </row>
    <row r="16" spans="2:26">
      <c r="B16" s="27" t="str">
        <f>+Model!B26</f>
        <v>Taxes</v>
      </c>
      <c r="C16" s="54">
        <f>+Model!C26/Model!C$14</f>
        <v>-2.6422374392910373E-2</v>
      </c>
      <c r="D16" s="54">
        <f>+Model!D26/Model!D$14</f>
        <v>-3.5098070905902043E-2</v>
      </c>
      <c r="E16" s="54">
        <f>+Model!E26/Model!E$14</f>
        <v>-1.110920028296016E-2</v>
      </c>
      <c r="F16" s="54">
        <f>+Model!F26/Model!F$14</f>
        <v>0.16332492568237095</v>
      </c>
      <c r="G16" s="54">
        <f>+Model!G26/Model!G$14</f>
        <v>-3.0264795188423517E-2</v>
      </c>
      <c r="H16" s="54">
        <f>+Model!H26/Model!H$14</f>
        <v>-1.8472665255977006E-2</v>
      </c>
      <c r="I16" s="54">
        <f>+Model!I26/Model!I$14</f>
        <v>-1.8187651172605544E-2</v>
      </c>
      <c r="J16" s="54">
        <f>+Model!J26/Model!J$14</f>
        <v>-9.3472896451686893E-3</v>
      </c>
      <c r="K16" s="54">
        <f>+Model!K26/Model!K$14</f>
        <v>-1.923075453078503E-2</v>
      </c>
      <c r="L16" s="54">
        <f>+Model!L26/Model!L$14</f>
        <v>-2.2966314352429979E-2</v>
      </c>
      <c r="M16" s="54">
        <f>+Model!M26/Model!M$14</f>
        <v>-1.5281075616746348E-2</v>
      </c>
      <c r="N16" s="54">
        <f>+Model!N26/Model!N$14</f>
        <v>-1.9844135356722286E-2</v>
      </c>
      <c r="O16" s="54">
        <f>+Model!O26/Model!O$14</f>
        <v>1.7890913627432357E-3</v>
      </c>
      <c r="P16" s="54">
        <f>+Model!P26/Model!P$14</f>
        <v>9.1526725276206856E-3</v>
      </c>
      <c r="Q16" s="54">
        <f>+Model!Q26/Model!Q$14</f>
        <v>-1.639613491576819E-2</v>
      </c>
      <c r="R16" s="54">
        <f>+Model!R26/Model!R$14</f>
        <v>4.536079268027194E-2</v>
      </c>
      <c r="S16" s="54">
        <f>+Model!S26/Model!S$14</f>
        <v>-1.8473508175071415E-2</v>
      </c>
      <c r="T16" s="54">
        <f>+Model!T26/Model!T$14</f>
        <v>-3.0859089751434317E-2</v>
      </c>
      <c r="U16" s="54">
        <f>+Model!U26/Model!U$14</f>
        <v>-1.7988900356755953E-2</v>
      </c>
      <c r="V16" s="54">
        <f>+Model!V26/Model!V$14</f>
        <v>-1.7384181537289232E-2</v>
      </c>
      <c r="W16" s="54">
        <f>+Model!W26/Model!W$14</f>
        <v>-1.5695811860102677E-2</v>
      </c>
      <c r="X16" s="54">
        <f>+Model!X26/Model!X$14</f>
        <v>-3.9861946136583684E-2</v>
      </c>
      <c r="Y16" s="54">
        <f>+Model!Y26/Model!Y$14</f>
        <v>-3.7306518630288152E-2</v>
      </c>
      <c r="Z16" s="54">
        <f>+Model!Z26/Model!Z$14</f>
        <v>-1.9887463536776107E-2</v>
      </c>
    </row>
    <row r="17" spans="2:26" s="7" customFormat="1">
      <c r="B17" s="32" t="str">
        <f>+Model!B27</f>
        <v xml:space="preserve">Net Income </v>
      </c>
      <c r="C17" s="36">
        <f>+Model!C27/Model!C$14</f>
        <v>4.3150026805036164E-2</v>
      </c>
      <c r="D17" s="36">
        <f>+Model!D27/Model!D$14</f>
        <v>5.706301217110523E-2</v>
      </c>
      <c r="E17" s="36">
        <f>+Model!E27/Model!E$14</f>
        <v>1.7383611358829296E-2</v>
      </c>
      <c r="F17" s="36">
        <f>+Model!F27/Model!F$14</f>
        <v>0.21869471218809117</v>
      </c>
      <c r="G17" s="36">
        <f>+Model!G27/Model!G$14</f>
        <v>5.1764328886264942E-2</v>
      </c>
      <c r="H17" s="36">
        <f>+Model!H27/Model!H$14</f>
        <v>3.7017970501847582E-2</v>
      </c>
      <c r="I17" s="36">
        <f>+Model!I27/Model!I$14</f>
        <v>3.118676056544983E-2</v>
      </c>
      <c r="J17" s="36">
        <f>+Model!J27/Model!J$14</f>
        <v>2.6136657684801001E-2</v>
      </c>
      <c r="K17" s="36">
        <f>+Model!K27/Model!K$14</f>
        <v>6.7368028392843088E-2</v>
      </c>
      <c r="L17" s="36">
        <f>+Model!L27/Model!L$14</f>
        <v>6.3468158197668295E-2</v>
      </c>
      <c r="M17" s="36">
        <f>+Model!M27/Model!M$14</f>
        <v>7.023025624475937E-2</v>
      </c>
      <c r="N17" s="36">
        <f>+Model!N27/Model!N$14</f>
        <v>5.0593518785966629E-2</v>
      </c>
      <c r="O17" s="36">
        <f>+Model!O27/Model!O$14</f>
        <v>5.4146240498110253E-2</v>
      </c>
      <c r="P17" s="36">
        <f>+Model!P27/Model!P$14</f>
        <v>5.9901607488030669E-3</v>
      </c>
      <c r="Q17" s="36">
        <f>+Model!Q27/Model!Q$14</f>
        <v>5.0108216863347016E-2</v>
      </c>
      <c r="R17" s="36">
        <f>+Model!R27/Model!R$14</f>
        <v>0.11859041742602833</v>
      </c>
      <c r="S17" s="36">
        <f>+Model!S27/Model!S$14</f>
        <v>7.2980491796218946E-2</v>
      </c>
      <c r="T17" s="36">
        <f>+Model!T27/Model!T$14</f>
        <v>9.9323765229548888E-2</v>
      </c>
      <c r="U17" s="36">
        <f>+Model!U27/Model!U$14</f>
        <v>0.10471363483864028</v>
      </c>
      <c r="V17" s="36">
        <f>+Model!V27/Model!V$14</f>
        <v>6.8077503540948256E-2</v>
      </c>
      <c r="W17" s="36">
        <f>+Model!W27/Model!W$14</f>
        <v>7.8342462085611811E-2</v>
      </c>
      <c r="X17" s="36">
        <f>+Model!X27/Model!X$14</f>
        <v>0.1174433740154581</v>
      </c>
      <c r="Y17" s="36">
        <f>+Model!Y27/Model!Y$14</f>
        <v>0.11581879806771989</v>
      </c>
      <c r="Z17" s="36">
        <f>+Model!Z27/Model!Z$14</f>
        <v>6.1741009561127831E-2</v>
      </c>
    </row>
    <row r="18" spans="2:26">
      <c r="B18" s="27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8"/>
      <c r="O18" s="29"/>
      <c r="P18" s="28"/>
      <c r="Q18" s="28"/>
      <c r="R18" s="28"/>
      <c r="S18" s="28"/>
      <c r="T18" s="28"/>
      <c r="U18" s="28"/>
      <c r="V18" s="23"/>
      <c r="W18" s="23"/>
      <c r="X18" s="23"/>
    </row>
    <row r="19" spans="2:26">
      <c r="B19" s="32" t="s">
        <v>215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8"/>
      <c r="O19" s="29"/>
      <c r="P19" s="28"/>
      <c r="Q19" s="28"/>
      <c r="R19" s="28"/>
      <c r="S19" s="28"/>
      <c r="T19" s="28"/>
      <c r="U19" s="28"/>
      <c r="V19" s="23"/>
      <c r="W19" s="23"/>
      <c r="X19" s="23"/>
    </row>
    <row r="20" spans="2:26">
      <c r="B20" s="27" t="str">
        <f>+B5</f>
        <v xml:space="preserve">Food, beverage, packaging </v>
      </c>
      <c r="C20" s="20"/>
      <c r="D20" s="20"/>
      <c r="E20" s="20"/>
      <c r="F20" s="28">
        <f t="shared" ref="F20:S26" si="0">STDEV(C5:F5)</f>
        <v>4.8130080470067576E-3</v>
      </c>
      <c r="G20" s="28">
        <f t="shared" si="0"/>
        <v>1.0967778792213277E-2</v>
      </c>
      <c r="H20" s="28">
        <f t="shared" si="0"/>
        <v>1.2539298955600442E-2</v>
      </c>
      <c r="I20" s="28">
        <f t="shared" si="0"/>
        <v>8.3382635186917062E-3</v>
      </c>
      <c r="J20" s="28">
        <f t="shared" si="0"/>
        <v>4.7647961291382747E-3</v>
      </c>
      <c r="K20" s="28">
        <f t="shared" si="0"/>
        <v>5.4317689528758052E-3</v>
      </c>
      <c r="L20" s="28">
        <f t="shared" si="0"/>
        <v>6.4472889113636224E-3</v>
      </c>
      <c r="M20" s="28">
        <f t="shared" si="0"/>
        <v>6.2520918048220688E-3</v>
      </c>
      <c r="N20" s="28">
        <f t="shared" si="0"/>
        <v>6.2201962955052746E-3</v>
      </c>
      <c r="O20" s="28">
        <f t="shared" si="0"/>
        <v>3.8398503130741136E-3</v>
      </c>
      <c r="P20" s="28">
        <f t="shared" si="0"/>
        <v>2.4237665892902203E-3</v>
      </c>
      <c r="Q20" s="28">
        <f t="shared" si="0"/>
        <v>4.4479689530824533E-3</v>
      </c>
      <c r="R20" s="28">
        <f t="shared" si="0"/>
        <v>9.8913560454100425E-3</v>
      </c>
      <c r="S20" s="28">
        <f t="shared" si="0"/>
        <v>1.4514685862329317E-2</v>
      </c>
      <c r="T20" s="28">
        <f t="shared" ref="T20:T30" si="1">STDEV(Q5:T5)</f>
        <v>1.0094587568046879E-2</v>
      </c>
      <c r="U20" s="28">
        <f t="shared" ref="U20:U30" si="2">STDEV(R5:U5)</f>
        <v>4.1993698160653911E-3</v>
      </c>
      <c r="V20" s="28">
        <f t="shared" ref="V20:V30" si="3">STDEV(S5:V5)</f>
        <v>7.2138456160623062E-3</v>
      </c>
      <c r="W20" s="28">
        <f t="shared" ref="W20:W30" si="4">STDEV(T5:W5)</f>
        <v>6.3187313574151584E-3</v>
      </c>
      <c r="X20" s="28">
        <f t="shared" ref="X20:X30" si="5">STDEV(U5:X5)</f>
        <v>6.1000301469328827E-3</v>
      </c>
      <c r="Y20" s="28">
        <f t="shared" ref="Y20:Y30" si="6">STDEV(V5:Y5)</f>
        <v>7.674067087494801E-3</v>
      </c>
      <c r="Z20" s="28">
        <f t="shared" ref="Z20:Z30" si="7">STDEV(W5:Z5)</f>
        <v>7.674067087494801E-3</v>
      </c>
    </row>
    <row r="21" spans="2:26">
      <c r="B21" s="27" t="str">
        <f t="shared" ref="B21:B30" si="8">+B6</f>
        <v>Labor</v>
      </c>
      <c r="C21" s="20"/>
      <c r="D21" s="20"/>
      <c r="E21" s="20"/>
      <c r="F21" s="28">
        <f t="shared" si="0"/>
        <v>5.8157707466414627E-3</v>
      </c>
      <c r="G21" s="28">
        <f t="shared" si="0"/>
        <v>7.083584340586483E-3</v>
      </c>
      <c r="H21" s="28">
        <f t="shared" si="0"/>
        <v>3.4126151365856967E-3</v>
      </c>
      <c r="I21" s="28">
        <f t="shared" si="0"/>
        <v>3.4637411259219228E-3</v>
      </c>
      <c r="J21" s="28">
        <f t="shared" si="0"/>
        <v>3.4145923208863177E-3</v>
      </c>
      <c r="K21" s="28">
        <f t="shared" si="0"/>
        <v>2.3222388176584968E-3</v>
      </c>
      <c r="L21" s="28">
        <f t="shared" si="0"/>
        <v>7.050184337670567E-3</v>
      </c>
      <c r="M21" s="28">
        <f t="shared" si="0"/>
        <v>6.2025228484089423E-3</v>
      </c>
      <c r="N21" s="28">
        <f t="shared" si="0"/>
        <v>4.7057325765766846E-3</v>
      </c>
      <c r="O21" s="28">
        <f t="shared" si="0"/>
        <v>9.2316957630605035E-3</v>
      </c>
      <c r="P21" s="28">
        <f t="shared" si="0"/>
        <v>8.8337262103596204E-3</v>
      </c>
      <c r="Q21" s="28">
        <f t="shared" si="0"/>
        <v>1.3327542186491554E-2</v>
      </c>
      <c r="R21" s="28">
        <f t="shared" si="0"/>
        <v>1.5608011764145059E-2</v>
      </c>
      <c r="S21" s="28">
        <f t="shared" si="0"/>
        <v>1.5242947950899997E-2</v>
      </c>
      <c r="T21" s="28">
        <f t="shared" si="1"/>
        <v>4.0236173986233949E-3</v>
      </c>
      <c r="U21" s="28">
        <f t="shared" si="2"/>
        <v>5.3355506100091965E-3</v>
      </c>
      <c r="V21" s="28">
        <f t="shared" si="3"/>
        <v>8.2202415579645405E-3</v>
      </c>
      <c r="W21" s="28">
        <f t="shared" si="4"/>
        <v>8.4836559176547973E-3</v>
      </c>
      <c r="X21" s="28">
        <f t="shared" si="5"/>
        <v>7.0756758351503525E-3</v>
      </c>
      <c r="Y21" s="28">
        <f t="shared" si="6"/>
        <v>7.99036221371811E-3</v>
      </c>
      <c r="Z21" s="28">
        <f t="shared" si="7"/>
        <v>7.99036221371811E-3</v>
      </c>
    </row>
    <row r="22" spans="2:26">
      <c r="B22" s="27" t="str">
        <f t="shared" si="8"/>
        <v>Occupancy</v>
      </c>
      <c r="C22" s="20"/>
      <c r="D22" s="20"/>
      <c r="E22" s="20"/>
      <c r="F22" s="28">
        <f t="shared" si="0"/>
        <v>3.1866713439585447E-3</v>
      </c>
      <c r="G22" s="28">
        <f t="shared" si="0"/>
        <v>3.2194644114749058E-3</v>
      </c>
      <c r="H22" s="28">
        <f t="shared" si="0"/>
        <v>3.3010426445916757E-3</v>
      </c>
      <c r="I22" s="28">
        <f t="shared" si="0"/>
        <v>3.464624625035649E-3</v>
      </c>
      <c r="J22" s="28">
        <f t="shared" si="0"/>
        <v>2.4069707860411571E-3</v>
      </c>
      <c r="K22" s="28">
        <f t="shared" si="0"/>
        <v>1.9963649797120247E-3</v>
      </c>
      <c r="L22" s="28">
        <f t="shared" si="0"/>
        <v>4.186286075662642E-3</v>
      </c>
      <c r="M22" s="28">
        <f t="shared" si="0"/>
        <v>4.0589370910477643E-3</v>
      </c>
      <c r="N22" s="28">
        <f t="shared" si="0"/>
        <v>2.1336670974878768E-3</v>
      </c>
      <c r="O22" s="28">
        <f t="shared" si="0"/>
        <v>1.995693400979646E-3</v>
      </c>
      <c r="P22" s="28">
        <f t="shared" si="0"/>
        <v>2.507630933411123E-3</v>
      </c>
      <c r="Q22" s="28">
        <f t="shared" si="0"/>
        <v>3.8935407541549317E-3</v>
      </c>
      <c r="R22" s="28">
        <f t="shared" si="0"/>
        <v>4.4166871903582724E-3</v>
      </c>
      <c r="S22" s="28">
        <f t="shared" si="0"/>
        <v>5.0256276135657958E-3</v>
      </c>
      <c r="T22" s="28">
        <f t="shared" si="1"/>
        <v>3.1930446328834235E-3</v>
      </c>
      <c r="U22" s="28">
        <f t="shared" si="2"/>
        <v>3.7784935320590166E-3</v>
      </c>
      <c r="V22" s="28">
        <f t="shared" si="3"/>
        <v>2.1845900966651673E-3</v>
      </c>
      <c r="W22" s="28">
        <f t="shared" si="4"/>
        <v>8.536818127356995E-4</v>
      </c>
      <c r="X22" s="28">
        <f t="shared" si="5"/>
        <v>1.7374634726336122E-3</v>
      </c>
      <c r="Y22" s="28">
        <f t="shared" si="6"/>
        <v>1.917612000018813E-3</v>
      </c>
      <c r="Z22" s="28">
        <f t="shared" si="7"/>
        <v>1.917612000018813E-3</v>
      </c>
    </row>
    <row r="23" spans="2:26">
      <c r="B23" s="27" t="str">
        <f t="shared" si="8"/>
        <v>Other op costs</v>
      </c>
      <c r="C23" s="20"/>
      <c r="D23" s="20"/>
      <c r="E23" s="20"/>
      <c r="F23" s="28">
        <f t="shared" si="0"/>
        <v>8.2153761128120565E-3</v>
      </c>
      <c r="G23" s="28">
        <f t="shared" si="0"/>
        <v>1.1868876275225378E-2</v>
      </c>
      <c r="H23" s="28">
        <f t="shared" si="0"/>
        <v>1.2020621768381352E-2</v>
      </c>
      <c r="I23" s="28">
        <f t="shared" si="0"/>
        <v>1.2218023403599438E-2</v>
      </c>
      <c r="J23" s="28">
        <f t="shared" si="0"/>
        <v>1.0746102747264572E-2</v>
      </c>
      <c r="K23" s="28">
        <f t="shared" si="0"/>
        <v>9.3706375725144501E-3</v>
      </c>
      <c r="L23" s="28">
        <f t="shared" si="0"/>
        <v>9.8353763964055194E-3</v>
      </c>
      <c r="M23" s="28">
        <f t="shared" si="0"/>
        <v>1.1470842064973183E-2</v>
      </c>
      <c r="N23" s="28">
        <f t="shared" si="0"/>
        <v>7.9871555183751719E-3</v>
      </c>
      <c r="O23" s="28">
        <f t="shared" si="0"/>
        <v>1.0036120537981778E-2</v>
      </c>
      <c r="P23" s="28">
        <f t="shared" si="0"/>
        <v>2.6983335870142938E-2</v>
      </c>
      <c r="Q23" s="28">
        <f t="shared" si="0"/>
        <v>2.0858904718461035E-2</v>
      </c>
      <c r="R23" s="28">
        <f t="shared" si="0"/>
        <v>1.8216025654223287E-2</v>
      </c>
      <c r="S23" s="28">
        <f t="shared" si="0"/>
        <v>1.1360381998459207E-2</v>
      </c>
      <c r="T23" s="28">
        <f t="shared" si="1"/>
        <v>1.1421307775177636E-2</v>
      </c>
      <c r="U23" s="28">
        <f t="shared" si="2"/>
        <v>1.3904860236989735E-2</v>
      </c>
      <c r="V23" s="28">
        <f t="shared" si="3"/>
        <v>8.9724202366921572E-3</v>
      </c>
      <c r="W23" s="28">
        <f t="shared" si="4"/>
        <v>7.055855060584028E-3</v>
      </c>
      <c r="X23" s="28">
        <f t="shared" si="5"/>
        <v>9.9349897724724506E-3</v>
      </c>
      <c r="Y23" s="28">
        <f t="shared" si="6"/>
        <v>1.1162592945077586E-2</v>
      </c>
      <c r="Z23" s="28">
        <f t="shared" si="7"/>
        <v>1.1162592945077586E-2</v>
      </c>
    </row>
    <row r="24" spans="2:26">
      <c r="B24" s="27" t="str">
        <f t="shared" si="8"/>
        <v>G&amp;A</v>
      </c>
      <c r="C24" s="22"/>
      <c r="D24" s="22"/>
      <c r="E24" s="22"/>
      <c r="F24" s="28">
        <f t="shared" si="0"/>
        <v>1.544103552360989E-2</v>
      </c>
      <c r="G24" s="28">
        <f t="shared" si="0"/>
        <v>1.5421404751147876E-2</v>
      </c>
      <c r="H24" s="28">
        <f t="shared" si="0"/>
        <v>1.4765162564984145E-2</v>
      </c>
      <c r="I24" s="28">
        <f t="shared" si="0"/>
        <v>1.5418695774874392E-2</v>
      </c>
      <c r="J24" s="28">
        <f t="shared" si="0"/>
        <v>1.1632344840304351E-2</v>
      </c>
      <c r="K24" s="28">
        <f t="shared" si="0"/>
        <v>9.5833441604342567E-3</v>
      </c>
      <c r="L24" s="28">
        <f t="shared" si="0"/>
        <v>4.478949728664092E-3</v>
      </c>
      <c r="M24" s="28">
        <f t="shared" si="0"/>
        <v>2.9257600848824209E-3</v>
      </c>
      <c r="N24" s="28">
        <f t="shared" si="0"/>
        <v>3.1118301084025247E-3</v>
      </c>
      <c r="O24" s="28">
        <f t="shared" si="0"/>
        <v>4.0724098069278691E-3</v>
      </c>
      <c r="P24" s="28">
        <f t="shared" si="0"/>
        <v>3.1394735109212075E-3</v>
      </c>
      <c r="Q24" s="28">
        <f t="shared" si="0"/>
        <v>3.6806315708993089E-3</v>
      </c>
      <c r="R24" s="28">
        <f t="shared" si="0"/>
        <v>3.7018543233351916E-3</v>
      </c>
      <c r="S24" s="28">
        <f t="shared" si="0"/>
        <v>6.2670352606083333E-3</v>
      </c>
      <c r="T24" s="28">
        <f t="shared" si="1"/>
        <v>5.7015776668110441E-3</v>
      </c>
      <c r="U24" s="28">
        <f t="shared" si="2"/>
        <v>6.4537372224164474E-3</v>
      </c>
      <c r="V24" s="28">
        <f t="shared" si="3"/>
        <v>6.2817993963206484E-3</v>
      </c>
      <c r="W24" s="28">
        <f t="shared" si="4"/>
        <v>3.6969337274001726E-3</v>
      </c>
      <c r="X24" s="28">
        <f t="shared" si="5"/>
        <v>7.3696304170800357E-3</v>
      </c>
      <c r="Y24" s="28">
        <f t="shared" si="6"/>
        <v>8.6336387147367185E-3</v>
      </c>
      <c r="Z24" s="28">
        <f t="shared" si="7"/>
        <v>8.6336387147367185E-3</v>
      </c>
    </row>
    <row r="25" spans="2:26">
      <c r="B25" s="27" t="str">
        <f t="shared" si="8"/>
        <v>D&amp;A</v>
      </c>
      <c r="C25" s="20"/>
      <c r="D25" s="20"/>
      <c r="E25" s="20"/>
      <c r="F25" s="28">
        <f t="shared" si="0"/>
        <v>9.5564137743593344E-4</v>
      </c>
      <c r="G25" s="28">
        <f t="shared" si="0"/>
        <v>2.4035666776688631E-3</v>
      </c>
      <c r="H25" s="28">
        <f t="shared" si="0"/>
        <v>1.8076021263964391E-3</v>
      </c>
      <c r="I25" s="28">
        <f t="shared" si="0"/>
        <v>2.4552951195794936E-3</v>
      </c>
      <c r="J25" s="28">
        <f t="shared" si="0"/>
        <v>2.1172666635406691E-3</v>
      </c>
      <c r="K25" s="28">
        <f t="shared" si="0"/>
        <v>2.0936180684539871E-3</v>
      </c>
      <c r="L25" s="28">
        <f t="shared" si="0"/>
        <v>3.4047739213380443E-3</v>
      </c>
      <c r="M25" s="28">
        <f t="shared" si="0"/>
        <v>3.4464144375163149E-3</v>
      </c>
      <c r="N25" s="28">
        <f t="shared" si="0"/>
        <v>2.1828374052738843E-3</v>
      </c>
      <c r="O25" s="28">
        <f t="shared" si="0"/>
        <v>2.304318993003201E-3</v>
      </c>
      <c r="P25" s="28">
        <f t="shared" si="0"/>
        <v>3.075693841765645E-3</v>
      </c>
      <c r="Q25" s="28">
        <f t="shared" si="0"/>
        <v>2.9525444221760178E-3</v>
      </c>
      <c r="R25" s="28">
        <f t="shared" si="0"/>
        <v>3.210885006292903E-3</v>
      </c>
      <c r="S25" s="28">
        <f t="shared" si="0"/>
        <v>3.5187659793826827E-3</v>
      </c>
      <c r="T25" s="28">
        <f t="shared" si="1"/>
        <v>2.1939825716052424E-3</v>
      </c>
      <c r="U25" s="28">
        <f t="shared" si="2"/>
        <v>2.4592251515547577E-3</v>
      </c>
      <c r="V25" s="28">
        <f t="shared" si="3"/>
        <v>1.7339612360039662E-3</v>
      </c>
      <c r="W25" s="28">
        <f t="shared" si="4"/>
        <v>1.3763049790630987E-3</v>
      </c>
      <c r="X25" s="28">
        <f t="shared" si="5"/>
        <v>1.7354997385014925E-3</v>
      </c>
      <c r="Y25" s="28">
        <f t="shared" si="6"/>
        <v>1.7732790746029885E-3</v>
      </c>
      <c r="Z25" s="28">
        <f t="shared" si="7"/>
        <v>1.7732790746029885E-3</v>
      </c>
    </row>
    <row r="26" spans="2:26">
      <c r="B26" s="27" t="str">
        <f t="shared" si="8"/>
        <v>Pre-opening costs</v>
      </c>
      <c r="C26" s="20"/>
      <c r="D26" s="20"/>
      <c r="E26" s="20"/>
      <c r="F26" s="28">
        <f t="shared" si="0"/>
        <v>6.9431740832566567E-4</v>
      </c>
      <c r="G26" s="28">
        <f t="shared" si="0"/>
        <v>9.5315913616805234E-5</v>
      </c>
      <c r="H26" s="28">
        <f t="shared" si="0"/>
        <v>3.9614272711353062E-4</v>
      </c>
      <c r="I26" s="28">
        <f t="shared" si="0"/>
        <v>3.804951993202238E-4</v>
      </c>
      <c r="J26" s="28">
        <f t="shared" si="0"/>
        <v>3.8068547298094512E-4</v>
      </c>
      <c r="K26" s="28">
        <f t="shared" si="0"/>
        <v>4.5132913031737396E-4</v>
      </c>
      <c r="L26" s="28">
        <f t="shared" si="0"/>
        <v>4.3615849562945151E-4</v>
      </c>
      <c r="M26" s="28">
        <f t="shared" si="0"/>
        <v>5.9805388569392161E-4</v>
      </c>
      <c r="N26" s="28">
        <f t="shared" si="0"/>
        <v>1.1662328392918358E-3</v>
      </c>
      <c r="O26" s="28">
        <f t="shared" si="0"/>
        <v>8.2523260103656445E-4</v>
      </c>
      <c r="P26" s="28">
        <f t="shared" si="0"/>
        <v>5.4104937914510826E-4</v>
      </c>
      <c r="Q26" s="28">
        <f t="shared" si="0"/>
        <v>4.8332060306416195E-4</v>
      </c>
      <c r="R26" s="28">
        <f t="shared" si="0"/>
        <v>1.8088201140005976E-4</v>
      </c>
      <c r="S26" s="28">
        <f t="shared" si="0"/>
        <v>3.6969624062261621E-4</v>
      </c>
      <c r="T26" s="28">
        <f t="shared" si="1"/>
        <v>3.6117554080343202E-4</v>
      </c>
      <c r="U26" s="28">
        <f t="shared" si="2"/>
        <v>4.5425922738736907E-4</v>
      </c>
      <c r="V26" s="28">
        <f t="shared" si="3"/>
        <v>6.7282149133212612E-4</v>
      </c>
      <c r="W26" s="28">
        <f t="shared" si="4"/>
        <v>4.3868350755706228E-4</v>
      </c>
      <c r="X26" s="28">
        <f t="shared" si="5"/>
        <v>5.1446621464393771E-4</v>
      </c>
      <c r="Y26" s="28">
        <f t="shared" si="6"/>
        <v>5.8291130836907472E-4</v>
      </c>
      <c r="Z26" s="28">
        <f t="shared" si="7"/>
        <v>5.8291130836907472E-4</v>
      </c>
    </row>
    <row r="27" spans="2:26">
      <c r="B27" s="27" t="str">
        <f t="shared" si="8"/>
        <v>Impairments</v>
      </c>
      <c r="C27" s="20"/>
      <c r="D27" s="20"/>
      <c r="E27" s="20"/>
      <c r="F27" s="28">
        <f t="shared" ref="F27:F30" si="9">STDEV(C12:F12)</f>
        <v>2.5907111255927887E-3</v>
      </c>
      <c r="G27" s="28">
        <f t="shared" ref="G27:G30" si="10">STDEV(D12:G12)</f>
        <v>2.6635866434240392E-3</v>
      </c>
      <c r="H27" s="28">
        <f t="shared" ref="H27:H30" si="11">STDEV(E12:H12)</f>
        <v>1.5737617840072004E-2</v>
      </c>
      <c r="I27" s="28">
        <f t="shared" ref="I27:I30" si="12">STDEV(F12:I12)</f>
        <v>1.5835936276645583E-2</v>
      </c>
      <c r="J27" s="28">
        <f t="shared" ref="J27:J30" si="13">STDEV(G12:J12)</f>
        <v>1.504050506637556E-2</v>
      </c>
      <c r="K27" s="28">
        <f t="shared" ref="K27:K30" si="14">STDEV(H12:K12)</f>
        <v>1.4831033357479283E-2</v>
      </c>
      <c r="L27" s="28">
        <f t="shared" ref="L27:L30" si="15">STDEV(I12:L12)</f>
        <v>2.0671223083848353E-3</v>
      </c>
      <c r="M27" s="28">
        <f t="shared" ref="M27:M30" si="16">STDEV(J12:M12)</f>
        <v>2.1645503979366158E-3</v>
      </c>
      <c r="N27" s="28">
        <f t="shared" ref="N27:N30" si="17">STDEV(K12:N12)</f>
        <v>8.9688062055975795E-4</v>
      </c>
      <c r="O27" s="28">
        <f t="shared" ref="O27:O30" si="18">STDEV(L12:O12)</f>
        <v>1.495336350962654E-3</v>
      </c>
      <c r="P27" s="28">
        <f t="shared" ref="P27:P30" si="19">STDEV(M12:P12)</f>
        <v>1.2891166290699269E-3</v>
      </c>
      <c r="Q27" s="28">
        <f t="shared" ref="Q27:Q30" si="20">STDEV(N12:Q12)</f>
        <v>1.2523868509697503E-3</v>
      </c>
      <c r="R27" s="28">
        <f t="shared" ref="R27:R30" si="21">STDEV(O12:R12)</f>
        <v>1.1088762449820056E-3</v>
      </c>
      <c r="S27" s="28">
        <f t="shared" ref="S27:S30" si="22">STDEV(P12:S12)</f>
        <v>8.2468875646169121E-4</v>
      </c>
      <c r="T27" s="28">
        <f t="shared" si="1"/>
        <v>1.3273415788922157E-3</v>
      </c>
      <c r="U27" s="28">
        <f t="shared" si="2"/>
        <v>1.2139929151006124E-3</v>
      </c>
      <c r="V27" s="28">
        <f t="shared" si="3"/>
        <v>4.5908099891941382E-4</v>
      </c>
      <c r="W27" s="28">
        <f t="shared" si="4"/>
        <v>1.2444115837718779E-4</v>
      </c>
      <c r="X27" s="28">
        <f t="shared" si="5"/>
        <v>1.5455611730161363E-4</v>
      </c>
      <c r="Y27" s="28">
        <f t="shared" si="6"/>
        <v>3.5008621677302417E-4</v>
      </c>
      <c r="Z27" s="28">
        <f t="shared" si="7"/>
        <v>3.5008621677302417E-4</v>
      </c>
    </row>
    <row r="28" spans="2:26">
      <c r="B28" s="27" t="str">
        <f t="shared" si="8"/>
        <v xml:space="preserve">Income From Operations </v>
      </c>
      <c r="C28" s="20"/>
      <c r="D28" s="20"/>
      <c r="E28" s="20"/>
      <c r="F28" s="28">
        <f t="shared" si="9"/>
        <v>2.6764364563027273E-2</v>
      </c>
      <c r="G28" s="28">
        <f t="shared" si="10"/>
        <v>2.8666712338815573E-2</v>
      </c>
      <c r="H28" s="28">
        <f t="shared" si="11"/>
        <v>2.182301966959976E-2</v>
      </c>
      <c r="I28" s="28">
        <f t="shared" si="12"/>
        <v>1.4884886307301433E-2</v>
      </c>
      <c r="J28" s="28">
        <f t="shared" si="13"/>
        <v>2.0265452469559325E-2</v>
      </c>
      <c r="K28" s="28">
        <f t="shared" si="14"/>
        <v>2.1800135368443854E-2</v>
      </c>
      <c r="L28" s="28">
        <f t="shared" si="15"/>
        <v>2.6192852147444132E-2</v>
      </c>
      <c r="M28" s="28">
        <f t="shared" si="16"/>
        <v>2.5554066807666684E-2</v>
      </c>
      <c r="N28" s="28">
        <f t="shared" si="17"/>
        <v>7.5167204147488717E-3</v>
      </c>
      <c r="O28" s="28">
        <f t="shared" si="18"/>
        <v>1.5493391395143288E-2</v>
      </c>
      <c r="P28" s="28">
        <f t="shared" si="19"/>
        <v>3.7693911063038377E-2</v>
      </c>
      <c r="Q28" s="28">
        <f t="shared" si="20"/>
        <v>3.3769624144273945E-2</v>
      </c>
      <c r="R28" s="28">
        <f t="shared" si="21"/>
        <v>3.4780197755597361E-2</v>
      </c>
      <c r="S28" s="28">
        <f t="shared" si="22"/>
        <v>4.2004341384586093E-2</v>
      </c>
      <c r="T28" s="28">
        <f t="shared" si="1"/>
        <v>2.8395394092250354E-2</v>
      </c>
      <c r="U28" s="28">
        <f t="shared" si="2"/>
        <v>2.6587515574252187E-2</v>
      </c>
      <c r="V28" s="28">
        <f t="shared" si="3"/>
        <v>2.3513060817071361E-2</v>
      </c>
      <c r="W28" s="28">
        <f t="shared" si="4"/>
        <v>2.3240215389130812E-2</v>
      </c>
      <c r="X28" s="28">
        <f t="shared" si="5"/>
        <v>3.1903720102363593E-2</v>
      </c>
      <c r="Y28" s="28">
        <f t="shared" si="6"/>
        <v>3.7670648147384508E-2</v>
      </c>
      <c r="Z28" s="28">
        <f t="shared" si="7"/>
        <v>3.7670648147384446E-2</v>
      </c>
    </row>
    <row r="29" spans="2:26">
      <c r="B29" s="27" t="str">
        <f t="shared" si="8"/>
        <v>Interest/other</v>
      </c>
      <c r="C29" s="20"/>
      <c r="D29" s="20"/>
      <c r="E29" s="20"/>
      <c r="F29" s="28">
        <f t="shared" si="9"/>
        <v>1.6308201443256142E-4</v>
      </c>
      <c r="G29" s="28">
        <f t="shared" si="10"/>
        <v>1.7156004700153029E-4</v>
      </c>
      <c r="H29" s="28">
        <f t="shared" si="11"/>
        <v>3.178023518179836E-4</v>
      </c>
      <c r="I29" s="28">
        <f t="shared" si="12"/>
        <v>4.026794294565134E-4</v>
      </c>
      <c r="J29" s="28">
        <f t="shared" si="13"/>
        <v>8.0704740715638215E-4</v>
      </c>
      <c r="K29" s="28">
        <f t="shared" si="14"/>
        <v>5.7900792064873659E-4</v>
      </c>
      <c r="L29" s="28">
        <f t="shared" si="15"/>
        <v>4.7816812799086265E-4</v>
      </c>
      <c r="M29" s="28">
        <f t="shared" si="16"/>
        <v>3.6252782868828484E-4</v>
      </c>
      <c r="N29" s="28">
        <f t="shared" si="17"/>
        <v>5.0004073733824405E-4</v>
      </c>
      <c r="O29" s="28">
        <f t="shared" si="18"/>
        <v>5.9298272914644454E-4</v>
      </c>
      <c r="P29" s="28">
        <f t="shared" si="19"/>
        <v>1.1003988622275557E-3</v>
      </c>
      <c r="Q29" s="28">
        <f t="shared" si="20"/>
        <v>1.1565616841250996E-3</v>
      </c>
      <c r="R29" s="28">
        <f t="shared" si="21"/>
        <v>9.6109430766231913E-4</v>
      </c>
      <c r="S29" s="28">
        <f t="shared" si="22"/>
        <v>8.3118423344560053E-4</v>
      </c>
      <c r="T29" s="28">
        <f t="shared" si="1"/>
        <v>8.2950349679842541E-4</v>
      </c>
      <c r="U29" s="28">
        <f t="shared" si="2"/>
        <v>8.1753810526053253E-4</v>
      </c>
      <c r="V29" s="28">
        <f t="shared" si="3"/>
        <v>2.6040197432309346E-3</v>
      </c>
      <c r="W29" s="28">
        <f t="shared" si="4"/>
        <v>2.3293647018471668E-3</v>
      </c>
      <c r="X29" s="28">
        <f t="shared" si="5"/>
        <v>2.79189181315615E-3</v>
      </c>
      <c r="Y29" s="28">
        <f t="shared" si="6"/>
        <v>2.4027614621565828E-3</v>
      </c>
      <c r="Z29" s="28">
        <f t="shared" si="7"/>
        <v>2.1080799574639659E-3</v>
      </c>
    </row>
    <row r="30" spans="2:26">
      <c r="B30" s="27" t="str">
        <f t="shared" si="8"/>
        <v>Income Before taxes</v>
      </c>
      <c r="C30" s="20"/>
      <c r="D30" s="20"/>
      <c r="E30" s="20"/>
      <c r="F30" s="28">
        <f t="shared" si="9"/>
        <v>2.6660075581308385E-2</v>
      </c>
      <c r="G30" s="28">
        <f t="shared" si="10"/>
        <v>2.8590694422217164E-2</v>
      </c>
      <c r="H30" s="28">
        <f t="shared" si="11"/>
        <v>2.1856382134386537E-2</v>
      </c>
      <c r="I30" s="28">
        <f t="shared" si="12"/>
        <v>1.4590833877687498E-2</v>
      </c>
      <c r="J30" s="28">
        <f t="shared" si="13"/>
        <v>1.9510031303817458E-2</v>
      </c>
      <c r="K30" s="28">
        <f t="shared" si="14"/>
        <v>2.1596137439364164E-2</v>
      </c>
      <c r="L30" s="28">
        <f t="shared" si="15"/>
        <v>2.6078018129736577E-2</v>
      </c>
      <c r="M30" s="28">
        <f t="shared" si="16"/>
        <v>2.5353309082974715E-2</v>
      </c>
      <c r="N30" s="28">
        <f t="shared" si="17"/>
        <v>7.8864745981478846E-3</v>
      </c>
      <c r="O30" s="28">
        <f t="shared" si="18"/>
        <v>1.5998267126294919E-2</v>
      </c>
      <c r="P30" s="28">
        <f t="shared" si="19"/>
        <v>3.874681489186841E-2</v>
      </c>
      <c r="Q30" s="28">
        <f t="shared" si="20"/>
        <v>3.4028674086649974E-2</v>
      </c>
      <c r="R30" s="28">
        <f t="shared" si="21"/>
        <v>3.470434173851094E-2</v>
      </c>
      <c r="S30" s="28">
        <f t="shared" si="22"/>
        <v>4.1474245814217138E-2</v>
      </c>
      <c r="T30" s="28">
        <f t="shared" si="1"/>
        <v>2.8575030633359328E-2</v>
      </c>
      <c r="U30" s="28">
        <f t="shared" si="2"/>
        <v>2.6701619025592482E-2</v>
      </c>
      <c r="V30" s="28">
        <f t="shared" si="3"/>
        <v>2.2276897863042388E-2</v>
      </c>
      <c r="W30" s="28">
        <f t="shared" si="4"/>
        <v>2.1688029776085391E-2</v>
      </c>
      <c r="X30" s="28">
        <f t="shared" si="5"/>
        <v>3.245979363007892E-2</v>
      </c>
      <c r="Y30" s="28">
        <f t="shared" si="6"/>
        <v>3.7996604022548716E-2</v>
      </c>
      <c r="Z30" s="28">
        <f t="shared" si="7"/>
        <v>3.926858070569491E-2</v>
      </c>
    </row>
  </sheetData>
  <phoneticPr fontId="10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Debt</vt:lpstr>
      <vt:lpstr>B S Common</vt:lpstr>
      <vt:lpstr>IS 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jameelbrannon</cp:lastModifiedBy>
  <dcterms:created xsi:type="dcterms:W3CDTF">2021-05-20T22:51:21Z</dcterms:created>
  <dcterms:modified xsi:type="dcterms:W3CDTF">2022-12-06T01:34:21Z</dcterms:modified>
</cp:coreProperties>
</file>