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16233488-7B33-804F-9FF0-AA82B951E148}" xr6:coauthVersionLast="47" xr6:coauthVersionMax="47" xr10:uidLastSave="{00000000-0000-0000-0000-000000000000}"/>
  <bookViews>
    <workbookView xWindow="0" yWindow="500" windowWidth="43740" windowHeight="24700" xr2:uid="{00000000-000D-0000-FFFF-FFFF00000000}"/>
  </bookViews>
  <sheets>
    <sheet name="Main" sheetId="1" r:id="rId1"/>
    <sheet name="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2" i="2" l="1"/>
  <c r="AM32" i="2"/>
  <c r="AN32" i="2"/>
  <c r="AO32" i="2"/>
  <c r="AQ32" i="2"/>
  <c r="AR32" i="2"/>
  <c r="AS32" i="2"/>
  <c r="AT32" i="2"/>
  <c r="AU32" i="2"/>
  <c r="AL32" i="2"/>
  <c r="AU30" i="2"/>
  <c r="AK53" i="2"/>
  <c r="AO3" i="2"/>
  <c r="AP3" i="2" s="1"/>
  <c r="AQ3" i="2" s="1"/>
  <c r="AR3" i="2" s="1"/>
  <c r="AS3" i="2" s="1"/>
  <c r="AT3" i="2" s="1"/>
  <c r="AU3" i="2" s="1"/>
  <c r="AN3" i="2"/>
  <c r="AM3" i="2"/>
  <c r="AN5" i="2"/>
  <c r="AO5" i="2" s="1"/>
  <c r="AP5" i="2" s="1"/>
  <c r="AQ5" i="2" s="1"/>
  <c r="AR5" i="2" s="1"/>
  <c r="AS5" i="2" s="1"/>
  <c r="AT5" i="2" s="1"/>
  <c r="AU5" i="2" s="1"/>
  <c r="AM5" i="2"/>
  <c r="V5" i="2"/>
  <c r="U5" i="2"/>
  <c r="U6" i="2" s="1"/>
  <c r="U32" i="2" s="1"/>
  <c r="U57" i="2" s="1"/>
  <c r="T5" i="2"/>
  <c r="S5" i="2"/>
  <c r="S26" i="2" s="1"/>
  <c r="V4" i="2"/>
  <c r="U4" i="2"/>
  <c r="T4" i="2"/>
  <c r="S4" i="2"/>
  <c r="V3" i="2"/>
  <c r="U3" i="2"/>
  <c r="T3" i="2"/>
  <c r="S3" i="2"/>
  <c r="AL4" i="2"/>
  <c r="AL25" i="2" s="1"/>
  <c r="AL3" i="2"/>
  <c r="AL24" i="2" s="1"/>
  <c r="S25" i="2"/>
  <c r="S24" i="2"/>
  <c r="V6" i="2"/>
  <c r="V32" i="2" s="1"/>
  <c r="S6" i="2"/>
  <c r="S27" i="2" s="1"/>
  <c r="Z6" i="2"/>
  <c r="Z5" i="2"/>
  <c r="Z3" i="2"/>
  <c r="Y3" i="2"/>
  <c r="X3" i="2"/>
  <c r="Y4" i="2"/>
  <c r="X4" i="2"/>
  <c r="Z4" i="2"/>
  <c r="AN43" i="2"/>
  <c r="AO43" i="2" s="1"/>
  <c r="AP43" i="2" s="1"/>
  <c r="AQ43" i="2" s="1"/>
  <c r="AR43" i="2" s="1"/>
  <c r="AS43" i="2" s="1"/>
  <c r="AT43" i="2" s="1"/>
  <c r="AU43" i="2" s="1"/>
  <c r="AM43" i="2"/>
  <c r="AL47" i="2"/>
  <c r="AL44" i="2"/>
  <c r="AL43" i="2"/>
  <c r="AL42" i="2"/>
  <c r="AL41" i="2"/>
  <c r="AK60" i="2"/>
  <c r="AJ60" i="2"/>
  <c r="AI60" i="2"/>
  <c r="AH60" i="2"/>
  <c r="AG60" i="2"/>
  <c r="AK59" i="2"/>
  <c r="BB57" i="2"/>
  <c r="BC57" i="2" s="1"/>
  <c r="AT65" i="2"/>
  <c r="AU65" i="2" s="1"/>
  <c r="U61" i="2"/>
  <c r="T43" i="2"/>
  <c r="U43" i="2" s="1"/>
  <c r="V43" i="2" s="1"/>
  <c r="T42" i="2"/>
  <c r="U42" i="2" s="1"/>
  <c r="V42" i="2" s="1"/>
  <c r="T41" i="2"/>
  <c r="U41" i="2" s="1"/>
  <c r="V41" i="2" s="1"/>
  <c r="S43" i="2"/>
  <c r="S42" i="2"/>
  <c r="S41" i="2"/>
  <c r="N68" i="2"/>
  <c r="O68" i="2"/>
  <c r="P68" i="2"/>
  <c r="Q68" i="2"/>
  <c r="R68" i="2"/>
  <c r="N161" i="2"/>
  <c r="R161" i="2"/>
  <c r="N162" i="2"/>
  <c r="N165" i="2" s="1"/>
  <c r="R162" i="2"/>
  <c r="N163" i="2"/>
  <c r="R163" i="2"/>
  <c r="N164" i="2"/>
  <c r="R164" i="2"/>
  <c r="G165" i="2"/>
  <c r="H165" i="2"/>
  <c r="I165" i="2"/>
  <c r="K165" i="2"/>
  <c r="L165" i="2"/>
  <c r="M165" i="2"/>
  <c r="O165" i="2"/>
  <c r="P165" i="2"/>
  <c r="Q165" i="2"/>
  <c r="L168" i="2"/>
  <c r="M168" i="2"/>
  <c r="N168" i="2"/>
  <c r="P168" i="2"/>
  <c r="Q168" i="2" s="1"/>
  <c r="R168" i="2"/>
  <c r="R160" i="2"/>
  <c r="N160" i="2"/>
  <c r="AI26" i="2"/>
  <c r="AI25" i="2"/>
  <c r="AI24" i="2"/>
  <c r="R56" i="2"/>
  <c r="Q56" i="2"/>
  <c r="P56" i="2"/>
  <c r="O56" i="2"/>
  <c r="R55" i="2"/>
  <c r="Q55" i="2"/>
  <c r="P55" i="2"/>
  <c r="O55" i="2"/>
  <c r="AI9" i="2"/>
  <c r="AI8" i="2"/>
  <c r="AI7" i="2"/>
  <c r="AJ9" i="2"/>
  <c r="AJ8" i="2"/>
  <c r="AJ7" i="2"/>
  <c r="AJ5" i="2"/>
  <c r="AJ26" i="2" s="1"/>
  <c r="AJ4" i="2"/>
  <c r="AJ25" i="2" s="1"/>
  <c r="AJ3" i="2"/>
  <c r="AJ24" i="2" s="1"/>
  <c r="AK9" i="2"/>
  <c r="AK8" i="2"/>
  <c r="AK7" i="2"/>
  <c r="AK5" i="2"/>
  <c r="AK4" i="2"/>
  <c r="AK3" i="2"/>
  <c r="R26" i="2"/>
  <c r="Q26" i="2"/>
  <c r="P26" i="2"/>
  <c r="O26" i="2"/>
  <c r="M26" i="2"/>
  <c r="R25" i="2"/>
  <c r="Q25" i="2"/>
  <c r="P25" i="2"/>
  <c r="O25" i="2"/>
  <c r="M25" i="2"/>
  <c r="R24" i="2"/>
  <c r="Q24" i="2"/>
  <c r="P24" i="2"/>
  <c r="O24" i="2"/>
  <c r="M24" i="2"/>
  <c r="P6" i="2"/>
  <c r="O12" i="2"/>
  <c r="O18" i="2" s="1"/>
  <c r="R14" i="2"/>
  <c r="R20" i="2" s="1"/>
  <c r="Q14" i="2"/>
  <c r="Q20" i="2" s="1"/>
  <c r="P14" i="2"/>
  <c r="P20" i="2" s="1"/>
  <c r="O14" i="2"/>
  <c r="R13" i="2"/>
  <c r="R19" i="2" s="1"/>
  <c r="Q13" i="2"/>
  <c r="Q19" i="2" s="1"/>
  <c r="P13" i="2"/>
  <c r="P19" i="2" s="1"/>
  <c r="O13" i="2"/>
  <c r="R12" i="2"/>
  <c r="R18" i="2" s="1"/>
  <c r="Q12" i="2"/>
  <c r="Q18" i="2" s="1"/>
  <c r="P12" i="2"/>
  <c r="R10" i="2"/>
  <c r="Q10" i="2"/>
  <c r="P10" i="2"/>
  <c r="O10" i="2"/>
  <c r="N10" i="2"/>
  <c r="R6" i="2"/>
  <c r="Q6" i="2"/>
  <c r="O6" i="2"/>
  <c r="O44" i="2"/>
  <c r="O39" i="2"/>
  <c r="O32" i="2"/>
  <c r="O59" i="2" s="1"/>
  <c r="P44" i="2"/>
  <c r="P39" i="2"/>
  <c r="P32" i="2"/>
  <c r="P59" i="2" s="1"/>
  <c r="Q44" i="2"/>
  <c r="Q39" i="2"/>
  <c r="Q32" i="2"/>
  <c r="Q59" i="2" s="1"/>
  <c r="N44" i="2"/>
  <c r="N39" i="2"/>
  <c r="N32" i="2"/>
  <c r="R44" i="2"/>
  <c r="S44" i="2" s="1"/>
  <c r="T44" i="2" s="1"/>
  <c r="U44" i="2" s="1"/>
  <c r="V44" i="2" s="1"/>
  <c r="R39" i="2"/>
  <c r="R32" i="2"/>
  <c r="R59" i="2" s="1"/>
  <c r="AK44" i="2"/>
  <c r="AK39" i="2"/>
  <c r="AK32" i="2"/>
  <c r="AJ44" i="2"/>
  <c r="AJ39" i="2"/>
  <c r="AJ32" i="2"/>
  <c r="AK57" i="2" s="1"/>
  <c r="AI2" i="2"/>
  <c r="M10" i="1"/>
  <c r="BA59" i="2" s="1"/>
  <c r="BB59" i="2" s="1"/>
  <c r="BC59" i="2" s="1"/>
  <c r="BD59" i="2" s="1"/>
  <c r="BE59" i="2" s="1"/>
  <c r="BF59" i="2" s="1"/>
  <c r="BG59" i="2" s="1"/>
  <c r="BH59" i="2" s="1"/>
  <c r="BI59" i="2" s="1"/>
  <c r="R11" i="1"/>
  <c r="R10" i="1"/>
  <c r="R7" i="1"/>
  <c r="R9" i="1" s="1"/>
  <c r="P8" i="1"/>
  <c r="S8" i="1" s="1"/>
  <c r="P9" i="1"/>
  <c r="P12" i="1" s="1"/>
  <c r="R12" i="1" s="1"/>
  <c r="K111" i="2"/>
  <c r="J111" i="2"/>
  <c r="I111" i="2"/>
  <c r="H111" i="2"/>
  <c r="G111" i="2"/>
  <c r="K110" i="2"/>
  <c r="J110" i="2"/>
  <c r="I110" i="2"/>
  <c r="H110" i="2"/>
  <c r="G110" i="2"/>
  <c r="K108" i="2"/>
  <c r="J108" i="2"/>
  <c r="I108" i="2"/>
  <c r="H108" i="2"/>
  <c r="G108" i="2"/>
  <c r="K107" i="2"/>
  <c r="J107" i="2"/>
  <c r="I107" i="2"/>
  <c r="H107" i="2"/>
  <c r="G107" i="2"/>
  <c r="L111" i="2"/>
  <c r="L110" i="2"/>
  <c r="L108" i="2"/>
  <c r="L107" i="2"/>
  <c r="M103" i="2"/>
  <c r="L103" i="2"/>
  <c r="K103" i="2"/>
  <c r="J103" i="2"/>
  <c r="I103" i="2"/>
  <c r="H103" i="2"/>
  <c r="G103" i="2"/>
  <c r="F103" i="2"/>
  <c r="M152" i="2"/>
  <c r="L152" i="2"/>
  <c r="K152" i="2"/>
  <c r="J152" i="2"/>
  <c r="I152" i="2"/>
  <c r="H152" i="2"/>
  <c r="G152" i="2"/>
  <c r="F152" i="2"/>
  <c r="E152" i="2"/>
  <c r="D152" i="2"/>
  <c r="C152" i="2"/>
  <c r="G24" i="2"/>
  <c r="C144" i="2"/>
  <c r="C135" i="2"/>
  <c r="C128" i="2"/>
  <c r="D144" i="2"/>
  <c r="D135" i="2"/>
  <c r="D128" i="2"/>
  <c r="E44" i="2"/>
  <c r="E39" i="2"/>
  <c r="E32" i="2"/>
  <c r="E144" i="2"/>
  <c r="E135" i="2"/>
  <c r="E128" i="2"/>
  <c r="F44" i="2"/>
  <c r="F39" i="2"/>
  <c r="F32" i="2"/>
  <c r="F144" i="2"/>
  <c r="F135" i="2"/>
  <c r="F128" i="2"/>
  <c r="F149" i="2" s="1"/>
  <c r="J144" i="2"/>
  <c r="J135" i="2"/>
  <c r="J128" i="2"/>
  <c r="J149" i="2" s="1"/>
  <c r="G144" i="2"/>
  <c r="G135" i="2"/>
  <c r="G128" i="2"/>
  <c r="G149" i="2" s="1"/>
  <c r="K144" i="2"/>
  <c r="K135" i="2"/>
  <c r="K128" i="2"/>
  <c r="K149" i="2" s="1"/>
  <c r="L14" i="2"/>
  <c r="L20" i="2" s="1"/>
  <c r="K14" i="2"/>
  <c r="K20" i="2" s="1"/>
  <c r="I14" i="2"/>
  <c r="I20" i="2" s="1"/>
  <c r="H14" i="2"/>
  <c r="H20" i="2" s="1"/>
  <c r="G14" i="2"/>
  <c r="G20" i="2" s="1"/>
  <c r="E14" i="2"/>
  <c r="E20" i="2" s="1"/>
  <c r="D14" i="2"/>
  <c r="D20" i="2" s="1"/>
  <c r="C14" i="2"/>
  <c r="C20" i="2" s="1"/>
  <c r="L13" i="2"/>
  <c r="L19" i="2" s="1"/>
  <c r="K13" i="2"/>
  <c r="K19" i="2" s="1"/>
  <c r="I13" i="2"/>
  <c r="I19" i="2" s="1"/>
  <c r="H13" i="2"/>
  <c r="H19" i="2" s="1"/>
  <c r="G13" i="2"/>
  <c r="G19" i="2" s="1"/>
  <c r="F13" i="2"/>
  <c r="E13" i="2"/>
  <c r="D13" i="2"/>
  <c r="D19" i="2" s="1"/>
  <c r="C13" i="2"/>
  <c r="C19" i="2" s="1"/>
  <c r="L12" i="2"/>
  <c r="K12" i="2"/>
  <c r="K18" i="2" s="1"/>
  <c r="I12" i="2"/>
  <c r="H12" i="2"/>
  <c r="H18" i="2" s="1"/>
  <c r="G12" i="2"/>
  <c r="E12" i="2"/>
  <c r="E18" i="2" s="1"/>
  <c r="D12" i="2"/>
  <c r="C12" i="2"/>
  <c r="M124" i="2"/>
  <c r="M121" i="2"/>
  <c r="I144" i="2"/>
  <c r="I135" i="2"/>
  <c r="I128" i="2"/>
  <c r="I149" i="2" s="1"/>
  <c r="M144" i="2"/>
  <c r="M135" i="2"/>
  <c r="L10" i="2"/>
  <c r="K10" i="2"/>
  <c r="J10" i="2"/>
  <c r="I10" i="2"/>
  <c r="H10" i="2"/>
  <c r="G10" i="2"/>
  <c r="F10" i="2"/>
  <c r="E10" i="2"/>
  <c r="D10" i="2"/>
  <c r="C10" i="2"/>
  <c r="M14" i="2"/>
  <c r="M20" i="2" s="1"/>
  <c r="M13" i="2"/>
  <c r="M19" i="2" s="1"/>
  <c r="M12" i="2"/>
  <c r="M18" i="2" s="1"/>
  <c r="M10" i="2"/>
  <c r="AL65" i="2"/>
  <c r="AM65" i="2" s="1"/>
  <c r="AN65" i="2" s="1"/>
  <c r="AO65" i="2" s="1"/>
  <c r="AP65" i="2" s="1"/>
  <c r="AQ65" i="2" s="1"/>
  <c r="AR65" i="2" s="1"/>
  <c r="AS65" i="2" s="1"/>
  <c r="AL64" i="2"/>
  <c r="AM64" i="2" s="1"/>
  <c r="AN64" i="2" s="1"/>
  <c r="AO64" i="2" s="1"/>
  <c r="AP64" i="2" s="1"/>
  <c r="AQ64" i="2" s="1"/>
  <c r="AR64" i="2" s="1"/>
  <c r="AS64" i="2" s="1"/>
  <c r="AT64" i="2" s="1"/>
  <c r="AU64" i="2" s="1"/>
  <c r="AL62" i="2"/>
  <c r="AM62" i="2" s="1"/>
  <c r="AN62" i="2" s="1"/>
  <c r="AO62" i="2" s="1"/>
  <c r="AP62" i="2" s="1"/>
  <c r="AQ62" i="2" s="1"/>
  <c r="AR62" i="2" s="1"/>
  <c r="AS62" i="2" s="1"/>
  <c r="AT62" i="2" s="1"/>
  <c r="AF32" i="2"/>
  <c r="AE32" i="2"/>
  <c r="AD32" i="2"/>
  <c r="AC32" i="2"/>
  <c r="AB32" i="2"/>
  <c r="AA32" i="2"/>
  <c r="L26" i="2"/>
  <c r="K26" i="2"/>
  <c r="I26" i="2"/>
  <c r="H26" i="2"/>
  <c r="G26" i="2"/>
  <c r="L25" i="2"/>
  <c r="K25" i="2"/>
  <c r="I25" i="2"/>
  <c r="H25" i="2"/>
  <c r="G25" i="2"/>
  <c r="L24" i="2"/>
  <c r="K24" i="2"/>
  <c r="I24" i="2"/>
  <c r="H24" i="2"/>
  <c r="F14" i="2"/>
  <c r="F3" i="2"/>
  <c r="F12" i="2" s="1"/>
  <c r="J5" i="2"/>
  <c r="N26" i="2" s="1"/>
  <c r="J4" i="2"/>
  <c r="N25" i="2" s="1"/>
  <c r="J3" i="2"/>
  <c r="N24" i="2" s="1"/>
  <c r="AH20" i="2"/>
  <c r="AH19" i="2"/>
  <c r="AH18" i="2"/>
  <c r="AI20" i="2"/>
  <c r="AI19" i="2"/>
  <c r="AI18" i="2"/>
  <c r="AI15" i="2"/>
  <c r="AH6" i="2"/>
  <c r="AH21" i="2" s="1"/>
  <c r="AI6" i="2"/>
  <c r="L94" i="2"/>
  <c r="I6" i="2"/>
  <c r="K6" i="2"/>
  <c r="H6" i="2"/>
  <c r="G6" i="2"/>
  <c r="E6" i="2"/>
  <c r="D6" i="2"/>
  <c r="C6" i="2"/>
  <c r="M6" i="2"/>
  <c r="M102" i="2"/>
  <c r="M94" i="2"/>
  <c r="M83" i="2"/>
  <c r="M87" i="2" s="1"/>
  <c r="M73" i="2"/>
  <c r="M78" i="2" s="1"/>
  <c r="M68" i="2"/>
  <c r="M56" i="2"/>
  <c r="M55" i="2"/>
  <c r="M44" i="2"/>
  <c r="M39" i="2"/>
  <c r="M32" i="2"/>
  <c r="M61" i="2" s="1"/>
  <c r="Q61" i="2" s="1"/>
  <c r="I44" i="2"/>
  <c r="L6" i="2"/>
  <c r="H144" i="2"/>
  <c r="H135" i="2"/>
  <c r="L144" i="2"/>
  <c r="L135" i="2"/>
  <c r="K102" i="2"/>
  <c r="J102" i="2"/>
  <c r="I102" i="2"/>
  <c r="H102" i="2"/>
  <c r="G102" i="2"/>
  <c r="L102" i="2"/>
  <c r="G94" i="2"/>
  <c r="G83" i="2"/>
  <c r="G87" i="2" s="1"/>
  <c r="G73" i="2"/>
  <c r="G78" i="2" s="1"/>
  <c r="G68" i="2"/>
  <c r="H94" i="2"/>
  <c r="H83" i="2"/>
  <c r="H87" i="2" s="1"/>
  <c r="H73" i="2"/>
  <c r="H78" i="2" s="1"/>
  <c r="H68" i="2"/>
  <c r="F94" i="2"/>
  <c r="F83" i="2"/>
  <c r="F87" i="2" s="1"/>
  <c r="F73" i="2"/>
  <c r="F78" i="2" s="1"/>
  <c r="F68" i="2"/>
  <c r="I94" i="2"/>
  <c r="I83" i="2"/>
  <c r="I87" i="2" s="1"/>
  <c r="I73" i="2"/>
  <c r="I78" i="2" s="1"/>
  <c r="I68" i="2"/>
  <c r="L83" i="2"/>
  <c r="L87" i="2" s="1"/>
  <c r="L73" i="2"/>
  <c r="L78" i="2" s="1"/>
  <c r="L68" i="2"/>
  <c r="J68" i="2"/>
  <c r="K68" i="2"/>
  <c r="K94" i="2"/>
  <c r="K83" i="2"/>
  <c r="K87" i="2" s="1"/>
  <c r="K73" i="2"/>
  <c r="K78" i="2" s="1"/>
  <c r="J94" i="2"/>
  <c r="J83" i="2"/>
  <c r="J87" i="2" s="1"/>
  <c r="J73" i="2"/>
  <c r="J78" i="2" s="1"/>
  <c r="G55" i="2"/>
  <c r="H55" i="2"/>
  <c r="G56" i="2"/>
  <c r="H56" i="2"/>
  <c r="C44" i="2"/>
  <c r="C39" i="2"/>
  <c r="C32" i="2"/>
  <c r="C61" i="2" s="1"/>
  <c r="J30" i="2"/>
  <c r="D44" i="2"/>
  <c r="D39" i="2"/>
  <c r="D32" i="2"/>
  <c r="D61" i="2" s="1"/>
  <c r="BA63" i="2"/>
  <c r="BB63" i="2" s="1"/>
  <c r="BC63" i="2" s="1"/>
  <c r="BD63" i="2" s="1"/>
  <c r="BE63" i="2" s="1"/>
  <c r="BF63" i="2" s="1"/>
  <c r="BG63" i="2" s="1"/>
  <c r="BH63" i="2" s="1"/>
  <c r="BI63" i="2" s="1"/>
  <c r="J31" i="2"/>
  <c r="J33" i="2"/>
  <c r="J34" i="2"/>
  <c r="J35" i="2"/>
  <c r="J36" i="2"/>
  <c r="J37" i="2"/>
  <c r="J38" i="2"/>
  <c r="J41" i="2"/>
  <c r="J42" i="2"/>
  <c r="J43" i="2"/>
  <c r="J46" i="2"/>
  <c r="J47" i="2"/>
  <c r="J49" i="2"/>
  <c r="I56" i="2"/>
  <c r="I55" i="2"/>
  <c r="I39" i="2"/>
  <c r="I32" i="2"/>
  <c r="I59" i="2" s="1"/>
  <c r="AH56" i="2"/>
  <c r="AH55" i="2"/>
  <c r="AI56" i="2"/>
  <c r="AI55" i="2"/>
  <c r="AG44" i="2"/>
  <c r="AG39" i="2"/>
  <c r="AG32" i="2"/>
  <c r="AG65" i="2" s="1"/>
  <c r="AH44" i="2"/>
  <c r="AH39" i="2"/>
  <c r="AH32" i="2"/>
  <c r="AH63" i="2" s="1"/>
  <c r="K56" i="2"/>
  <c r="K55" i="2"/>
  <c r="L56" i="2"/>
  <c r="L55" i="2"/>
  <c r="AI44" i="2"/>
  <c r="AI39" i="2"/>
  <c r="AI32" i="2"/>
  <c r="AI59" i="2" s="1"/>
  <c r="AG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K44" i="2"/>
  <c r="K39" i="2"/>
  <c r="K32" i="2"/>
  <c r="K61" i="2" s="1"/>
  <c r="O61" i="2" s="1"/>
  <c r="S61" i="2" s="1"/>
  <c r="G44" i="2"/>
  <c r="G39" i="2"/>
  <c r="G32" i="2"/>
  <c r="G59" i="2" s="1"/>
  <c r="L44" i="2"/>
  <c r="L39" i="2"/>
  <c r="L32" i="2"/>
  <c r="L61" i="2" s="1"/>
  <c r="P61" i="2" s="1"/>
  <c r="T61" i="2" s="1"/>
  <c r="H39" i="2"/>
  <c r="H44" i="2"/>
  <c r="H32" i="2"/>
  <c r="H59" i="2" s="1"/>
  <c r="N10" i="1"/>
  <c r="N11" i="1" s="1"/>
  <c r="M9" i="1"/>
  <c r="AK68" i="2" l="1"/>
  <c r="AU53" i="2"/>
  <c r="AM4" i="2"/>
  <c r="S32" i="2"/>
  <c r="S34" i="2" s="1"/>
  <c r="AL5" i="2"/>
  <c r="T6" i="2"/>
  <c r="T32" i="2" s="1"/>
  <c r="BD57" i="2"/>
  <c r="AU62" i="2"/>
  <c r="AI10" i="2"/>
  <c r="S35" i="2"/>
  <c r="S57" i="2"/>
  <c r="S33" i="2"/>
  <c r="M27" i="2"/>
  <c r="R165" i="2"/>
  <c r="Q27" i="2"/>
  <c r="P27" i="2"/>
  <c r="O15" i="2"/>
  <c r="O21" i="2" s="1"/>
  <c r="AJ10" i="2"/>
  <c r="O27" i="2"/>
  <c r="P15" i="2"/>
  <c r="P21" i="2" s="1"/>
  <c r="Q57" i="2"/>
  <c r="AK24" i="2"/>
  <c r="P57" i="2"/>
  <c r="R40" i="2"/>
  <c r="AK13" i="2"/>
  <c r="AK19" i="2" s="1"/>
  <c r="AK25" i="2"/>
  <c r="R57" i="2"/>
  <c r="AK26" i="2"/>
  <c r="AI27" i="2"/>
  <c r="AJ6" i="2"/>
  <c r="AJ27" i="2" s="1"/>
  <c r="AK6" i="2"/>
  <c r="AK27" i="2" s="1"/>
  <c r="N40" i="2"/>
  <c r="N45" i="2" s="1"/>
  <c r="N48" i="2" s="1"/>
  <c r="N49" i="2" s="1"/>
  <c r="O57" i="2"/>
  <c r="O19" i="2"/>
  <c r="AK10" i="2"/>
  <c r="AK14" i="2"/>
  <c r="AK20" i="2" s="1"/>
  <c r="O20" i="2"/>
  <c r="AK12" i="2"/>
  <c r="P18" i="2"/>
  <c r="Q15" i="2"/>
  <c r="R15" i="2"/>
  <c r="R16" i="2" s="1"/>
  <c r="O40" i="2"/>
  <c r="P40" i="2"/>
  <c r="Q40" i="2"/>
  <c r="AK40" i="2"/>
  <c r="AK45" i="2" s="1"/>
  <c r="AK48" i="2" s="1"/>
  <c r="AK49" i="2" s="1"/>
  <c r="AJ40" i="2"/>
  <c r="AJ45" i="2" s="1"/>
  <c r="AJ48" i="2" s="1"/>
  <c r="AJ49" i="2" s="1"/>
  <c r="F99" i="2"/>
  <c r="G99" i="2"/>
  <c r="H99" i="2"/>
  <c r="I99" i="2"/>
  <c r="J99" i="2"/>
  <c r="K99" i="2"/>
  <c r="L99" i="2"/>
  <c r="M99" i="2"/>
  <c r="M12" i="1"/>
  <c r="L104" i="2"/>
  <c r="I113" i="2"/>
  <c r="H113" i="2"/>
  <c r="G104" i="2"/>
  <c r="L113" i="2"/>
  <c r="G113" i="2"/>
  <c r="M104" i="2"/>
  <c r="H104" i="2"/>
  <c r="K113" i="2"/>
  <c r="J113" i="2"/>
  <c r="K104" i="2"/>
  <c r="I104" i="2"/>
  <c r="J104" i="2"/>
  <c r="M153" i="2"/>
  <c r="E146" i="2"/>
  <c r="E147" i="2" s="1"/>
  <c r="I15" i="2"/>
  <c r="I21" i="2" s="1"/>
  <c r="J146" i="2"/>
  <c r="J147" i="2" s="1"/>
  <c r="M128" i="2"/>
  <c r="M149" i="2" s="1"/>
  <c r="F40" i="2"/>
  <c r="K146" i="2"/>
  <c r="K147" i="2" s="1"/>
  <c r="G146" i="2"/>
  <c r="G147" i="2" s="1"/>
  <c r="C146" i="2"/>
  <c r="C147" i="2" s="1"/>
  <c r="C149" i="2"/>
  <c r="D146" i="2"/>
  <c r="D147" i="2" s="1"/>
  <c r="D149" i="2"/>
  <c r="E40" i="2"/>
  <c r="E61" i="2"/>
  <c r="E149" i="2"/>
  <c r="F146" i="2"/>
  <c r="F147" i="2" s="1"/>
  <c r="G15" i="2"/>
  <c r="G21" i="2" s="1"/>
  <c r="G18" i="2"/>
  <c r="I18" i="2"/>
  <c r="J13" i="2"/>
  <c r="J19" i="2" s="1"/>
  <c r="J14" i="2"/>
  <c r="J20" i="2" s="1"/>
  <c r="E15" i="2"/>
  <c r="E21" i="2" s="1"/>
  <c r="F15" i="2"/>
  <c r="I146" i="2"/>
  <c r="I147" i="2" s="1"/>
  <c r="E19" i="2"/>
  <c r="D15" i="2"/>
  <c r="L15" i="2"/>
  <c r="J12" i="2"/>
  <c r="M15" i="2"/>
  <c r="C15" i="2"/>
  <c r="K15" i="2"/>
  <c r="L18" i="2"/>
  <c r="H15" i="2"/>
  <c r="C18" i="2"/>
  <c r="D18" i="2"/>
  <c r="AC57" i="2"/>
  <c r="AE57" i="2"/>
  <c r="AD57" i="2"/>
  <c r="AF57" i="2"/>
  <c r="AG57" i="2"/>
  <c r="AB57" i="2"/>
  <c r="AG59" i="2"/>
  <c r="AI63" i="2"/>
  <c r="AG61" i="2"/>
  <c r="AH61" i="2"/>
  <c r="AG62" i="2"/>
  <c r="AI61" i="2"/>
  <c r="AH64" i="2"/>
  <c r="AG63" i="2"/>
  <c r="AI64" i="2"/>
  <c r="AG64" i="2"/>
  <c r="AH62" i="2"/>
  <c r="AI62" i="2"/>
  <c r="AH65" i="2"/>
  <c r="AH59" i="2"/>
  <c r="AI65" i="2"/>
  <c r="D63" i="2"/>
  <c r="L63" i="2"/>
  <c r="P63" i="2" s="1"/>
  <c r="T63" i="2" s="1"/>
  <c r="C65" i="2"/>
  <c r="K64" i="2"/>
  <c r="O64" i="2" s="1"/>
  <c r="S64" i="2" s="1"/>
  <c r="I65" i="2"/>
  <c r="G62" i="2"/>
  <c r="E63" i="2"/>
  <c r="M63" i="2"/>
  <c r="Q63" i="2" s="1"/>
  <c r="U63" i="2" s="1"/>
  <c r="D64" i="2"/>
  <c r="L64" i="2"/>
  <c r="P64" i="2" s="1"/>
  <c r="T64" i="2" s="1"/>
  <c r="H62" i="2"/>
  <c r="E64" i="2"/>
  <c r="M64" i="2"/>
  <c r="Q64" i="2" s="1"/>
  <c r="U64" i="2" s="1"/>
  <c r="K65" i="2"/>
  <c r="O65" i="2" s="1"/>
  <c r="S65" i="2" s="1"/>
  <c r="I62" i="2"/>
  <c r="G63" i="2"/>
  <c r="D65" i="2"/>
  <c r="L65" i="2"/>
  <c r="P65" i="2" s="1"/>
  <c r="T65" i="2" s="1"/>
  <c r="C62" i="2"/>
  <c r="H63" i="2"/>
  <c r="G64" i="2"/>
  <c r="E65" i="2"/>
  <c r="M65" i="2"/>
  <c r="Q65" i="2" s="1"/>
  <c r="U65" i="2" s="1"/>
  <c r="C63" i="2"/>
  <c r="K62" i="2"/>
  <c r="O62" i="2" s="1"/>
  <c r="S62" i="2" s="1"/>
  <c r="I63" i="2"/>
  <c r="H64" i="2"/>
  <c r="D62" i="2"/>
  <c r="L62" i="2"/>
  <c r="P62" i="2" s="1"/>
  <c r="T62" i="2" s="1"/>
  <c r="I64" i="2"/>
  <c r="G65" i="2"/>
  <c r="E62" i="2"/>
  <c r="M62" i="2"/>
  <c r="Q62" i="2" s="1"/>
  <c r="U62" i="2" s="1"/>
  <c r="K63" i="2"/>
  <c r="O63" i="2" s="1"/>
  <c r="S63" i="2" s="1"/>
  <c r="C64" i="2"/>
  <c r="H65" i="2"/>
  <c r="H27" i="2"/>
  <c r="K59" i="2"/>
  <c r="G61" i="2"/>
  <c r="H61" i="2"/>
  <c r="C59" i="2"/>
  <c r="D59" i="2"/>
  <c r="L59" i="2"/>
  <c r="I61" i="2"/>
  <c r="E59" i="2"/>
  <c r="M59" i="2"/>
  <c r="I27" i="2"/>
  <c r="K27" i="2"/>
  <c r="J25" i="2"/>
  <c r="J26" i="2"/>
  <c r="L27" i="2"/>
  <c r="G27" i="2"/>
  <c r="J24" i="2"/>
  <c r="M95" i="2"/>
  <c r="M96" i="2" s="1"/>
  <c r="M57" i="2"/>
  <c r="AI21" i="2"/>
  <c r="F19" i="2"/>
  <c r="J6" i="2"/>
  <c r="F6" i="2"/>
  <c r="F20" i="2"/>
  <c r="F18" i="2"/>
  <c r="M40" i="2"/>
  <c r="G57" i="2"/>
  <c r="J39" i="2"/>
  <c r="AH57" i="2"/>
  <c r="K57" i="2"/>
  <c r="J56" i="2"/>
  <c r="H40" i="2"/>
  <c r="D40" i="2"/>
  <c r="J55" i="2"/>
  <c r="J32" i="2"/>
  <c r="J59" i="2" s="1"/>
  <c r="L57" i="2"/>
  <c r="J95" i="2"/>
  <c r="J96" i="2" s="1"/>
  <c r="G95" i="2"/>
  <c r="G96" i="2" s="1"/>
  <c r="H95" i="2"/>
  <c r="H96" i="2" s="1"/>
  <c r="F95" i="2"/>
  <c r="F96" i="2" s="1"/>
  <c r="I95" i="2"/>
  <c r="I96" i="2" s="1"/>
  <c r="L95" i="2"/>
  <c r="L96" i="2" s="1"/>
  <c r="K95" i="2"/>
  <c r="K96" i="2" s="1"/>
  <c r="AI57" i="2"/>
  <c r="F59" i="2"/>
  <c r="H57" i="2"/>
  <c r="C40" i="2"/>
  <c r="I57" i="2"/>
  <c r="I40" i="2"/>
  <c r="AG40" i="2"/>
  <c r="AG45" i="2" s="1"/>
  <c r="AG48" i="2" s="1"/>
  <c r="AG50" i="2" s="1"/>
  <c r="AH40" i="2"/>
  <c r="AI40" i="2"/>
  <c r="K40" i="2"/>
  <c r="K60" i="2" s="1"/>
  <c r="G40" i="2"/>
  <c r="L40" i="2"/>
  <c r="AL6" i="2" l="1"/>
  <c r="S36" i="2"/>
  <c r="AL26" i="2"/>
  <c r="AM26" i="2"/>
  <c r="S38" i="2"/>
  <c r="S37" i="2"/>
  <c r="AL57" i="2"/>
  <c r="AM25" i="2"/>
  <c r="AN4" i="2"/>
  <c r="AM6" i="2"/>
  <c r="AM24" i="2"/>
  <c r="AL27" i="2"/>
  <c r="S59" i="2"/>
  <c r="BE57" i="2"/>
  <c r="V57" i="2"/>
  <c r="T34" i="2"/>
  <c r="T36" i="2"/>
  <c r="U36" i="2" s="1"/>
  <c r="V36" i="2" s="1"/>
  <c r="T33" i="2"/>
  <c r="T38" i="2"/>
  <c r="U38" i="2" s="1"/>
  <c r="V38" i="2" s="1"/>
  <c r="T37" i="2"/>
  <c r="U37" i="2" s="1"/>
  <c r="V37" i="2" s="1"/>
  <c r="T35" i="2"/>
  <c r="U35" i="2" s="1"/>
  <c r="V35" i="2" s="1"/>
  <c r="T57" i="2"/>
  <c r="P45" i="2"/>
  <c r="P48" i="2" s="1"/>
  <c r="P50" i="2" s="1"/>
  <c r="P60" i="2"/>
  <c r="O45" i="2"/>
  <c r="O48" i="2" s="1"/>
  <c r="O50" i="2" s="1"/>
  <c r="O60" i="2"/>
  <c r="R45" i="2"/>
  <c r="R48" i="2" s="1"/>
  <c r="R50" i="2" s="1"/>
  <c r="S50" i="2" s="1"/>
  <c r="T50" i="2" s="1"/>
  <c r="U50" i="2" s="1"/>
  <c r="V50" i="2" s="1"/>
  <c r="R60" i="2"/>
  <c r="Q45" i="2"/>
  <c r="Q48" i="2" s="1"/>
  <c r="Q50" i="2" s="1"/>
  <c r="Q60" i="2"/>
  <c r="P16" i="2"/>
  <c r="M16" i="2"/>
  <c r="O16" i="2"/>
  <c r="L16" i="2"/>
  <c r="AK18" i="2"/>
  <c r="AK15" i="2"/>
  <c r="AK21" i="2" s="1"/>
  <c r="Q16" i="2"/>
  <c r="Q21" i="2"/>
  <c r="R21" i="2"/>
  <c r="L45" i="2"/>
  <c r="L48" i="2" s="1"/>
  <c r="L60" i="2"/>
  <c r="C45" i="2"/>
  <c r="C53" i="2" s="1"/>
  <c r="C60" i="2"/>
  <c r="G45" i="2"/>
  <c r="G53" i="2" s="1"/>
  <c r="G60" i="2"/>
  <c r="F45" i="2"/>
  <c r="F48" i="2" s="1"/>
  <c r="F60" i="2"/>
  <c r="E45" i="2"/>
  <c r="E48" i="2" s="1"/>
  <c r="E150" i="2" s="1"/>
  <c r="E60" i="2"/>
  <c r="M45" i="2"/>
  <c r="M53" i="2" s="1"/>
  <c r="M60" i="2"/>
  <c r="D45" i="2"/>
  <c r="D48" i="2" s="1"/>
  <c r="D60" i="2"/>
  <c r="I16" i="2"/>
  <c r="I60" i="2"/>
  <c r="H45" i="2"/>
  <c r="H48" i="2" s="1"/>
  <c r="H60" i="2"/>
  <c r="M146" i="2"/>
  <c r="M147" i="2" s="1"/>
  <c r="M154" i="2" s="1"/>
  <c r="F16" i="2"/>
  <c r="C16" i="2"/>
  <c r="E16" i="2"/>
  <c r="M21" i="2"/>
  <c r="G16" i="2"/>
  <c r="C21" i="2"/>
  <c r="D21" i="2"/>
  <c r="D16" i="2"/>
  <c r="K21" i="2"/>
  <c r="K16" i="2"/>
  <c r="H21" i="2"/>
  <c r="H16" i="2"/>
  <c r="L21" i="2"/>
  <c r="J15" i="2"/>
  <c r="J18" i="2"/>
  <c r="F63" i="2"/>
  <c r="AJ57" i="2"/>
  <c r="F62" i="2"/>
  <c r="K45" i="2"/>
  <c r="F65" i="2"/>
  <c r="J65" i="2"/>
  <c r="N65" i="2" s="1"/>
  <c r="R65" i="2" s="1"/>
  <c r="V65" i="2" s="1"/>
  <c r="J62" i="2"/>
  <c r="N62" i="2" s="1"/>
  <c r="R62" i="2" s="1"/>
  <c r="V62" i="2" s="1"/>
  <c r="AJ65" i="2"/>
  <c r="F64" i="2"/>
  <c r="J63" i="2"/>
  <c r="N63" i="2" s="1"/>
  <c r="J64" i="2"/>
  <c r="N64" i="2" s="1"/>
  <c r="N57" i="2"/>
  <c r="F61" i="2"/>
  <c r="J61" i="2"/>
  <c r="N61" i="2" s="1"/>
  <c r="F21" i="2"/>
  <c r="J27" i="2"/>
  <c r="J57" i="2"/>
  <c r="AI45" i="2"/>
  <c r="J40" i="2"/>
  <c r="J60" i="2" s="1"/>
  <c r="AH45" i="2"/>
  <c r="S39" i="2" l="1"/>
  <c r="AN26" i="2"/>
  <c r="AO4" i="2"/>
  <c r="AN25" i="2"/>
  <c r="AN24" i="2"/>
  <c r="AN6" i="2"/>
  <c r="AM27" i="2"/>
  <c r="AL38" i="2"/>
  <c r="AL37" i="2"/>
  <c r="AL35" i="2"/>
  <c r="AL36" i="2"/>
  <c r="U34" i="2"/>
  <c r="V34" i="2" s="1"/>
  <c r="BF57" i="2"/>
  <c r="P53" i="2"/>
  <c r="T59" i="2"/>
  <c r="U33" i="2"/>
  <c r="S40" i="2"/>
  <c r="T39" i="2"/>
  <c r="U39" i="2" s="1"/>
  <c r="V39" i="2" s="1"/>
  <c r="E53" i="2"/>
  <c r="O53" i="2"/>
  <c r="AJ63" i="2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R63" i="2"/>
  <c r="V63" i="2" s="1"/>
  <c r="AJ61" i="2"/>
  <c r="R61" i="2"/>
  <c r="V61" i="2" s="1"/>
  <c r="Q53" i="2"/>
  <c r="R53" i="2"/>
  <c r="AJ64" i="2"/>
  <c r="R64" i="2"/>
  <c r="V64" i="2" s="1"/>
  <c r="L53" i="2"/>
  <c r="H53" i="2"/>
  <c r="E50" i="2"/>
  <c r="M48" i="2"/>
  <c r="M49" i="2" s="1"/>
  <c r="C48" i="2"/>
  <c r="F98" i="2" s="1"/>
  <c r="D53" i="2"/>
  <c r="G48" i="2"/>
  <c r="G98" i="2" s="1"/>
  <c r="F53" i="2"/>
  <c r="F150" i="2"/>
  <c r="F50" i="2"/>
  <c r="D50" i="2"/>
  <c r="D150" i="2"/>
  <c r="C150" i="2"/>
  <c r="J16" i="2"/>
  <c r="J21" i="2"/>
  <c r="L117" i="2"/>
  <c r="L128" i="2" s="1"/>
  <c r="L149" i="2" s="1"/>
  <c r="L150" i="2"/>
  <c r="H50" i="2"/>
  <c r="H150" i="2"/>
  <c r="AJ62" i="2"/>
  <c r="H117" i="2"/>
  <c r="H128" i="2" s="1"/>
  <c r="H149" i="2" s="1"/>
  <c r="L50" i="2"/>
  <c r="K48" i="2"/>
  <c r="K150" i="2" s="1"/>
  <c r="K53" i="2"/>
  <c r="N55" i="2"/>
  <c r="N56" i="2"/>
  <c r="AJ59" i="2"/>
  <c r="AH48" i="2"/>
  <c r="AI48" i="2"/>
  <c r="AO26" i="2" l="1"/>
  <c r="AP4" i="2"/>
  <c r="AO25" i="2"/>
  <c r="AN27" i="2"/>
  <c r="AO24" i="2"/>
  <c r="AO6" i="2"/>
  <c r="AL34" i="2"/>
  <c r="AL39" i="2"/>
  <c r="BG57" i="2"/>
  <c r="AU63" i="2"/>
  <c r="S60" i="2"/>
  <c r="T40" i="2"/>
  <c r="S45" i="2"/>
  <c r="U59" i="2"/>
  <c r="V33" i="2"/>
  <c r="V59" i="2" s="1"/>
  <c r="H98" i="2"/>
  <c r="M150" i="2"/>
  <c r="C50" i="2"/>
  <c r="G150" i="2"/>
  <c r="G50" i="2"/>
  <c r="L146" i="2"/>
  <c r="L147" i="2" s="1"/>
  <c r="H146" i="2"/>
  <c r="H147" i="2" s="1"/>
  <c r="K50" i="2"/>
  <c r="AI50" i="2"/>
  <c r="AH50" i="2"/>
  <c r="AP26" i="2" l="1"/>
  <c r="AQ4" i="2"/>
  <c r="AP25" i="2"/>
  <c r="AO27" i="2"/>
  <c r="AP24" i="2"/>
  <c r="AP6" i="2"/>
  <c r="AL33" i="2"/>
  <c r="AM33" i="2" s="1"/>
  <c r="AN33" i="2" s="1"/>
  <c r="BH57" i="2"/>
  <c r="T45" i="2"/>
  <c r="U45" i="2" s="1"/>
  <c r="V45" i="2" s="1"/>
  <c r="S46" i="2"/>
  <c r="U40" i="2"/>
  <c r="T60" i="2"/>
  <c r="AO33" i="2" l="1"/>
  <c r="AP33" i="2" s="1"/>
  <c r="AQ26" i="2"/>
  <c r="AR4" i="2"/>
  <c r="AQ25" i="2"/>
  <c r="AQ24" i="2"/>
  <c r="AQ6" i="2"/>
  <c r="AP27" i="2"/>
  <c r="T46" i="2"/>
  <c r="U46" i="2" s="1"/>
  <c r="V46" i="2" s="1"/>
  <c r="AL45" i="2"/>
  <c r="BI57" i="2"/>
  <c r="U60" i="2"/>
  <c r="V40" i="2"/>
  <c r="V60" i="2" s="1"/>
  <c r="S48" i="2"/>
  <c r="AR26" i="2" l="1"/>
  <c r="AS4" i="2"/>
  <c r="AR25" i="2"/>
  <c r="AQ27" i="2"/>
  <c r="AQ33" i="2"/>
  <c r="AR24" i="2"/>
  <c r="AR6" i="2"/>
  <c r="AL46" i="2"/>
  <c r="AL40" i="2"/>
  <c r="AL60" i="2" s="1"/>
  <c r="S49" i="2"/>
  <c r="T48" i="2"/>
  <c r="U48" i="2" s="1"/>
  <c r="V48" i="2" s="1"/>
  <c r="AS26" i="2" l="1"/>
  <c r="AT4" i="2"/>
  <c r="AS25" i="2"/>
  <c r="AR33" i="2"/>
  <c r="AR27" i="2"/>
  <c r="AS24" i="2"/>
  <c r="AS6" i="2"/>
  <c r="AL48" i="2"/>
  <c r="T49" i="2"/>
  <c r="U49" i="2" s="1"/>
  <c r="V49" i="2" s="1"/>
  <c r="I45" i="2"/>
  <c r="J44" i="2"/>
  <c r="AU26" i="2" l="1"/>
  <c r="AT26" i="2"/>
  <c r="AU4" i="2"/>
  <c r="AU25" i="2" s="1"/>
  <c r="AT25" i="2"/>
  <c r="AT24" i="2"/>
  <c r="AT6" i="2"/>
  <c r="AS33" i="2"/>
  <c r="AS27" i="2"/>
  <c r="AL49" i="2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I48" i="2"/>
  <c r="J48" i="2" s="1"/>
  <c r="M98" i="2" s="1"/>
  <c r="I53" i="2"/>
  <c r="J45" i="2"/>
  <c r="J53" i="2" s="1"/>
  <c r="AT33" i="2" l="1"/>
  <c r="AT27" i="2"/>
  <c r="AU24" i="2"/>
  <c r="AU6" i="2"/>
  <c r="I150" i="2"/>
  <c r="L98" i="2"/>
  <c r="K98" i="2"/>
  <c r="I98" i="2"/>
  <c r="J98" i="2"/>
  <c r="I50" i="2"/>
  <c r="J50" i="2"/>
  <c r="J150" i="2"/>
  <c r="N60" i="2"/>
  <c r="N59" i="2"/>
  <c r="AU27" i="2" l="1"/>
  <c r="AU33" i="2"/>
  <c r="N53" i="2"/>
  <c r="AL59" i="2" l="1"/>
  <c r="AL68" i="2" l="1"/>
  <c r="AM41" i="2" s="1"/>
  <c r="N12" i="2" l="1"/>
  <c r="AJ12" i="2" s="1"/>
  <c r="AJ18" i="2" l="1"/>
  <c r="N18" i="2"/>
  <c r="N13" i="2"/>
  <c r="N6" i="2"/>
  <c r="N14" i="2"/>
  <c r="N15" i="2" l="1"/>
  <c r="AJ14" i="2"/>
  <c r="AJ20" i="2" s="1"/>
  <c r="N27" i="2"/>
  <c r="R27" i="2"/>
  <c r="N19" i="2"/>
  <c r="AJ13" i="2"/>
  <c r="N16" i="2"/>
  <c r="N21" i="2"/>
  <c r="N20" i="2"/>
  <c r="AJ19" i="2" l="1"/>
  <c r="AJ15" i="2"/>
  <c r="AJ21" i="2" s="1"/>
  <c r="AM34" i="2" l="1"/>
  <c r="AN34" i="2" s="1"/>
  <c r="AO34" i="2" s="1"/>
  <c r="AP34" i="2" s="1"/>
  <c r="AQ34" i="2" s="1"/>
  <c r="AR34" i="2" s="1"/>
  <c r="AS34" i="2" s="1"/>
  <c r="AT34" i="2" s="1"/>
  <c r="AU34" i="2" s="1"/>
  <c r="AM36" i="2"/>
  <c r="AN36" i="2" s="1"/>
  <c r="AO36" i="2" s="1"/>
  <c r="AP36" i="2" s="1"/>
  <c r="AQ36" i="2" s="1"/>
  <c r="AR36" i="2" s="1"/>
  <c r="AS36" i="2" s="1"/>
  <c r="AT36" i="2" s="1"/>
  <c r="AU36" i="2" s="1"/>
  <c r="AM37" i="2"/>
  <c r="AN37" i="2" s="1"/>
  <c r="AO37" i="2" s="1"/>
  <c r="AP37" i="2" s="1"/>
  <c r="AQ37" i="2" s="1"/>
  <c r="AR37" i="2" s="1"/>
  <c r="AS37" i="2" s="1"/>
  <c r="AT37" i="2" s="1"/>
  <c r="AU37" i="2" s="1"/>
  <c r="AM35" i="2"/>
  <c r="AN35" i="2" s="1"/>
  <c r="AO35" i="2" s="1"/>
  <c r="AP35" i="2" s="1"/>
  <c r="AQ35" i="2" s="1"/>
  <c r="AR35" i="2" s="1"/>
  <c r="AS35" i="2" s="1"/>
  <c r="AT35" i="2" s="1"/>
  <c r="AU35" i="2" s="1"/>
  <c r="AM38" i="2"/>
  <c r="AN38" i="2" s="1"/>
  <c r="AO38" i="2" s="1"/>
  <c r="AP38" i="2" s="1"/>
  <c r="AQ38" i="2" s="1"/>
  <c r="AR38" i="2" s="1"/>
  <c r="AS38" i="2" s="1"/>
  <c r="AT38" i="2" s="1"/>
  <c r="AU38" i="2" s="1"/>
  <c r="AM57" i="2"/>
  <c r="AM39" i="2" l="1"/>
  <c r="AM40" i="2" s="1"/>
  <c r="AM59" i="2"/>
  <c r="AM42" i="2" l="1"/>
  <c r="AM44" i="2" s="1"/>
  <c r="AM45" i="2" s="1"/>
  <c r="AM60" i="2"/>
  <c r="AM46" i="2" l="1"/>
  <c r="AM48" i="2" s="1"/>
  <c r="AM68" i="2" l="1"/>
  <c r="AM49" i="2"/>
  <c r="AN41" i="2" l="1"/>
  <c r="AQ57" i="2"/>
  <c r="AP57" i="2"/>
  <c r="AU57" i="2"/>
  <c r="AO57" i="2"/>
  <c r="AN59" i="2"/>
  <c r="AT57" i="2"/>
  <c r="AR57" i="2"/>
  <c r="AS57" i="2"/>
  <c r="AN57" i="2"/>
  <c r="AN39" i="2" l="1"/>
  <c r="AN40" i="2" s="1"/>
  <c r="AO39" i="2"/>
  <c r="AO40" i="2" s="1"/>
  <c r="AO59" i="2"/>
  <c r="AO60" i="2" l="1"/>
  <c r="AP39" i="2"/>
  <c r="AP40" i="2" s="1"/>
  <c r="AP59" i="2"/>
  <c r="AN42" i="2"/>
  <c r="AN44" i="2" s="1"/>
  <c r="AN45" i="2" s="1"/>
  <c r="AN60" i="2"/>
  <c r="AN46" i="2" l="1"/>
  <c r="AN48" i="2" s="1"/>
  <c r="AQ59" i="2"/>
  <c r="AQ39" i="2"/>
  <c r="AQ40" i="2" s="1"/>
  <c r="AP60" i="2"/>
  <c r="AO42" i="2"/>
  <c r="AP42" i="2" s="1"/>
  <c r="AN49" i="2" l="1"/>
  <c r="AN68" i="2"/>
  <c r="AQ42" i="2"/>
  <c r="AQ60" i="2"/>
  <c r="AR39" i="2"/>
  <c r="AR40" i="2" s="1"/>
  <c r="AR59" i="2"/>
  <c r="AO41" i="2" l="1"/>
  <c r="AO44" i="2" s="1"/>
  <c r="AO45" i="2" s="1"/>
  <c r="AS39" i="2"/>
  <c r="AS40" i="2" s="1"/>
  <c r="AS59" i="2"/>
  <c r="AR60" i="2"/>
  <c r="AR42" i="2"/>
  <c r="AT39" i="2" l="1"/>
  <c r="AT40" i="2" s="1"/>
  <c r="AT59" i="2"/>
  <c r="AS60" i="2"/>
  <c r="AS42" i="2"/>
  <c r="AO46" i="2"/>
  <c r="AO48" i="2" s="1"/>
  <c r="AO49" i="2" l="1"/>
  <c r="AO68" i="2"/>
  <c r="AT60" i="2"/>
  <c r="AT42" i="2"/>
  <c r="AU59" i="2"/>
  <c r="AU39" i="2"/>
  <c r="AU40" i="2" s="1"/>
  <c r="AU42" i="2" l="1"/>
  <c r="AU60" i="2"/>
  <c r="AP41" i="2"/>
  <c r="AP44" i="2" s="1"/>
  <c r="AP45" i="2" s="1"/>
  <c r="AP46" i="2" l="1"/>
  <c r="AP48" i="2" s="1"/>
  <c r="AP49" i="2" l="1"/>
  <c r="AP68" i="2"/>
  <c r="AQ41" i="2" l="1"/>
  <c r="AQ44" i="2" s="1"/>
  <c r="AQ45" i="2" s="1"/>
  <c r="AQ46" i="2" l="1"/>
  <c r="AQ48" i="2" s="1"/>
  <c r="AQ49" i="2" l="1"/>
  <c r="AQ68" i="2"/>
  <c r="AR41" i="2" l="1"/>
  <c r="AR44" i="2" s="1"/>
  <c r="AR45" i="2" s="1"/>
  <c r="AR46" i="2" l="1"/>
  <c r="AR48" i="2" s="1"/>
  <c r="AR49" i="2" s="1"/>
  <c r="AR68" i="2" l="1"/>
  <c r="AS41" i="2" l="1"/>
  <c r="AS44" i="2" s="1"/>
  <c r="AS45" i="2" s="1"/>
  <c r="AS46" i="2" l="1"/>
  <c r="AS48" i="2" s="1"/>
  <c r="AS49" i="2" l="1"/>
  <c r="AS68" i="2"/>
  <c r="AT41" i="2" l="1"/>
  <c r="AT44" i="2" s="1"/>
  <c r="AT45" i="2" s="1"/>
  <c r="AT46" i="2" l="1"/>
  <c r="AT48" i="2" s="1"/>
  <c r="AT49" i="2" l="1"/>
  <c r="AT68" i="2"/>
  <c r="AU41" i="2" l="1"/>
  <c r="AU44" i="2" s="1"/>
  <c r="AU45" i="2" s="1"/>
  <c r="AU46" i="2" l="1"/>
  <c r="AU48" i="2" s="1"/>
  <c r="AV48" i="2" l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CI48" i="2" s="1"/>
  <c r="CJ48" i="2" s="1"/>
  <c r="CK48" i="2" s="1"/>
  <c r="CL48" i="2" s="1"/>
  <c r="CM48" i="2" s="1"/>
  <c r="CN48" i="2" s="1"/>
  <c r="CO48" i="2" s="1"/>
  <c r="CP48" i="2" s="1"/>
  <c r="CQ48" i="2" s="1"/>
  <c r="CR48" i="2" s="1"/>
  <c r="CS48" i="2" s="1"/>
  <c r="CT48" i="2" s="1"/>
  <c r="CU48" i="2" s="1"/>
  <c r="CV48" i="2" s="1"/>
  <c r="CW48" i="2" s="1"/>
  <c r="CX48" i="2" s="1"/>
  <c r="CY48" i="2" s="1"/>
  <c r="CZ48" i="2" s="1"/>
  <c r="DA48" i="2" s="1"/>
  <c r="DB48" i="2" s="1"/>
  <c r="DC48" i="2" s="1"/>
  <c r="DD48" i="2" s="1"/>
  <c r="DE48" i="2" s="1"/>
  <c r="DF48" i="2" s="1"/>
  <c r="DG48" i="2" s="1"/>
  <c r="DH48" i="2" s="1"/>
  <c r="DI48" i="2" s="1"/>
  <c r="DJ48" i="2" s="1"/>
  <c r="DK48" i="2" s="1"/>
  <c r="DL48" i="2" s="1"/>
  <c r="DM48" i="2" s="1"/>
  <c r="DN48" i="2" s="1"/>
  <c r="DO48" i="2" s="1"/>
  <c r="DP48" i="2" s="1"/>
  <c r="DQ48" i="2" s="1"/>
  <c r="DR48" i="2" s="1"/>
  <c r="DS48" i="2" s="1"/>
  <c r="DT48" i="2" s="1"/>
  <c r="DU48" i="2" s="1"/>
  <c r="DV48" i="2" s="1"/>
  <c r="DW48" i="2" s="1"/>
  <c r="DX48" i="2" s="1"/>
  <c r="DY48" i="2" s="1"/>
  <c r="DZ48" i="2" s="1"/>
  <c r="EA48" i="2" s="1"/>
  <c r="EB48" i="2" s="1"/>
  <c r="EC48" i="2" s="1"/>
  <c r="ED48" i="2" s="1"/>
  <c r="EE48" i="2" s="1"/>
  <c r="EF48" i="2" s="1"/>
  <c r="EG48" i="2" s="1"/>
  <c r="EH48" i="2" s="1"/>
  <c r="EI48" i="2" s="1"/>
  <c r="EJ48" i="2" s="1"/>
  <c r="EK48" i="2" s="1"/>
  <c r="EL48" i="2" s="1"/>
  <c r="EM48" i="2" s="1"/>
  <c r="EN48" i="2" s="1"/>
  <c r="EO48" i="2" s="1"/>
  <c r="EP48" i="2" s="1"/>
  <c r="EQ48" i="2" s="1"/>
  <c r="ER48" i="2" s="1"/>
  <c r="ES48" i="2" s="1"/>
  <c r="ET48" i="2" s="1"/>
  <c r="EU48" i="2" s="1"/>
  <c r="EV48" i="2" s="1"/>
  <c r="EW48" i="2" s="1"/>
  <c r="EX48" i="2" s="1"/>
  <c r="EY48" i="2" s="1"/>
  <c r="EZ48" i="2" s="1"/>
  <c r="FA48" i="2" s="1"/>
  <c r="FB48" i="2" s="1"/>
  <c r="FC48" i="2" s="1"/>
  <c r="FD48" i="2" s="1"/>
  <c r="FE48" i="2" s="1"/>
  <c r="FF48" i="2" s="1"/>
  <c r="FG48" i="2" s="1"/>
  <c r="FH48" i="2" s="1"/>
  <c r="FI48" i="2" s="1"/>
  <c r="FJ48" i="2" s="1"/>
  <c r="FK48" i="2" s="1"/>
  <c r="FL48" i="2" s="1"/>
  <c r="FM48" i="2" s="1"/>
  <c r="FN48" i="2" s="1"/>
  <c r="FO48" i="2" s="1"/>
  <c r="FP48" i="2" s="1"/>
  <c r="FQ48" i="2" s="1"/>
  <c r="FR48" i="2" s="1"/>
  <c r="FS48" i="2" s="1"/>
  <c r="FT48" i="2" s="1"/>
  <c r="FU48" i="2" s="1"/>
  <c r="FV48" i="2" s="1"/>
  <c r="FW48" i="2" s="1"/>
  <c r="FX48" i="2" s="1"/>
  <c r="FY48" i="2" s="1"/>
  <c r="FZ48" i="2" s="1"/>
  <c r="GA48" i="2" s="1"/>
  <c r="GB48" i="2" s="1"/>
  <c r="GC48" i="2" s="1"/>
  <c r="GD48" i="2" s="1"/>
  <c r="GE48" i="2" s="1"/>
  <c r="GF48" i="2" s="1"/>
  <c r="GG48" i="2" s="1"/>
  <c r="GH48" i="2" s="1"/>
  <c r="GI48" i="2" s="1"/>
  <c r="GJ48" i="2" s="1"/>
  <c r="GK48" i="2" s="1"/>
  <c r="GL48" i="2" s="1"/>
  <c r="GM48" i="2" s="1"/>
  <c r="GN48" i="2" s="1"/>
  <c r="GO48" i="2" s="1"/>
  <c r="GP48" i="2" s="1"/>
  <c r="GQ48" i="2" s="1"/>
  <c r="GR48" i="2" s="1"/>
  <c r="GS48" i="2" s="1"/>
  <c r="GT48" i="2" s="1"/>
  <c r="GU48" i="2" s="1"/>
  <c r="GV48" i="2" s="1"/>
  <c r="GW48" i="2" s="1"/>
  <c r="GX48" i="2" s="1"/>
  <c r="GY48" i="2" s="1"/>
  <c r="GZ48" i="2" s="1"/>
  <c r="HA48" i="2" s="1"/>
  <c r="HB48" i="2" s="1"/>
  <c r="HC48" i="2" s="1"/>
  <c r="HD48" i="2" s="1"/>
  <c r="HE48" i="2" s="1"/>
  <c r="HF48" i="2" s="1"/>
  <c r="HG48" i="2" s="1"/>
  <c r="HH48" i="2" s="1"/>
  <c r="HI48" i="2" s="1"/>
  <c r="HJ48" i="2" s="1"/>
  <c r="HK48" i="2" s="1"/>
  <c r="HL48" i="2" s="1"/>
  <c r="HM48" i="2" s="1"/>
  <c r="HN48" i="2" s="1"/>
  <c r="HO48" i="2" s="1"/>
  <c r="HP48" i="2" s="1"/>
  <c r="HQ48" i="2" s="1"/>
  <c r="HR48" i="2" s="1"/>
  <c r="HS48" i="2" s="1"/>
  <c r="HT48" i="2" s="1"/>
  <c r="HU48" i="2" s="1"/>
  <c r="HV48" i="2" s="1"/>
  <c r="HW48" i="2" s="1"/>
  <c r="HX48" i="2" s="1"/>
  <c r="HY48" i="2" s="1"/>
  <c r="HZ48" i="2" s="1"/>
  <c r="IA48" i="2" s="1"/>
  <c r="IB48" i="2" s="1"/>
  <c r="IC48" i="2" s="1"/>
  <c r="ID48" i="2" s="1"/>
  <c r="IE48" i="2" s="1"/>
  <c r="IF48" i="2" s="1"/>
  <c r="IG48" i="2" s="1"/>
  <c r="IH48" i="2" s="1"/>
  <c r="II48" i="2" s="1"/>
  <c r="IJ48" i="2" s="1"/>
  <c r="IK48" i="2" s="1"/>
  <c r="IL48" i="2" s="1"/>
  <c r="IM48" i="2" s="1"/>
  <c r="IN48" i="2" s="1"/>
  <c r="IO48" i="2" s="1"/>
  <c r="IP48" i="2" s="1"/>
  <c r="IQ48" i="2" s="1"/>
  <c r="IR48" i="2" s="1"/>
  <c r="IS48" i="2" s="1"/>
  <c r="IT48" i="2" s="1"/>
  <c r="IU48" i="2" s="1"/>
  <c r="IV48" i="2" s="1"/>
  <c r="IW48" i="2" s="1"/>
  <c r="IX48" i="2" s="1"/>
  <c r="IY48" i="2" s="1"/>
  <c r="IZ48" i="2" s="1"/>
  <c r="JA48" i="2" s="1"/>
  <c r="JB48" i="2" s="1"/>
  <c r="JC48" i="2" s="1"/>
  <c r="JD48" i="2" s="1"/>
  <c r="JE48" i="2" s="1"/>
  <c r="JF48" i="2" s="1"/>
  <c r="JG48" i="2" s="1"/>
  <c r="JH48" i="2" s="1"/>
  <c r="JI48" i="2" s="1"/>
  <c r="JJ48" i="2" s="1"/>
  <c r="JK48" i="2" s="1"/>
  <c r="JL48" i="2" s="1"/>
  <c r="JM48" i="2" s="1"/>
  <c r="JN48" i="2" s="1"/>
  <c r="JO48" i="2" s="1"/>
  <c r="JP48" i="2" s="1"/>
  <c r="JQ48" i="2" s="1"/>
  <c r="JR48" i="2" s="1"/>
  <c r="JS48" i="2" s="1"/>
  <c r="JT48" i="2" s="1"/>
  <c r="JU48" i="2" s="1"/>
  <c r="JV48" i="2" s="1"/>
  <c r="JW48" i="2" s="1"/>
  <c r="JX48" i="2" s="1"/>
  <c r="JY48" i="2" s="1"/>
  <c r="JZ48" i="2" s="1"/>
  <c r="KA48" i="2" s="1"/>
  <c r="KB48" i="2" s="1"/>
  <c r="BA58" i="2" s="1"/>
  <c r="AU49" i="2"/>
  <c r="AU68" i="2"/>
  <c r="BC58" i="2" l="1"/>
  <c r="BC61" i="2" s="1"/>
  <c r="BC62" i="2" s="1"/>
  <c r="BC64" i="2" s="1"/>
  <c r="BB58" i="2"/>
  <c r="BB61" i="2" s="1"/>
  <c r="BB62" i="2" s="1"/>
  <c r="BB64" i="2" s="1"/>
  <c r="BH58" i="2"/>
  <c r="BH61" i="2" s="1"/>
  <c r="BH62" i="2" s="1"/>
  <c r="BH64" i="2" s="1"/>
  <c r="BF58" i="2"/>
  <c r="BF61" i="2" s="1"/>
  <c r="BF62" i="2" s="1"/>
  <c r="BF64" i="2" s="1"/>
  <c r="BA61" i="2"/>
  <c r="BA62" i="2" s="1"/>
  <c r="BD58" i="2"/>
  <c r="BD61" i="2" s="1"/>
  <c r="BD62" i="2" s="1"/>
  <c r="BD64" i="2" s="1"/>
  <c r="BE58" i="2"/>
  <c r="BE61" i="2" s="1"/>
  <c r="BE62" i="2" s="1"/>
  <c r="BE64" i="2" s="1"/>
  <c r="BI58" i="2"/>
  <c r="BI61" i="2" s="1"/>
  <c r="BI62" i="2" s="1"/>
  <c r="BI64" i="2" s="1"/>
  <c r="BG58" i="2"/>
  <c r="BG61" i="2" s="1"/>
  <c r="BG62" i="2" s="1"/>
  <c r="BG64" i="2" s="1"/>
  <c r="BA64" i="2" l="1"/>
  <c r="BG66" i="2"/>
  <c r="BG6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</authors>
  <commentList>
    <comment ref="D3" authorId="0" shapeId="0" xr:uid="{3FC36FE0-49D3-8746-A9BD-35DCED7583E8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-- AWS simple software to use
</t>
        </r>
        <r>
          <rPr>
            <sz val="10"/>
            <color rgb="FF000000"/>
            <rFont val="Tahoma"/>
            <family val="2"/>
          </rPr>
          <t xml:space="preserve">-- Payment Model is flexible for customers 
</t>
        </r>
        <r>
          <rPr>
            <sz val="10"/>
            <color rgb="FF000000"/>
            <rFont val="Tahoma"/>
            <family val="2"/>
          </rPr>
          <t>-- Is overall demand for AWS correlated w/ general economic sentiment???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tc={14FE80F9-6264-2A4A-99CB-EEF1FC083761}</author>
    <author>tc={A8548362-F7E5-294F-B11C-5CBEBF779A1F}</author>
    <author>tc={C6EA4791-6891-604F-AA5A-15F1F6D2913B}</author>
  </authors>
  <commentList>
    <comment ref="N6" authorId="0" shapeId="0" xr:uid="{632A0ED9-5909-E443-890F-8EFF0E0BC57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Guide between: </t>
        </r>
        <r>
          <rPr>
            <sz val="10"/>
            <color rgb="FF000000"/>
            <rFont val="Calibri"/>
            <family val="2"/>
            <scheme val="minor"/>
          </rPr>
          <t>$140.0 billion and $148.0 billion</t>
        </r>
      </text>
    </comment>
    <comment ref="M19" authorId="0" shapeId="0" xr:uid="{2B009173-00E8-AB49-AE7C-882305337D7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Additional op costs in Europe (higher fuel costs moreso in U.S&gt; and primne day often has less profitability due to more discounts</t>
        </r>
      </text>
    </comment>
    <comment ref="M20" authorId="0" shapeId="0" xr:uid="{ECFDF212-992E-014A-B36A-60DB6B344E0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Margins lower due to SBC, energy costs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"they will fluctuate everytime we balance investments and negotiate prices w/ cust"</t>
        </r>
      </text>
    </comment>
    <comment ref="O26" authorId="1" shapeId="0" xr:uid="{14FE80F9-6264-2A4A-99CB-EEF1FC0837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Customer usage
</t>
      </text>
    </comment>
    <comment ref="S32" authorId="2" shapeId="0" xr:uid="{A8548362-F7E5-294F-B11C-5CBEBF779A1F}">
      <text>
        <t>[Threaded comment]
Your version of Excel allows you to read this threaded comment; however, any edits to it will get removed if the file is opened in a newer version of Excel. Learn more: https://go.microsoft.com/fwlink/?linkid=870924
Comment:
    $138B-$143.5B GUIDANCE</t>
      </text>
    </comment>
    <comment ref="S40" authorId="3" shapeId="0" xr:uid="{C6EA4791-6891-604F-AA5A-15F1F6D291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$8B-$12B GUIDANCE
</t>
      </text>
    </comment>
    <comment ref="M43" authorId="0" shapeId="0" xr:uid="{C85E9FED-09C1-1346-B042-30C362865B9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is: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Security gain os $1.1B</t>
        </r>
      </text>
    </comment>
    <comment ref="AZ71" authorId="0" shapeId="0" xr:uid="{9E2F566A-BA35-2D4D-9E46-85025F300BD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Current valuation assumes next 10 years wil grow ~800 basis points less than the prior 10 years.  Implicit ass: is that AWS will be primary growth driver for many years to come.  Investment in Rivian won't pay off for a while with the company suffering from losses awaiting higher adoption to EV's.  Short term "other" income losses may suffer more if economy goes inot a downtown many won't be purchasing EV's as disposable income may dry?</t>
        </r>
      </text>
    </comment>
  </commentList>
</comments>
</file>

<file path=xl/sharedStrings.xml><?xml version="1.0" encoding="utf-8"?>
<sst xmlns="http://schemas.openxmlformats.org/spreadsheetml/2006/main" count="207" uniqueCount="190">
  <si>
    <t>AMZN</t>
  </si>
  <si>
    <t>Price</t>
  </si>
  <si>
    <t>Shares</t>
  </si>
  <si>
    <t>MC</t>
  </si>
  <si>
    <t>Cash</t>
  </si>
  <si>
    <t>Debt</t>
  </si>
  <si>
    <t>EV</t>
  </si>
  <si>
    <t>Q222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</si>
  <si>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</si>
  <si>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</si>
  <si>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</si>
  <si>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</si>
  <si>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</si>
  <si>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</si>
  <si>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</si>
  <si>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</si>
  <si>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</si>
  <si>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</si>
  <si>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</si>
  <si>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Net Sales</t>
  </si>
  <si>
    <t>Product</t>
  </si>
  <si>
    <t>Service</t>
  </si>
  <si>
    <t>Costs</t>
  </si>
  <si>
    <t>Tech &amp; Content</t>
  </si>
  <si>
    <t>S&amp;M</t>
  </si>
  <si>
    <t>G&amp;A</t>
  </si>
  <si>
    <t>Other op</t>
  </si>
  <si>
    <t>Total Op E</t>
  </si>
  <si>
    <t>Op Income</t>
  </si>
  <si>
    <t>Interest income</t>
  </si>
  <si>
    <t>Interest expense</t>
  </si>
  <si>
    <t>Other income</t>
  </si>
  <si>
    <t>Total non-op income</t>
  </si>
  <si>
    <t>Income Before Taxes</t>
  </si>
  <si>
    <t>Taxes</t>
  </si>
  <si>
    <t xml:space="preserve">Net Income </t>
  </si>
  <si>
    <t>Equity Method</t>
  </si>
  <si>
    <t>Diluted</t>
  </si>
  <si>
    <t>Eps</t>
  </si>
  <si>
    <t>Fullfilment</t>
  </si>
  <si>
    <t>Revenue y/y</t>
  </si>
  <si>
    <t>Service y/y</t>
  </si>
  <si>
    <t>Product y/y</t>
  </si>
  <si>
    <t>Discount</t>
  </si>
  <si>
    <t>Terminal</t>
  </si>
  <si>
    <t>NPV</t>
  </si>
  <si>
    <t>Estimate</t>
  </si>
  <si>
    <t>Current</t>
  </si>
  <si>
    <t>TL</t>
  </si>
  <si>
    <t>TL + E</t>
  </si>
  <si>
    <t>Equity</t>
  </si>
  <si>
    <t>Securities</t>
  </si>
  <si>
    <t>Inventories</t>
  </si>
  <si>
    <t>A/R</t>
  </si>
  <si>
    <t xml:space="preserve">Current Assets </t>
  </si>
  <si>
    <t>PPE</t>
  </si>
  <si>
    <t>Op lease</t>
  </si>
  <si>
    <t>Goodwill</t>
  </si>
  <si>
    <t>OA</t>
  </si>
  <si>
    <t>TA</t>
  </si>
  <si>
    <t>A/P</t>
  </si>
  <si>
    <t>Accrued expenses</t>
  </si>
  <si>
    <t>Unearned revnue</t>
  </si>
  <si>
    <t>Current Liabilities</t>
  </si>
  <si>
    <t>LT Lease</t>
  </si>
  <si>
    <t>LTD</t>
  </si>
  <si>
    <t>Other LT</t>
  </si>
  <si>
    <t>Preferred stock</t>
  </si>
  <si>
    <t>Common</t>
  </si>
  <si>
    <t>Treasury</t>
  </si>
  <si>
    <t xml:space="preserve">Additional </t>
  </si>
  <si>
    <t>Accumalated Other</t>
  </si>
  <si>
    <t>Retained</t>
  </si>
  <si>
    <t xml:space="preserve">Net Cash </t>
  </si>
  <si>
    <t>Cash Burn q/q</t>
  </si>
  <si>
    <t>Cash + Restricted</t>
  </si>
  <si>
    <t>Net Income</t>
  </si>
  <si>
    <t>D&amp;A</t>
  </si>
  <si>
    <t>SBC</t>
  </si>
  <si>
    <t>Othe rop expense</t>
  </si>
  <si>
    <t>Other expense</t>
  </si>
  <si>
    <t>Deferred income tax</t>
  </si>
  <si>
    <t>Unearned revenue</t>
  </si>
  <si>
    <t>CFFO</t>
  </si>
  <si>
    <t>PPE Sales</t>
  </si>
  <si>
    <t>Acquisitions</t>
  </si>
  <si>
    <t>Purchases of securities</t>
  </si>
  <si>
    <t>CFFI</t>
  </si>
  <si>
    <t>Buybacks</t>
  </si>
  <si>
    <t>Proceeds from STD</t>
  </si>
  <si>
    <t>Repayments of STD</t>
  </si>
  <si>
    <t>Proceeds from LTD</t>
  </si>
  <si>
    <t>Repayments of LTD</t>
  </si>
  <si>
    <t>Principal Payments FL</t>
  </si>
  <si>
    <t>Principal Payments FO</t>
  </si>
  <si>
    <t>CFFF</t>
  </si>
  <si>
    <t>FX</t>
  </si>
  <si>
    <t>Net Cash Increase</t>
  </si>
  <si>
    <t>Cash Increase</t>
  </si>
  <si>
    <t>FCF</t>
  </si>
  <si>
    <t>NA</t>
  </si>
  <si>
    <t xml:space="preserve">International </t>
  </si>
  <si>
    <t>AWS</t>
  </si>
  <si>
    <t xml:space="preserve">Revenue </t>
  </si>
  <si>
    <t>NA OM%</t>
  </si>
  <si>
    <t>AWS OM %</t>
  </si>
  <si>
    <t>International OM %</t>
  </si>
  <si>
    <t>Consolidated OM%</t>
  </si>
  <si>
    <t>PR</t>
  </si>
  <si>
    <t xml:space="preserve">RIVIAN </t>
  </si>
  <si>
    <t>Consolidated OP I</t>
  </si>
  <si>
    <t>NA y/y</t>
  </si>
  <si>
    <t>Int'l y/y</t>
  </si>
  <si>
    <t>AWS y/y</t>
  </si>
  <si>
    <t>TR y/y</t>
  </si>
  <si>
    <t>GM</t>
  </si>
  <si>
    <t>Costs %</t>
  </si>
  <si>
    <t>Fullfilment  %</t>
  </si>
  <si>
    <t>T&amp;C %</t>
  </si>
  <si>
    <t>S&amp;M %</t>
  </si>
  <si>
    <t>G&amp;A %</t>
  </si>
  <si>
    <t xml:space="preserve">Tax Rate </t>
  </si>
  <si>
    <t>Delta</t>
  </si>
  <si>
    <t>Q123</t>
  </si>
  <si>
    <t>Q223</t>
  </si>
  <si>
    <t>Q323</t>
  </si>
  <si>
    <t>Q423</t>
  </si>
  <si>
    <t>NC</t>
  </si>
  <si>
    <t>Total V</t>
  </si>
  <si>
    <t>ROIC</t>
  </si>
  <si>
    <t>Mean P</t>
  </si>
  <si>
    <t>OpEx</t>
  </si>
  <si>
    <t>NA OpEx</t>
  </si>
  <si>
    <t>Int'l OpEx</t>
  </si>
  <si>
    <t>AWS OpEx</t>
  </si>
  <si>
    <t>NI</t>
  </si>
  <si>
    <t>Capex</t>
  </si>
  <si>
    <t>Sale of securities</t>
  </si>
  <si>
    <t xml:space="preserve">Mean </t>
  </si>
  <si>
    <t>11Y Cash CAGR</t>
  </si>
  <si>
    <t>OM</t>
  </si>
  <si>
    <t>LTD Debt Change q/q</t>
  </si>
  <si>
    <t>STD Change q/q</t>
  </si>
  <si>
    <t>LTD Debt Increase</t>
  </si>
  <si>
    <t>STD Debt Increase</t>
  </si>
  <si>
    <t>LTD Debt Decrease</t>
  </si>
  <si>
    <t>STD Debt Decrease</t>
  </si>
  <si>
    <t>Organic Debt Change</t>
  </si>
  <si>
    <t>ROE</t>
  </si>
  <si>
    <t>NWC</t>
  </si>
  <si>
    <t>Q3'22</t>
  </si>
  <si>
    <t>Q2'22</t>
  </si>
  <si>
    <t>Q1'22</t>
  </si>
  <si>
    <t>Q4'21</t>
  </si>
  <si>
    <t>Q3'21</t>
  </si>
  <si>
    <t>ER</t>
  </si>
  <si>
    <t>Video</t>
  </si>
  <si>
    <t>Benefits</t>
  </si>
  <si>
    <t>Exercise</t>
  </si>
  <si>
    <t xml:space="preserve">Comp: Azure, Google, IBM, Oracle, VMWare, Dell, Alibaba, Tencent, vCloud,Lumen, Blue Prism, </t>
  </si>
  <si>
    <t>Contains</t>
  </si>
  <si>
    <t>Crystal Dynamics deal to develop Tomb Raider</t>
  </si>
  <si>
    <t>AWS/AFI innovation</t>
  </si>
  <si>
    <t>Slalom collab</t>
  </si>
  <si>
    <t xml:space="preserve">$700M Equity Investment in Rivian </t>
  </si>
  <si>
    <t>Equity warrants</t>
  </si>
  <si>
    <t>Equity Invest. Revisions</t>
  </si>
  <si>
    <t>Fx</t>
  </si>
  <si>
    <t>Other, net</t>
  </si>
  <si>
    <t>Rivian Revenues</t>
  </si>
  <si>
    <t>Gp</t>
  </si>
  <si>
    <t>RIVN</t>
  </si>
  <si>
    <t>Note</t>
  </si>
  <si>
    <t>AMZN Ownership</t>
  </si>
  <si>
    <t>$m</t>
  </si>
  <si>
    <t>Rivian shares</t>
  </si>
  <si>
    <t>Rivian Valuation Change</t>
  </si>
  <si>
    <t>Total Other Income</t>
  </si>
  <si>
    <t>Q124</t>
  </si>
  <si>
    <t>Q224</t>
  </si>
  <si>
    <t>Q324</t>
  </si>
  <si>
    <t>Q424</t>
  </si>
  <si>
    <t>SCENARIOS</t>
  </si>
  <si>
    <t>Q4'23</t>
  </si>
  <si>
    <t>Q3'23</t>
  </si>
  <si>
    <t>Q2'23</t>
  </si>
  <si>
    <t>Q1'23</t>
  </si>
  <si>
    <t>Q4'22</t>
  </si>
  <si>
    <t xml:space="preserve">Precision Medicine </t>
  </si>
  <si>
    <t xml:space="preserve">Choice hotels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</si>
</sst>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Intel Clear"/>
      <family val="2"/>
    </font>
    <font>
      <sz val="11"/>
      <color theme="1"/>
      <name val="Intel Clear"/>
      <family val="2"/>
    </font>
    <font>
      <b/>
      <sz val="11"/>
      <color rgb="FF000000"/>
      <name val="Intel Clear"/>
      <family val="2"/>
    </font>
    <font>
      <sz val="11"/>
      <color rgb="FF000000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432FF"/>
      <name val="Intel Clear"/>
      <family val="2"/>
    </font>
    <font>
      <u/>
      <sz val="11"/>
      <color theme="1"/>
      <name val="Intel Clear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249977111117893"/>
      <name val="Intel Clear"/>
      <family val="2"/>
    </font>
    <font>
      <b/>
      <i/>
      <sz val="11"/>
      <color theme="0" tint="-0.249977111117893"/>
      <name val="Intel Clear"/>
      <family val="2"/>
    </font>
    <font>
      <b/>
      <i/>
      <sz val="11"/>
      <color theme="1"/>
      <name val="Intel Clear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9" fontId="2" fillId="0" borderId="0" xfId="0" applyNumberFormat="1" applyFont="1"/>
    <xf numFmtId="1" fontId="2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9" fontId="8" fillId="0" borderId="0" xfId="0" applyNumberFormat="1" applyFont="1" applyAlignment="1">
      <alignment horizontal="right"/>
    </xf>
    <xf numFmtId="3" fontId="9" fillId="0" borderId="0" xfId="0" applyNumberFormat="1" applyFont="1"/>
    <xf numFmtId="1" fontId="2" fillId="0" borderId="0" xfId="0" applyNumberFormat="1" applyFont="1"/>
    <xf numFmtId="10" fontId="2" fillId="0" borderId="0" xfId="0" applyNumberFormat="1" applyFont="1"/>
    <xf numFmtId="3" fontId="2" fillId="2" borderId="1" xfId="0" applyNumberFormat="1" applyFont="1" applyFill="1" applyBorder="1"/>
    <xf numFmtId="164" fontId="2" fillId="2" borderId="2" xfId="0" applyNumberFormat="1" applyFont="1" applyFill="1" applyBorder="1"/>
    <xf numFmtId="3" fontId="2" fillId="2" borderId="2" xfId="0" applyNumberFormat="1" applyFont="1" applyFill="1" applyBorder="1"/>
    <xf numFmtId="3" fontId="2" fillId="2" borderId="3" xfId="0" applyNumberFormat="1" applyFont="1" applyFill="1" applyBorder="1"/>
    <xf numFmtId="3" fontId="1" fillId="2" borderId="4" xfId="0" applyNumberFormat="1" applyFont="1" applyFill="1" applyBorder="1"/>
    <xf numFmtId="3" fontId="2" fillId="2" borderId="0" xfId="0" applyNumberFormat="1" applyFont="1" applyFill="1"/>
    <xf numFmtId="164" fontId="2" fillId="2" borderId="0" xfId="0" applyNumberFormat="1" applyFont="1" applyFill="1"/>
    <xf numFmtId="3" fontId="2" fillId="2" borderId="4" xfId="0" applyNumberFormat="1" applyFont="1" applyFill="1" applyBorder="1"/>
    <xf numFmtId="9" fontId="2" fillId="2" borderId="4" xfId="0" applyNumberFormat="1" applyFont="1" applyFill="1" applyBorder="1"/>
    <xf numFmtId="9" fontId="1" fillId="2" borderId="4" xfId="0" applyNumberFormat="1" applyFont="1" applyFill="1" applyBorder="1"/>
    <xf numFmtId="3" fontId="2" fillId="2" borderId="6" xfId="0" applyNumberFormat="1" applyFont="1" applyFill="1" applyBorder="1"/>
    <xf numFmtId="9" fontId="2" fillId="2" borderId="7" xfId="0" applyNumberFormat="1" applyFont="1" applyFill="1" applyBorder="1"/>
    <xf numFmtId="9" fontId="2" fillId="2" borderId="0" xfId="0" applyNumberFormat="1" applyFont="1" applyFill="1"/>
    <xf numFmtId="3" fontId="1" fillId="2" borderId="1" xfId="0" applyNumberFormat="1" applyFont="1" applyFill="1" applyBorder="1"/>
    <xf numFmtId="3" fontId="1" fillId="2" borderId="3" xfId="0" applyNumberFormat="1" applyFont="1" applyFill="1" applyBorder="1" applyAlignment="1">
      <alignment horizontal="center"/>
    </xf>
    <xf numFmtId="3" fontId="1" fillId="2" borderId="6" xfId="0" applyNumberFormat="1" applyFont="1" applyFill="1" applyBorder="1"/>
    <xf numFmtId="9" fontId="1" fillId="3" borderId="8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/>
    <xf numFmtId="0" fontId="10" fillId="0" borderId="0" xfId="1"/>
    <xf numFmtId="14" fontId="2" fillId="0" borderId="0" xfId="0" applyNumberFormat="1" applyFont="1"/>
    <xf numFmtId="14" fontId="10" fillId="0" borderId="0" xfId="1" applyNumberFormat="1"/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164" fontId="12" fillId="2" borderId="0" xfId="0" applyNumberFormat="1" applyFont="1" applyFill="1"/>
    <xf numFmtId="164" fontId="12" fillId="2" borderId="5" xfId="0" applyNumberFormat="1" applyFont="1" applyFill="1" applyBorder="1"/>
    <xf numFmtId="3" fontId="12" fillId="2" borderId="0" xfId="0" applyNumberFormat="1" applyFont="1" applyFill="1"/>
    <xf numFmtId="3" fontId="12" fillId="2" borderId="5" xfId="0" applyNumberFormat="1" applyFont="1" applyFill="1" applyBorder="1"/>
    <xf numFmtId="1" fontId="12" fillId="2" borderId="0" xfId="0" applyNumberFormat="1" applyFont="1" applyFill="1"/>
    <xf numFmtId="1" fontId="12" fillId="2" borderId="5" xfId="0" applyNumberFormat="1" applyFont="1" applyFill="1" applyBorder="1"/>
    <xf numFmtId="9" fontId="12" fillId="2" borderId="7" xfId="0" applyNumberFormat="1" applyFont="1" applyFill="1" applyBorder="1"/>
    <xf numFmtId="9" fontId="12" fillId="2" borderId="8" xfId="0" applyNumberFormat="1" applyFont="1" applyFill="1" applyBorder="1"/>
    <xf numFmtId="164" fontId="13" fillId="4" borderId="0" xfId="0" applyNumberFormat="1" applyFont="1" applyFill="1"/>
    <xf numFmtId="3" fontId="13" fillId="4" borderId="0" xfId="0" applyNumberFormat="1" applyFont="1" applyFill="1"/>
    <xf numFmtId="1" fontId="13" fillId="4" borderId="0" xfId="0" applyNumberFormat="1" applyFont="1" applyFill="1"/>
    <xf numFmtId="9" fontId="13" fillId="4" borderId="7" xfId="0" applyNumberFormat="1" applyFont="1" applyFill="1" applyBorder="1"/>
    <xf numFmtId="43" fontId="1" fillId="0" borderId="0" xfId="2" applyFont="1" applyAlignment="1">
      <alignment horizontal="right"/>
    </xf>
    <xf numFmtId="0" fontId="10" fillId="0" borderId="0" xfId="1" applyAlignment="1">
      <alignment horizontal="left"/>
    </xf>
    <xf numFmtId="3" fontId="14" fillId="2" borderId="0" xfId="0" applyNumberFormat="1" applyFont="1" applyFill="1" applyAlignment="1">
      <alignment horizontal="center"/>
    </xf>
    <xf numFmtId="3" fontId="14" fillId="2" borderId="5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18</xdr:col>
      <xdr:colOff>9621</xdr:colOff>
      <xdr:row>196</xdr:row>
      <xdr:rowOff>46181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277579-C167-5839-E10F-966E564910AB}"/>
            </a:ext>
          </a:extLst>
        </xdr:cNvPr>
        <xdr:cNvCxnSpPr/>
      </xdr:nvCxnSpPr>
      <xdr:spPr>
        <a:xfrm flipH="1">
          <a:off x="12803909" y="0"/>
          <a:ext cx="9621" cy="3836554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829348</xdr:colOff>
      <xdr:row>0</xdr:row>
      <xdr:rowOff>0</xdr:rowOff>
    </xdr:from>
    <xdr:to>
      <xdr:col>37</xdr:col>
      <xdr:colOff>5131</xdr:colOff>
      <xdr:row>84</xdr:row>
      <xdr:rowOff>35278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74DBFD1-01D4-A14F-7106-7912F7823456}"/>
            </a:ext>
          </a:extLst>
        </xdr:cNvPr>
        <xdr:cNvCxnSpPr/>
      </xdr:nvCxnSpPr>
      <xdr:spPr>
        <a:xfrm>
          <a:off x="23689348" y="0"/>
          <a:ext cx="7056" cy="1875046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4C49DF36-F2CD-A847-BF05-9B8AE051B2CD}" userId="jameel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6" dT="2024-02-13T19:59:30.77" personId="{4C49DF36-F2CD-A847-BF05-9B8AE051B2CD}" id="{14FE80F9-6264-2A4A-99CB-EEF1FC083761}">
    <text xml:space="preserve">Customer usage
</text>
  </threadedComment>
  <threadedComment ref="S32" dT="2024-02-13T20:25:50.47" personId="{4C49DF36-F2CD-A847-BF05-9B8AE051B2CD}" id="{A8548362-F7E5-294F-B11C-5CBEBF779A1F}">
    <text>$138B-$143.5B GUIDANCE</text>
  </threadedComment>
  <threadedComment ref="S40" dT="2024-02-13T20:27:26.16" personId="{4C49DF36-F2CD-A847-BF05-9B8AE051B2CD}" id="{C6EA4791-6891-604F-AA5A-15F1F6D2913B}">
    <text xml:space="preserve">$8B-$12B GUIDANCE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ss.aboutamazon.com/2022/11/aws-and-slalom-expand-next-generation-strategic-collaboration" TargetMode="External"/><Relationship Id="rId13" Type="http://schemas.openxmlformats.org/officeDocument/2006/relationships/hyperlink" Target="https://s2.q4cdn.com/299287126/files/doc_financials/2022/q4/Q4-2022-Amazon-Earnings-Release.pdf" TargetMode="External"/><Relationship Id="rId3" Type="http://schemas.openxmlformats.org/officeDocument/2006/relationships/hyperlink" Target="https://www.google.com/url?sa=t&amp;rct=j&amp;q=&amp;esrc=s&amp;source=web&amp;cd=&amp;cad=rja&amp;uact=8&amp;ved=2ahUKEwjcu7Suo6n8AhV2MEQIHU4LDlUQtwJ6BAgqEAI&amp;url=https%3A%2F%2Fwww.youtube.com%2Fwatch%3Fv%3Da9__D53WsUs&amp;usg=AOvVaw2i0PdHNdTgUAIlIL6Odxx_" TargetMode="External"/><Relationship Id="rId7" Type="http://schemas.openxmlformats.org/officeDocument/2006/relationships/hyperlink" Target="https://press.aboutamazon.com/2022/12/american-family-insurance-and-aws-team-up-to-drive-innovation-in-the-insurance-industry" TargetMode="External"/><Relationship Id="rId12" Type="http://schemas.openxmlformats.org/officeDocument/2006/relationships/hyperlink" Target="https://s2.q4cdn.com/299287126/files/doc_financials/2023/q1/Q1-2023-Amazon-Earnings-Release.pdf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en.wikipedia.org/wiki/Amazon_Web_Services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s2.q4cdn.com/299287126/files/doc_financials/2022/q3/Q3-2022-Amazon-Earnings-Release.pdf" TargetMode="External"/><Relationship Id="rId6" Type="http://schemas.openxmlformats.org/officeDocument/2006/relationships/hyperlink" Target="https://press.aboutamazon.com/2022/12/amazon-games-and-crystal-dynamics-strike-deal-to-develop-and-publish-next-major-entry-in-iconic-tomb-raider-series" TargetMode="External"/><Relationship Id="rId11" Type="http://schemas.openxmlformats.org/officeDocument/2006/relationships/hyperlink" Target="https://s2.q4cdn.com/299287126/files/doc_financials/2023/q2/Q2-2023-Amazon-Earnings-Release.pdf" TargetMode="External"/><Relationship Id="rId5" Type="http://schemas.openxmlformats.org/officeDocument/2006/relationships/hyperlink" Target="https://aws.amazon.com/getting-started/hands-on/build-web-app-s3-lambda-api-gateway-dynamodb/" TargetMode="External"/><Relationship Id="rId15" Type="http://schemas.openxmlformats.org/officeDocument/2006/relationships/hyperlink" Target="https://press.aboutamazon.com/aws/2024/1/choice-hotels-becomes-first-hotel-company-to-complete-total-data-center-migration-to-aws" TargetMode="External"/><Relationship Id="rId10" Type="http://schemas.openxmlformats.org/officeDocument/2006/relationships/hyperlink" Target="https://s2.q4cdn.com/299287126/files/doc_financials/2023/q3/AMZN-Q3-2023-Earnings-Release.pdf" TargetMode="External"/><Relationship Id="rId4" Type="http://schemas.openxmlformats.org/officeDocument/2006/relationships/hyperlink" Target="https://aws.amazon.com/application-hosting/benefits/" TargetMode="External"/><Relationship Id="rId9" Type="http://schemas.openxmlformats.org/officeDocument/2006/relationships/hyperlink" Target="https://s2.q4cdn.com/299287126/files/doc_financials/2023/q4/AMZN-Q4-2023-Earnings-Release.pdf" TargetMode="External"/><Relationship Id="rId14" Type="http://schemas.openxmlformats.org/officeDocument/2006/relationships/hyperlink" Target="https://press.aboutamazon.com/aws/2024/2/techbio-unicorn-owkin-teams-up-with-aws-to-advance-generative-ai-for-precision-medicin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21"/>
  <sheetViews>
    <sheetView tabSelected="1" zoomScale="180" zoomScaleNormal="180" workbookViewId="0">
      <selection activeCell="M8" sqref="M8"/>
    </sheetView>
  </sheetViews>
  <sheetFormatPr baseColWidth="10" defaultColWidth="8.83203125" defaultRowHeight="15" x14ac:dyDescent="0.2"/>
  <cols>
    <col min="1" max="1" width="1.1640625" style="1" customWidth="1"/>
    <col min="2" max="2" width="8.83203125" style="1"/>
    <col min="3" max="3" width="9.5" style="1" bestFit="1" customWidth="1"/>
    <col min="4" max="11" width="8.83203125" style="1"/>
    <col min="12" max="12" width="6.83203125" style="1" bestFit="1" customWidth="1"/>
    <col min="13" max="13" width="10" style="1" bestFit="1" customWidth="1"/>
    <col min="14" max="14" width="6" style="1" bestFit="1" customWidth="1"/>
    <col min="15" max="15" width="8.83203125" style="1"/>
    <col min="16" max="16" width="15.5" style="1" bestFit="1" customWidth="1"/>
    <col min="17" max="17" width="8.83203125" style="1"/>
    <col min="18" max="18" width="15" style="1" bestFit="1" customWidth="1"/>
    <col min="19" max="16384" width="8.83203125" style="1"/>
  </cols>
  <sheetData>
    <row r="3" spans="2:23" x14ac:dyDescent="0.2">
      <c r="D3" s="48" t="s">
        <v>102</v>
      </c>
      <c r="E3" s="48" t="s">
        <v>156</v>
      </c>
      <c r="F3" s="48" t="s">
        <v>158</v>
      </c>
      <c r="G3" s="48" t="s">
        <v>157</v>
      </c>
      <c r="H3" s="1" t="s">
        <v>159</v>
      </c>
    </row>
    <row r="6" spans="2:23" x14ac:dyDescent="0.2">
      <c r="L6" s="9" t="s">
        <v>0</v>
      </c>
      <c r="P6" s="47" t="s">
        <v>171</v>
      </c>
      <c r="R6" s="1" t="s">
        <v>173</v>
      </c>
    </row>
    <row r="7" spans="2:23" x14ac:dyDescent="0.2">
      <c r="B7" s="1" t="s">
        <v>109</v>
      </c>
      <c r="L7" s="1" t="s">
        <v>1</v>
      </c>
      <c r="M7" s="2">
        <v>173.54</v>
      </c>
      <c r="P7" s="2">
        <v>18.43</v>
      </c>
      <c r="R7" s="2">
        <f>+P7</f>
        <v>18.43</v>
      </c>
    </row>
    <row r="8" spans="2:23" x14ac:dyDescent="0.2">
      <c r="B8" s="47" t="s">
        <v>155</v>
      </c>
      <c r="C8" s="1" t="s">
        <v>108</v>
      </c>
      <c r="D8" s="1" t="s">
        <v>160</v>
      </c>
      <c r="L8" s="1" t="s">
        <v>2</v>
      </c>
      <c r="M8" s="2">
        <v>10387.381291</v>
      </c>
      <c r="N8" s="1" t="s">
        <v>126</v>
      </c>
      <c r="P8" s="2">
        <f>913130805+7825</f>
        <v>913138630</v>
      </c>
      <c r="R8" s="2">
        <v>150000000</v>
      </c>
      <c r="S8" s="8">
        <f>+R8/P8</f>
        <v>0.16426859522962028</v>
      </c>
      <c r="T8" s="2"/>
      <c r="U8" s="2"/>
      <c r="V8" s="2"/>
      <c r="W8" s="2"/>
    </row>
    <row r="9" spans="2:23" x14ac:dyDescent="0.2">
      <c r="B9" s="48" t="s">
        <v>183</v>
      </c>
      <c r="C9" s="49">
        <v>45330</v>
      </c>
      <c r="D9" s="48" t="s">
        <v>188</v>
      </c>
      <c r="L9" s="1" t="s">
        <v>3</v>
      </c>
      <c r="M9" s="5">
        <f>+M7*M8</f>
        <v>1802626.1492401399</v>
      </c>
      <c r="P9" s="5">
        <f>+P7*P8</f>
        <v>16829144950.9</v>
      </c>
      <c r="R9" s="2">
        <f>+R7*R8</f>
        <v>2764500000</v>
      </c>
      <c r="S9" s="2"/>
      <c r="T9" s="2"/>
      <c r="U9" s="2"/>
      <c r="V9" s="2"/>
      <c r="W9" s="2"/>
    </row>
    <row r="10" spans="2:23" x14ac:dyDescent="0.2">
      <c r="B10" s="66" t="s">
        <v>184</v>
      </c>
      <c r="C10" s="49">
        <v>45320</v>
      </c>
      <c r="D10" s="48" t="s">
        <v>189</v>
      </c>
      <c r="L10" s="1" t="s">
        <v>4</v>
      </c>
      <c r="M10" s="2">
        <f>5388+16138</f>
        <v>21526</v>
      </c>
      <c r="N10" s="1" t="str">
        <f>+N8</f>
        <v>Q423</v>
      </c>
      <c r="P10" s="2">
        <v>18133</v>
      </c>
      <c r="R10" s="2">
        <f>+P10</f>
        <v>18133</v>
      </c>
      <c r="S10" s="2"/>
      <c r="T10" s="2"/>
      <c r="U10" s="2"/>
      <c r="V10" s="2"/>
      <c r="W10" s="2"/>
    </row>
    <row r="11" spans="2:23" x14ac:dyDescent="0.2">
      <c r="B11" s="48" t="s">
        <v>185</v>
      </c>
      <c r="L11" s="1" t="s">
        <v>5</v>
      </c>
      <c r="M11" s="2">
        <v>67150</v>
      </c>
      <c r="N11" s="1" t="str">
        <f>+N10</f>
        <v>Q423</v>
      </c>
      <c r="P11" s="2">
        <v>1226</v>
      </c>
      <c r="R11" s="2">
        <f>+P11</f>
        <v>1226</v>
      </c>
      <c r="S11" s="2"/>
      <c r="T11" s="2"/>
      <c r="U11" s="2"/>
      <c r="V11" s="2"/>
      <c r="W11" s="2"/>
    </row>
    <row r="12" spans="2:23" x14ac:dyDescent="0.2">
      <c r="B12" s="48" t="s">
        <v>186</v>
      </c>
      <c r="C12" s="50">
        <v>44910</v>
      </c>
      <c r="D12" s="1" t="s">
        <v>161</v>
      </c>
      <c r="L12" s="1" t="s">
        <v>6</v>
      </c>
      <c r="M12" s="2">
        <f>+M9-M10+M11</f>
        <v>1848250.1492401399</v>
      </c>
      <c r="P12" s="2">
        <f>+P9-P10+P11</f>
        <v>16829128043.9</v>
      </c>
      <c r="R12" s="2">
        <f>+P12</f>
        <v>16829128043.9</v>
      </c>
      <c r="S12" s="2"/>
      <c r="T12" s="2"/>
      <c r="U12" s="2"/>
      <c r="V12" s="2"/>
      <c r="W12" s="2"/>
    </row>
    <row r="13" spans="2:23" x14ac:dyDescent="0.2">
      <c r="B13" s="48" t="s">
        <v>187</v>
      </c>
      <c r="C13" s="50">
        <v>44896</v>
      </c>
      <c r="D13" s="1" t="s">
        <v>162</v>
      </c>
    </row>
    <row r="14" spans="2:23" x14ac:dyDescent="0.2">
      <c r="B14" s="48" t="s">
        <v>150</v>
      </c>
      <c r="C14" s="50">
        <v>44925</v>
      </c>
      <c r="D14" s="1" t="s">
        <v>163</v>
      </c>
    </row>
    <row r="15" spans="2:23" x14ac:dyDescent="0.2">
      <c r="B15" s="1" t="s">
        <v>151</v>
      </c>
    </row>
    <row r="16" spans="2:23" x14ac:dyDescent="0.2">
      <c r="B16" s="1" t="s">
        <v>152</v>
      </c>
    </row>
    <row r="17" spans="2:3" x14ac:dyDescent="0.2">
      <c r="B17" s="1" t="s">
        <v>153</v>
      </c>
    </row>
    <row r="18" spans="2:3" x14ac:dyDescent="0.2">
      <c r="B18" s="1" t="s">
        <v>154</v>
      </c>
    </row>
    <row r="20" spans="2:3" x14ac:dyDescent="0.2">
      <c r="B20" s="47" t="s">
        <v>6</v>
      </c>
    </row>
    <row r="21" spans="2:3" x14ac:dyDescent="0.2">
      <c r="B21" s="49">
        <v>43511</v>
      </c>
      <c r="C21" s="1" t="s">
        <v>164</v>
      </c>
    </row>
  </sheetData>
  <hyperlinks>
    <hyperlink ref="B14" r:id="rId1" xr:uid="{2BA6B349-CF74-974B-B19D-8284DE0E40EC}"/>
    <hyperlink ref="D3" r:id="rId2" xr:uid="{B59F0072-3643-CF4A-B19D-28BEF3472CF7}"/>
    <hyperlink ref="E3" r:id="rId3" xr:uid="{815ADE35-4B92-794D-B9AC-B5D311F8A1CE}"/>
    <hyperlink ref="G3" r:id="rId4" xr:uid="{BF73B40D-EE3D-7249-B265-3A63EECB9942}"/>
    <hyperlink ref="F3" r:id="rId5" xr:uid="{F9642775-6194-CC42-8874-42EF7EC611EB}"/>
    <hyperlink ref="C12" r:id="rId6" display="https://press.aboutamazon.com/2022/12/amazon-games-and-crystal-dynamics-strike-deal-to-develop-and-publish-next-major-entry-in-iconic-tomb-raider-series" xr:uid="{634BF3A5-3CFF-9344-89D8-C7017096E12A}"/>
    <hyperlink ref="C13" r:id="rId7" display="https://press.aboutamazon.com/2022/12/american-family-insurance-and-aws-team-up-to-drive-innovation-in-the-insurance-industry" xr:uid="{3E58AD50-75F4-5F4E-B9B0-113D90EF26CC}"/>
    <hyperlink ref="C14" r:id="rId8" display="https://press.aboutamazon.com/2022/11/aws-and-slalom-expand-next-generation-strategic-collaboration" xr:uid="{3EA9DC51-688B-BF4C-A34A-4B224A1ABBDC}"/>
    <hyperlink ref="B9" r:id="rId9" xr:uid="{00C76CEF-564C-504F-9A8B-CABDDEBB3BFC}"/>
    <hyperlink ref="B10" r:id="rId10" xr:uid="{3B7FBCD9-F1AA-4341-94FD-CAFB609C9333}"/>
    <hyperlink ref="B11" r:id="rId11" xr:uid="{F2F813AA-1AEA-9F44-AE9E-24A859375311}"/>
    <hyperlink ref="B12" r:id="rId12" xr:uid="{BDB8852C-E89C-FF46-B346-350EE24637A9}"/>
    <hyperlink ref="B13" r:id="rId13" xr:uid="{FE2E4803-DD01-8242-A3F0-8A840FDD1839}"/>
    <hyperlink ref="D9" r:id="rId14" xr:uid="{5EBC30CF-CE28-474D-8A92-E0442D124F23}"/>
    <hyperlink ref="D10" r:id="rId15" xr:uid="{470948EF-2BA2-A04E-A934-7F4EB5523B20}"/>
  </hyperlinks>
  <pageMargins left="0.7" right="0.7" top="0.75" bottom="0.75" header="0.3" footer="0.3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1B74-384C-A044-8517-616352A76775}">
  <dimension ref="A1:KB172"/>
  <sheetViews>
    <sheetView zoomScale="90" zoomScaleNormal="90" workbookViewId="0">
      <pane xSplit="2" ySplit="2" topLeftCell="T12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RowHeight="15" x14ac:dyDescent="0.2"/>
  <cols>
    <col min="1" max="1" width="4" style="2" bestFit="1" customWidth="1"/>
    <col min="2" max="2" width="21.6640625" style="10" bestFit="1" customWidth="1"/>
    <col min="3" max="3" width="8" style="2" bestFit="1" customWidth="1"/>
    <col min="4" max="5" width="8.1640625" style="2" bestFit="1" customWidth="1"/>
    <col min="6" max="16" width="8.6640625" style="2" bestFit="1" customWidth="1"/>
    <col min="17" max="23" width="8.6640625" style="2" customWidth="1"/>
    <col min="24" max="24" width="8.5" style="2" bestFit="1" customWidth="1"/>
    <col min="25" max="26" width="7.33203125" style="2" bestFit="1" customWidth="1"/>
    <col min="27" max="28" width="7.5" style="2" bestFit="1" customWidth="1"/>
    <col min="29" max="42" width="8.6640625" style="2" bestFit="1" customWidth="1"/>
    <col min="43" max="47" width="10.33203125" style="2" bestFit="1" customWidth="1"/>
    <col min="48" max="50" width="7.33203125" style="2" bestFit="1" customWidth="1"/>
    <col min="51" max="51" width="8.5" style="2" bestFit="1" customWidth="1"/>
    <col min="52" max="52" width="8.83203125" style="2" bestFit="1" customWidth="1"/>
    <col min="53" max="53" width="10" style="2" bestFit="1" customWidth="1"/>
    <col min="54" max="54" width="10.6640625" style="2" bestFit="1" customWidth="1"/>
    <col min="55" max="58" width="9.1640625" style="2" bestFit="1" customWidth="1"/>
    <col min="59" max="59" width="9.33203125" style="2" bestFit="1" customWidth="1"/>
    <col min="60" max="61" width="9.1640625" style="2" bestFit="1" customWidth="1"/>
    <col min="62" max="240" width="8.5" style="2" bestFit="1" customWidth="1"/>
    <col min="241" max="16384" width="10.83203125" style="2"/>
  </cols>
  <sheetData>
    <row r="1" spans="1:50" s="3" customFormat="1" x14ac:dyDescent="0.2">
      <c r="A1" s="2"/>
      <c r="B1" s="18"/>
    </row>
    <row r="2" spans="1:50" s="4" customFormat="1" x14ac:dyDescent="0.2">
      <c r="A2" s="4" t="s">
        <v>174</v>
      </c>
      <c r="B2" s="10"/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7</v>
      </c>
      <c r="M2" s="4" t="s">
        <v>17</v>
      </c>
      <c r="N2" s="4" t="s">
        <v>18</v>
      </c>
      <c r="O2" s="4" t="s">
        <v>123</v>
      </c>
      <c r="P2" s="4" t="s">
        <v>124</v>
      </c>
      <c r="Q2" s="4" t="s">
        <v>125</v>
      </c>
      <c r="R2" s="4" t="s">
        <v>126</v>
      </c>
      <c r="S2" s="4" t="s">
        <v>178</v>
      </c>
      <c r="T2" s="4" t="s">
        <v>179</v>
      </c>
      <c r="U2" s="4" t="s">
        <v>180</v>
      </c>
      <c r="V2" s="4" t="s">
        <v>181</v>
      </c>
      <c r="AA2" s="7">
        <v>2013</v>
      </c>
      <c r="AB2" s="7">
        <v>2014</v>
      </c>
      <c r="AC2" s="7">
        <v>2015</v>
      </c>
      <c r="AD2" s="7">
        <v>2016</v>
      </c>
      <c r="AE2" s="7">
        <v>2017</v>
      </c>
      <c r="AF2" s="7">
        <v>2018</v>
      </c>
      <c r="AG2" s="7">
        <f>+AF2+1</f>
        <v>2019</v>
      </c>
      <c r="AH2" s="7">
        <v>2020</v>
      </c>
      <c r="AI2" s="7">
        <f>+AH2+1</f>
        <v>2021</v>
      </c>
      <c r="AJ2" s="7">
        <f t="shared" ref="AJ2:AS2" si="0">+AI2+1</f>
        <v>2022</v>
      </c>
      <c r="AK2" s="7">
        <f t="shared" si="0"/>
        <v>2023</v>
      </c>
      <c r="AL2" s="7">
        <f t="shared" si="0"/>
        <v>2024</v>
      </c>
      <c r="AM2" s="7">
        <f t="shared" si="0"/>
        <v>2025</v>
      </c>
      <c r="AN2" s="7">
        <f t="shared" si="0"/>
        <v>2026</v>
      </c>
      <c r="AO2" s="7">
        <f t="shared" si="0"/>
        <v>2027</v>
      </c>
      <c r="AP2" s="7">
        <f t="shared" si="0"/>
        <v>2028</v>
      </c>
      <c r="AQ2" s="7">
        <f t="shared" si="0"/>
        <v>2029</v>
      </c>
      <c r="AR2" s="7">
        <f t="shared" si="0"/>
        <v>2030</v>
      </c>
      <c r="AS2" s="7">
        <f t="shared" si="0"/>
        <v>2031</v>
      </c>
      <c r="AT2" s="7">
        <f t="shared" ref="AT2" si="1">+AS2+1</f>
        <v>2032</v>
      </c>
      <c r="AU2" s="7">
        <f t="shared" ref="AU2" si="2">+AT2+1</f>
        <v>2033</v>
      </c>
      <c r="AV2" s="7"/>
      <c r="AW2" s="7"/>
      <c r="AX2" s="7"/>
    </row>
    <row r="3" spans="1:50" s="4" customFormat="1" x14ac:dyDescent="0.2">
      <c r="B3" s="10" t="s">
        <v>100</v>
      </c>
      <c r="C3" s="4">
        <v>46127</v>
      </c>
      <c r="D3" s="4">
        <v>55436</v>
      </c>
      <c r="E3" s="4">
        <v>59373</v>
      </c>
      <c r="F3" s="4">
        <f>+AH3-SUM(C3:E3)</f>
        <v>75346</v>
      </c>
      <c r="G3" s="4">
        <v>64366</v>
      </c>
      <c r="H3" s="4">
        <v>67550</v>
      </c>
      <c r="I3" s="4">
        <v>65557</v>
      </c>
      <c r="J3" s="4">
        <f>+AI3-SUM(G3:I3)</f>
        <v>82360</v>
      </c>
      <c r="K3" s="4">
        <v>69244</v>
      </c>
      <c r="L3" s="4">
        <v>74430</v>
      </c>
      <c r="M3" s="4">
        <v>78843</v>
      </c>
      <c r="N3" s="4">
        <v>93363</v>
      </c>
      <c r="O3" s="4">
        <v>76881</v>
      </c>
      <c r="P3" s="4">
        <v>82546</v>
      </c>
      <c r="Q3" s="4">
        <v>87887</v>
      </c>
      <c r="R3" s="4">
        <v>105514</v>
      </c>
      <c r="S3" s="4">
        <f>+O3*1.1</f>
        <v>84569.1</v>
      </c>
      <c r="T3" s="4">
        <f t="shared" ref="T3:V3" si="3">+P3*1.1</f>
        <v>90800.6</v>
      </c>
      <c r="U3" s="4">
        <f t="shared" si="3"/>
        <v>96675.700000000012</v>
      </c>
      <c r="V3" s="4">
        <f t="shared" si="3"/>
        <v>116065.40000000001</v>
      </c>
      <c r="X3" s="4">
        <f t="shared" ref="X3" si="4">+AI3-AH3</f>
        <v>43551</v>
      </c>
      <c r="Y3" s="4">
        <f t="shared" ref="Y3" si="5">+AJ3-AI3</f>
        <v>36047</v>
      </c>
      <c r="Z3" s="4">
        <f>+AK3-AJ3</f>
        <v>36948</v>
      </c>
      <c r="AH3" s="4">
        <v>236282</v>
      </c>
      <c r="AI3" s="4">
        <v>279833</v>
      </c>
      <c r="AJ3" s="4">
        <f>SUM(K3:N3)</f>
        <v>315880</v>
      </c>
      <c r="AK3" s="4">
        <f>SUM(O3:R3)</f>
        <v>352828</v>
      </c>
      <c r="AL3" s="4">
        <f>SUM(S3:V3)</f>
        <v>388110.80000000005</v>
      </c>
      <c r="AM3" s="4">
        <f>+AL3*1.1</f>
        <v>426921.88000000006</v>
      </c>
      <c r="AN3" s="4">
        <f t="shared" ref="AN3:AU3" si="6">+AM3*1.1</f>
        <v>469614.06800000009</v>
      </c>
      <c r="AO3" s="4">
        <f t="shared" si="6"/>
        <v>516575.47480000014</v>
      </c>
      <c r="AP3" s="4">
        <f t="shared" si="6"/>
        <v>568233.02228000015</v>
      </c>
      <c r="AQ3" s="4">
        <f t="shared" si="6"/>
        <v>625056.32450800017</v>
      </c>
      <c r="AR3" s="4">
        <f t="shared" si="6"/>
        <v>687561.95695880021</v>
      </c>
      <c r="AS3" s="4">
        <f t="shared" si="6"/>
        <v>756318.15265468031</v>
      </c>
      <c r="AT3" s="4">
        <f t="shared" si="6"/>
        <v>831949.9679201484</v>
      </c>
      <c r="AU3" s="4">
        <f t="shared" si="6"/>
        <v>915144.96471216332</v>
      </c>
    </row>
    <row r="4" spans="1:50" s="4" customFormat="1" x14ac:dyDescent="0.2">
      <c r="B4" s="10" t="s">
        <v>101</v>
      </c>
      <c r="C4" s="4">
        <v>19106</v>
      </c>
      <c r="D4" s="4">
        <v>22668</v>
      </c>
      <c r="E4" s="4">
        <v>25171</v>
      </c>
      <c r="F4" s="4">
        <v>37467</v>
      </c>
      <c r="G4" s="4">
        <v>30649</v>
      </c>
      <c r="H4" s="4">
        <v>30721</v>
      </c>
      <c r="I4" s="4">
        <v>29145</v>
      </c>
      <c r="J4" s="4">
        <f>+AI4-SUM(G4:I4)</f>
        <v>37272</v>
      </c>
      <c r="K4" s="4">
        <v>28759</v>
      </c>
      <c r="L4" s="4">
        <v>27065</v>
      </c>
      <c r="M4" s="4">
        <v>27720</v>
      </c>
      <c r="N4" s="4">
        <v>34463</v>
      </c>
      <c r="O4" s="4">
        <v>29123</v>
      </c>
      <c r="P4" s="4">
        <v>29697</v>
      </c>
      <c r="Q4" s="4">
        <v>32137</v>
      </c>
      <c r="R4" s="4">
        <v>40243</v>
      </c>
      <c r="S4" s="4">
        <f>+O4*(1+O25)</f>
        <v>29491.607114294653</v>
      </c>
      <c r="T4" s="4">
        <f t="shared" ref="T4:V4" si="7">+P4*(1+P25)</f>
        <v>32584.955071125074</v>
      </c>
      <c r="U4" s="4">
        <f t="shared" si="7"/>
        <v>37257.819949494951</v>
      </c>
      <c r="V4" s="4">
        <f t="shared" si="7"/>
        <v>46992.39906566462</v>
      </c>
      <c r="X4" s="4">
        <f t="shared" ref="X4:Y4" si="8">+AI4-AH4</f>
        <v>23375</v>
      </c>
      <c r="Y4" s="4">
        <f t="shared" si="8"/>
        <v>-9780</v>
      </c>
      <c r="Z4" s="4">
        <f>+AK4-AJ4</f>
        <v>13193</v>
      </c>
      <c r="AH4" s="4">
        <v>104412</v>
      </c>
      <c r="AI4" s="4">
        <v>127787</v>
      </c>
      <c r="AJ4" s="4">
        <f t="shared" ref="AJ4:AJ9" si="9">SUM(K4:N4)</f>
        <v>118007</v>
      </c>
      <c r="AK4" s="4">
        <f t="shared" ref="AK4:AK9" si="10">SUM(O4:R4)</f>
        <v>131200</v>
      </c>
      <c r="AL4" s="4">
        <f>SUM(S4:V4)</f>
        <v>146326.78120057931</v>
      </c>
      <c r="AM4" s="4">
        <f>+AL4*1.09</f>
        <v>159496.19150863145</v>
      </c>
      <c r="AN4" s="4">
        <f t="shared" ref="AN4:AU4" si="11">+AM4*1.09</f>
        <v>173850.84874440829</v>
      </c>
      <c r="AO4" s="4">
        <f t="shared" si="11"/>
        <v>189497.42513140503</v>
      </c>
      <c r="AP4" s="4">
        <f t="shared" si="11"/>
        <v>206552.19339323152</v>
      </c>
      <c r="AQ4" s="4">
        <f t="shared" si="11"/>
        <v>225141.89079862236</v>
      </c>
      <c r="AR4" s="4">
        <f t="shared" si="11"/>
        <v>245404.6609704984</v>
      </c>
      <c r="AS4" s="4">
        <f t="shared" si="11"/>
        <v>267491.08045784326</v>
      </c>
      <c r="AT4" s="4">
        <f t="shared" si="11"/>
        <v>291565.27769904915</v>
      </c>
      <c r="AU4" s="4">
        <f t="shared" si="11"/>
        <v>317806.15269196359</v>
      </c>
    </row>
    <row r="5" spans="1:50" s="4" customFormat="1" x14ac:dyDescent="0.2">
      <c r="B5" s="10" t="s">
        <v>102</v>
      </c>
      <c r="C5" s="4">
        <v>10219</v>
      </c>
      <c r="D5" s="4">
        <v>10808</v>
      </c>
      <c r="E5" s="4">
        <v>11601</v>
      </c>
      <c r="F5" s="4">
        <v>12742</v>
      </c>
      <c r="G5" s="4">
        <v>13503</v>
      </c>
      <c r="H5" s="4">
        <v>14809</v>
      </c>
      <c r="I5" s="4">
        <v>16110</v>
      </c>
      <c r="J5" s="4">
        <f>+AI5-SUM(G5:I5)</f>
        <v>17780</v>
      </c>
      <c r="K5" s="4">
        <v>18441</v>
      </c>
      <c r="L5" s="4">
        <v>19739</v>
      </c>
      <c r="M5" s="4">
        <v>20538</v>
      </c>
      <c r="N5" s="4">
        <v>21378</v>
      </c>
      <c r="O5" s="4">
        <v>21354</v>
      </c>
      <c r="P5" s="4">
        <v>22140</v>
      </c>
      <c r="Q5" s="4">
        <v>23059</v>
      </c>
      <c r="R5" s="4">
        <v>24204</v>
      </c>
      <c r="S5" s="4">
        <f>+O5*(1+O26)</f>
        <v>24727.146900927284</v>
      </c>
      <c r="T5" s="4">
        <f t="shared" ref="T5" si="12">+P5*(1+P26)</f>
        <v>24833.051319722374</v>
      </c>
      <c r="U5" s="4">
        <f t="shared" ref="U5" si="13">+Q5*(1+Q26)</f>
        <v>25889.447901450971</v>
      </c>
      <c r="V5" s="4">
        <f t="shared" ref="V5" si="14">+R5*(1+R26)</f>
        <v>27403.574515857425</v>
      </c>
      <c r="X5" s="4">
        <v>2.5</v>
      </c>
      <c r="Z5" s="4">
        <f>+AK4-140000</f>
        <v>-8800</v>
      </c>
      <c r="AH5" s="4">
        <v>45370</v>
      </c>
      <c r="AI5" s="4">
        <v>62202</v>
      </c>
      <c r="AJ5" s="4">
        <f t="shared" si="9"/>
        <v>80096</v>
      </c>
      <c r="AK5" s="4">
        <f t="shared" si="10"/>
        <v>90757</v>
      </c>
      <c r="AL5" s="4">
        <f>SUM(S5:V5)</f>
        <v>102853.22063795806</v>
      </c>
      <c r="AM5" s="4">
        <f>+AL5*1.13</f>
        <v>116224.1393208926</v>
      </c>
      <c r="AN5" s="4">
        <f t="shared" ref="AN5:AU5" si="15">+AM5*1.13</f>
        <v>131333.27743260862</v>
      </c>
      <c r="AO5" s="4">
        <f t="shared" si="15"/>
        <v>148406.60349884772</v>
      </c>
      <c r="AP5" s="4">
        <f t="shared" si="15"/>
        <v>167699.4619536979</v>
      </c>
      <c r="AQ5" s="4">
        <f t="shared" si="15"/>
        <v>189500.3920076786</v>
      </c>
      <c r="AR5" s="4">
        <f t="shared" si="15"/>
        <v>214135.4429686768</v>
      </c>
      <c r="AS5" s="4">
        <f t="shared" si="15"/>
        <v>241973.05055460476</v>
      </c>
      <c r="AT5" s="4">
        <f t="shared" si="15"/>
        <v>273429.54712670337</v>
      </c>
      <c r="AU5" s="4">
        <f t="shared" si="15"/>
        <v>308975.38825317478</v>
      </c>
    </row>
    <row r="6" spans="1:50" s="11" customFormat="1" x14ac:dyDescent="0.2">
      <c r="B6" s="13" t="s">
        <v>103</v>
      </c>
      <c r="C6" s="11">
        <f t="shared" ref="C6:K6" si="16">+SUM(C3:C5)</f>
        <v>75452</v>
      </c>
      <c r="D6" s="11">
        <f t="shared" si="16"/>
        <v>88912</v>
      </c>
      <c r="E6" s="11">
        <f t="shared" si="16"/>
        <v>96145</v>
      </c>
      <c r="F6" s="11">
        <f t="shared" si="16"/>
        <v>125555</v>
      </c>
      <c r="G6" s="11">
        <f t="shared" si="16"/>
        <v>108518</v>
      </c>
      <c r="H6" s="11">
        <f t="shared" si="16"/>
        <v>113080</v>
      </c>
      <c r="I6" s="11">
        <f>+SUM(I3:I5)</f>
        <v>110812</v>
      </c>
      <c r="J6" s="11">
        <f t="shared" si="16"/>
        <v>137412</v>
      </c>
      <c r="K6" s="11">
        <f t="shared" si="16"/>
        <v>116444</v>
      </c>
      <c r="L6" s="11">
        <f>+SUM(L3:L5)</f>
        <v>121234</v>
      </c>
      <c r="M6" s="11">
        <f>+SUM(M3:M5)</f>
        <v>127101</v>
      </c>
      <c r="N6" s="11">
        <f>+SUM(N3:N5)</f>
        <v>149204</v>
      </c>
      <c r="O6" s="11">
        <f>+SUM(O3:O5)</f>
        <v>127358</v>
      </c>
      <c r="P6" s="11">
        <f t="shared" ref="P6:V6" si="17">+SUM(P3:P5)</f>
        <v>134383</v>
      </c>
      <c r="Q6" s="11">
        <f t="shared" si="17"/>
        <v>143083</v>
      </c>
      <c r="R6" s="11">
        <f t="shared" si="17"/>
        <v>169961</v>
      </c>
      <c r="S6" s="11">
        <f t="shared" si="17"/>
        <v>138787.85401522194</v>
      </c>
      <c r="T6" s="11">
        <f t="shared" si="17"/>
        <v>148218.60639084745</v>
      </c>
      <c r="U6" s="11">
        <f t="shared" si="17"/>
        <v>159822.96785094595</v>
      </c>
      <c r="V6" s="11">
        <f t="shared" si="17"/>
        <v>190461.37358152206</v>
      </c>
      <c r="Z6" s="11">
        <f>8.8/4</f>
        <v>2.2000000000000002</v>
      </c>
      <c r="AH6" s="11">
        <f t="shared" ref="AH6" si="18">+SUM(AH3:AH5)</f>
        <v>386064</v>
      </c>
      <c r="AI6" s="11">
        <f>+SUM(AI3:AI5)</f>
        <v>469822</v>
      </c>
      <c r="AJ6" s="11">
        <f t="shared" ref="AJ6:AU6" si="19">+SUM(AJ3:AJ5)</f>
        <v>513983</v>
      </c>
      <c r="AK6" s="11">
        <f t="shared" si="19"/>
        <v>574785</v>
      </c>
      <c r="AL6" s="11">
        <f t="shared" si="19"/>
        <v>637290.80183853745</v>
      </c>
      <c r="AM6" s="11">
        <f t="shared" si="19"/>
        <v>702642.21082952421</v>
      </c>
      <c r="AN6" s="11">
        <f t="shared" si="19"/>
        <v>774798.19417701708</v>
      </c>
      <c r="AO6" s="11">
        <f t="shared" si="19"/>
        <v>854479.50343025289</v>
      </c>
      <c r="AP6" s="11">
        <f t="shared" si="19"/>
        <v>942484.67762692948</v>
      </c>
      <c r="AQ6" s="11">
        <f t="shared" si="19"/>
        <v>1039698.6073143012</v>
      </c>
      <c r="AR6" s="11">
        <f t="shared" si="19"/>
        <v>1147102.0608979755</v>
      </c>
      <c r="AS6" s="11">
        <f t="shared" si="19"/>
        <v>1265782.2836671283</v>
      </c>
      <c r="AT6" s="11">
        <f t="shared" si="19"/>
        <v>1396944.792745901</v>
      </c>
      <c r="AU6" s="11">
        <f t="shared" si="19"/>
        <v>1541926.5056573018</v>
      </c>
    </row>
    <row r="7" spans="1:50" s="4" customFormat="1" x14ac:dyDescent="0.2">
      <c r="B7" s="10" t="s">
        <v>132</v>
      </c>
      <c r="C7" s="4">
        <v>44815</v>
      </c>
      <c r="D7" s="4">
        <v>53295</v>
      </c>
      <c r="E7" s="4">
        <v>57121</v>
      </c>
      <c r="F7" s="4">
        <v>72400</v>
      </c>
      <c r="G7" s="4">
        <v>60916</v>
      </c>
      <c r="H7" s="4">
        <v>64403</v>
      </c>
      <c r="I7" s="4">
        <v>64677</v>
      </c>
      <c r="J7" s="4">
        <v>82566</v>
      </c>
      <c r="K7" s="4">
        <v>70812</v>
      </c>
      <c r="L7" s="4">
        <v>75057</v>
      </c>
      <c r="M7" s="4">
        <v>79255</v>
      </c>
      <c r="N7" s="4">
        <v>93603</v>
      </c>
      <c r="O7" s="4">
        <v>75983</v>
      </c>
      <c r="P7" s="4">
        <v>79335</v>
      </c>
      <c r="Q7" s="4">
        <v>83580</v>
      </c>
      <c r="R7" s="4">
        <v>99053</v>
      </c>
      <c r="AF7" s="7"/>
      <c r="AG7" s="7"/>
      <c r="AH7" s="7"/>
      <c r="AI7" s="7">
        <f>SUM(G7:J7)</f>
        <v>272562</v>
      </c>
      <c r="AJ7" s="4">
        <f t="shared" si="9"/>
        <v>318727</v>
      </c>
      <c r="AK7" s="4">
        <f t="shared" si="10"/>
        <v>337951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s="4" customFormat="1" x14ac:dyDescent="0.2">
      <c r="B8" s="10" t="s">
        <v>133</v>
      </c>
      <c r="C8" s="4">
        <v>19504</v>
      </c>
      <c r="D8" s="4">
        <v>22323</v>
      </c>
      <c r="E8" s="4">
        <v>24764</v>
      </c>
      <c r="F8" s="4">
        <v>37104</v>
      </c>
      <c r="G8" s="4">
        <v>29397</v>
      </c>
      <c r="H8" s="4">
        <v>30359</v>
      </c>
      <c r="I8" s="4">
        <v>30056</v>
      </c>
      <c r="J8" s="4">
        <v>38899</v>
      </c>
      <c r="K8" s="4">
        <v>30040</v>
      </c>
      <c r="L8" s="4">
        <v>28836</v>
      </c>
      <c r="M8" s="4">
        <v>30186</v>
      </c>
      <c r="N8" s="4">
        <v>36691</v>
      </c>
      <c r="O8" s="4">
        <v>30370</v>
      </c>
      <c r="P8" s="4">
        <v>30592</v>
      </c>
      <c r="Q8" s="4">
        <v>32232</v>
      </c>
      <c r="R8" s="4">
        <v>40662</v>
      </c>
      <c r="AF8" s="7"/>
      <c r="AG8" s="7"/>
      <c r="AH8" s="7"/>
      <c r="AI8" s="7">
        <f t="shared" ref="AI8:AI9" si="20">SUM(G8:J8)</f>
        <v>128711</v>
      </c>
      <c r="AJ8" s="4">
        <f t="shared" si="9"/>
        <v>125753</v>
      </c>
      <c r="AK8" s="4">
        <f t="shared" si="10"/>
        <v>133856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0" s="4" customFormat="1" x14ac:dyDescent="0.2">
      <c r="B9" s="10" t="s">
        <v>134</v>
      </c>
      <c r="C9" s="4">
        <v>7144</v>
      </c>
      <c r="D9" s="4">
        <v>7451</v>
      </c>
      <c r="E9" s="4">
        <v>8066</v>
      </c>
      <c r="F9" s="4">
        <v>9178</v>
      </c>
      <c r="G9" s="4">
        <v>9340</v>
      </c>
      <c r="H9" s="4">
        <v>10616</v>
      </c>
      <c r="I9" s="4">
        <v>11227</v>
      </c>
      <c r="J9" s="4">
        <v>12487</v>
      </c>
      <c r="K9" s="4">
        <v>11923</v>
      </c>
      <c r="L9" s="4">
        <v>14024</v>
      </c>
      <c r="M9" s="4">
        <v>15135</v>
      </c>
      <c r="N9" s="4">
        <v>16173</v>
      </c>
      <c r="O9" s="4">
        <v>16231</v>
      </c>
      <c r="P9" s="4">
        <v>16775</v>
      </c>
      <c r="Q9" s="4">
        <v>16083</v>
      </c>
      <c r="R9" s="4">
        <v>17037</v>
      </c>
      <c r="AF9" s="7"/>
      <c r="AG9" s="7"/>
      <c r="AH9" s="7"/>
      <c r="AI9" s="7">
        <f t="shared" si="20"/>
        <v>43670</v>
      </c>
      <c r="AJ9" s="4">
        <f t="shared" si="9"/>
        <v>57255</v>
      </c>
      <c r="AK9" s="4">
        <f t="shared" si="10"/>
        <v>66126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s="11" customFormat="1" x14ac:dyDescent="0.2">
      <c r="B10" s="13" t="s">
        <v>131</v>
      </c>
      <c r="C10" s="11">
        <f t="shared" ref="C10:L10" si="21">SUM(C7:C9)</f>
        <v>71463</v>
      </c>
      <c r="D10" s="11">
        <f t="shared" si="21"/>
        <v>83069</v>
      </c>
      <c r="E10" s="11">
        <f t="shared" si="21"/>
        <v>89951</v>
      </c>
      <c r="F10" s="11">
        <f t="shared" si="21"/>
        <v>118682</v>
      </c>
      <c r="G10" s="11">
        <f t="shared" si="21"/>
        <v>99653</v>
      </c>
      <c r="H10" s="11">
        <f t="shared" si="21"/>
        <v>105378</v>
      </c>
      <c r="I10" s="11">
        <f t="shared" si="21"/>
        <v>105960</v>
      </c>
      <c r="J10" s="11">
        <f t="shared" si="21"/>
        <v>133952</v>
      </c>
      <c r="K10" s="11">
        <f t="shared" si="21"/>
        <v>112775</v>
      </c>
      <c r="L10" s="11">
        <f t="shared" si="21"/>
        <v>117917</v>
      </c>
      <c r="M10" s="11">
        <f>SUM(M7:M9)</f>
        <v>124576</v>
      </c>
      <c r="N10" s="11">
        <f t="shared" ref="N10:R10" si="22">SUM(N7:N9)</f>
        <v>146467</v>
      </c>
      <c r="O10" s="11">
        <f t="shared" si="22"/>
        <v>122584</v>
      </c>
      <c r="P10" s="11">
        <f t="shared" si="22"/>
        <v>126702</v>
      </c>
      <c r="Q10" s="11">
        <f t="shared" si="22"/>
        <v>131895</v>
      </c>
      <c r="R10" s="11">
        <f t="shared" si="22"/>
        <v>156752</v>
      </c>
      <c r="AF10" s="12"/>
      <c r="AG10" s="12"/>
      <c r="AH10" s="12"/>
      <c r="AI10" s="11">
        <f t="shared" ref="AI10:AK10" si="23">SUM(AI7:AI9)</f>
        <v>444943</v>
      </c>
      <c r="AJ10" s="11">
        <f t="shared" si="23"/>
        <v>501735</v>
      </c>
      <c r="AK10" s="11">
        <f t="shared" si="23"/>
        <v>537933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s="11" customFormat="1" x14ac:dyDescent="0.2">
      <c r="B11" s="10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65"/>
    </row>
    <row r="12" spans="1:50" s="4" customFormat="1" x14ac:dyDescent="0.2">
      <c r="B12" s="10" t="s">
        <v>100</v>
      </c>
      <c r="C12" s="4">
        <f t="shared" ref="C12:L14" si="24">+C3-C7</f>
        <v>1312</v>
      </c>
      <c r="D12" s="4">
        <f t="shared" si="24"/>
        <v>2141</v>
      </c>
      <c r="E12" s="4">
        <f t="shared" si="24"/>
        <v>2252</v>
      </c>
      <c r="F12" s="4">
        <f t="shared" si="24"/>
        <v>2946</v>
      </c>
      <c r="G12" s="4">
        <f t="shared" si="24"/>
        <v>3450</v>
      </c>
      <c r="H12" s="4">
        <f t="shared" si="24"/>
        <v>3147</v>
      </c>
      <c r="I12" s="4">
        <f t="shared" si="24"/>
        <v>880</v>
      </c>
      <c r="J12" s="4">
        <f t="shared" si="24"/>
        <v>-206</v>
      </c>
      <c r="K12" s="4">
        <f t="shared" si="24"/>
        <v>-1568</v>
      </c>
      <c r="L12" s="4">
        <f t="shared" si="24"/>
        <v>-627</v>
      </c>
      <c r="M12" s="4">
        <f>+M3-M7</f>
        <v>-412</v>
      </c>
      <c r="N12" s="4">
        <f t="shared" ref="N12:R12" si="25">+N3-N7</f>
        <v>-240</v>
      </c>
      <c r="O12" s="4">
        <f>+O3-O7</f>
        <v>898</v>
      </c>
      <c r="P12" s="4">
        <f t="shared" si="25"/>
        <v>3211</v>
      </c>
      <c r="Q12" s="4">
        <f t="shared" si="25"/>
        <v>4307</v>
      </c>
      <c r="R12" s="4">
        <f t="shared" si="25"/>
        <v>6461</v>
      </c>
      <c r="AF12" s="7"/>
      <c r="AG12" s="7"/>
      <c r="AH12" s="7">
        <v>8651</v>
      </c>
      <c r="AI12" s="7">
        <v>7271</v>
      </c>
      <c r="AJ12" s="7">
        <f>+SUM(K12:N12)</f>
        <v>-2847</v>
      </c>
      <c r="AK12" s="7">
        <f>SUM(O12:R12)</f>
        <v>14877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s="4" customFormat="1" x14ac:dyDescent="0.2">
      <c r="B13" s="10" t="s">
        <v>101</v>
      </c>
      <c r="C13" s="4">
        <f t="shared" si="24"/>
        <v>-398</v>
      </c>
      <c r="D13" s="4">
        <f t="shared" si="24"/>
        <v>345</v>
      </c>
      <c r="E13" s="4">
        <f t="shared" si="24"/>
        <v>407</v>
      </c>
      <c r="F13" s="4">
        <f t="shared" si="24"/>
        <v>363</v>
      </c>
      <c r="G13" s="4">
        <f t="shared" si="24"/>
        <v>1252</v>
      </c>
      <c r="H13" s="4">
        <f t="shared" si="24"/>
        <v>362</v>
      </c>
      <c r="I13" s="4">
        <f t="shared" si="24"/>
        <v>-911</v>
      </c>
      <c r="J13" s="4">
        <f t="shared" si="24"/>
        <v>-1627</v>
      </c>
      <c r="K13" s="4">
        <f t="shared" si="24"/>
        <v>-1281</v>
      </c>
      <c r="L13" s="4">
        <f t="shared" si="24"/>
        <v>-1771</v>
      </c>
      <c r="M13" s="4">
        <f t="shared" ref="M13:R14" si="26">+M4-M8</f>
        <v>-2466</v>
      </c>
      <c r="N13" s="4">
        <f t="shared" si="26"/>
        <v>-2228</v>
      </c>
      <c r="O13" s="4">
        <f t="shared" si="26"/>
        <v>-1247</v>
      </c>
      <c r="P13" s="4">
        <f t="shared" si="26"/>
        <v>-895</v>
      </c>
      <c r="Q13" s="4">
        <f t="shared" si="26"/>
        <v>-95</v>
      </c>
      <c r="R13" s="4">
        <f t="shared" si="26"/>
        <v>-419</v>
      </c>
      <c r="AF13" s="7"/>
      <c r="AG13" s="7"/>
      <c r="AH13" s="7">
        <v>717</v>
      </c>
      <c r="AI13" s="7">
        <v>924</v>
      </c>
      <c r="AJ13" s="7">
        <f t="shared" ref="AJ13:AJ14" si="27">+SUM(K13:N13)</f>
        <v>-7746</v>
      </c>
      <c r="AK13" s="7">
        <f t="shared" ref="AK13:AK14" si="28">SUM(O13:R13)</f>
        <v>-2656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s="4" customFormat="1" x14ac:dyDescent="0.2">
      <c r="B14" s="10" t="s">
        <v>102</v>
      </c>
      <c r="C14" s="4">
        <f t="shared" si="24"/>
        <v>3075</v>
      </c>
      <c r="D14" s="4">
        <f t="shared" si="24"/>
        <v>3357</v>
      </c>
      <c r="E14" s="4">
        <f t="shared" si="24"/>
        <v>3535</v>
      </c>
      <c r="F14" s="4">
        <f t="shared" si="24"/>
        <v>3564</v>
      </c>
      <c r="G14" s="4">
        <f t="shared" si="24"/>
        <v>4163</v>
      </c>
      <c r="H14" s="4">
        <f t="shared" si="24"/>
        <v>4193</v>
      </c>
      <c r="I14" s="4">
        <f t="shared" si="24"/>
        <v>4883</v>
      </c>
      <c r="J14" s="4">
        <f t="shared" si="24"/>
        <v>5293</v>
      </c>
      <c r="K14" s="4">
        <f t="shared" si="24"/>
        <v>6518</v>
      </c>
      <c r="L14" s="4">
        <f t="shared" si="24"/>
        <v>5715</v>
      </c>
      <c r="M14" s="4">
        <f t="shared" si="26"/>
        <v>5403</v>
      </c>
      <c r="N14" s="4">
        <f t="shared" si="26"/>
        <v>5205</v>
      </c>
      <c r="O14" s="4">
        <f t="shared" si="26"/>
        <v>5123</v>
      </c>
      <c r="P14" s="4">
        <f t="shared" si="26"/>
        <v>5365</v>
      </c>
      <c r="Q14" s="4">
        <f t="shared" si="26"/>
        <v>6976</v>
      </c>
      <c r="R14" s="4">
        <f t="shared" si="26"/>
        <v>7167</v>
      </c>
      <c r="AF14" s="7"/>
      <c r="AG14" s="7"/>
      <c r="AH14" s="7">
        <v>13531</v>
      </c>
      <c r="AI14" s="7">
        <v>18532</v>
      </c>
      <c r="AJ14" s="7">
        <f t="shared" si="27"/>
        <v>22841</v>
      </c>
      <c r="AK14" s="7">
        <f t="shared" si="28"/>
        <v>24631</v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s="11" customFormat="1" x14ac:dyDescent="0.2">
      <c r="B15" s="13" t="s">
        <v>110</v>
      </c>
      <c r="C15" s="11">
        <f t="shared" ref="C15:L15" si="29">+SUM(C12:C14)</f>
        <v>3989</v>
      </c>
      <c r="D15" s="11">
        <f t="shared" si="29"/>
        <v>5843</v>
      </c>
      <c r="E15" s="11">
        <f t="shared" si="29"/>
        <v>6194</v>
      </c>
      <c r="F15" s="11">
        <f t="shared" si="29"/>
        <v>6873</v>
      </c>
      <c r="G15" s="11">
        <f t="shared" si="29"/>
        <v>8865</v>
      </c>
      <c r="H15" s="11">
        <f t="shared" si="29"/>
        <v>7702</v>
      </c>
      <c r="I15" s="11">
        <f t="shared" si="29"/>
        <v>4852</v>
      </c>
      <c r="J15" s="11">
        <f t="shared" si="29"/>
        <v>3460</v>
      </c>
      <c r="K15" s="11">
        <f t="shared" si="29"/>
        <v>3669</v>
      </c>
      <c r="L15" s="11">
        <f t="shared" si="29"/>
        <v>3317</v>
      </c>
      <c r="M15" s="11">
        <f>+SUM(M12:M14)</f>
        <v>2525</v>
      </c>
      <c r="N15" s="11">
        <f t="shared" ref="N15:R15" si="30">+SUM(N12:N14)</f>
        <v>2737</v>
      </c>
      <c r="O15" s="11">
        <f t="shared" si="30"/>
        <v>4774</v>
      </c>
      <c r="P15" s="11">
        <f t="shared" si="30"/>
        <v>7681</v>
      </c>
      <c r="Q15" s="11">
        <f t="shared" si="30"/>
        <v>11188</v>
      </c>
      <c r="R15" s="11">
        <f t="shared" si="30"/>
        <v>13209</v>
      </c>
      <c r="AH15" s="12">
        <v>13531</v>
      </c>
      <c r="AI15" s="11">
        <f>+SUM(AI12:AI14)</f>
        <v>26727</v>
      </c>
      <c r="AJ15" s="11">
        <f t="shared" ref="AJ15:AK15" si="31">+SUM(AJ12:AJ14)</f>
        <v>12248</v>
      </c>
      <c r="AK15" s="11">
        <f t="shared" si="31"/>
        <v>36852</v>
      </c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s="11" customFormat="1" x14ac:dyDescent="0.2">
      <c r="B16" s="13"/>
      <c r="C16" s="20" t="str">
        <f t="shared" ref="C16:K16" si="32">IF(C15=C40,"m","n")</f>
        <v>m</v>
      </c>
      <c r="D16" s="20" t="str">
        <f t="shared" si="32"/>
        <v>m</v>
      </c>
      <c r="E16" s="20" t="str">
        <f t="shared" si="32"/>
        <v>m</v>
      </c>
      <c r="F16" s="20" t="str">
        <f t="shared" si="32"/>
        <v>m</v>
      </c>
      <c r="G16" s="20" t="str">
        <f t="shared" si="32"/>
        <v>m</v>
      </c>
      <c r="H16" s="20" t="str">
        <f t="shared" si="32"/>
        <v>m</v>
      </c>
      <c r="I16" s="20" t="str">
        <f t="shared" si="32"/>
        <v>m</v>
      </c>
      <c r="J16" s="20" t="str">
        <f t="shared" si="32"/>
        <v>m</v>
      </c>
      <c r="K16" s="20" t="str">
        <f t="shared" si="32"/>
        <v>m</v>
      </c>
      <c r="L16" s="20" t="str">
        <f>IF(L15=L40,"m","n")</f>
        <v>m</v>
      </c>
      <c r="M16" s="20" t="str">
        <f>IF(M15=M40,"m","n")</f>
        <v>m</v>
      </c>
      <c r="N16" s="20" t="str">
        <f t="shared" ref="N16:R16" si="33">IF(N15=N40,"m","n")</f>
        <v>m</v>
      </c>
      <c r="O16" s="20" t="str">
        <f t="shared" si="33"/>
        <v>m</v>
      </c>
      <c r="P16" s="20" t="str">
        <f t="shared" si="33"/>
        <v>m</v>
      </c>
      <c r="Q16" s="20" t="str">
        <f t="shared" si="33"/>
        <v>m</v>
      </c>
      <c r="R16" s="20" t="str">
        <f t="shared" si="33"/>
        <v>m</v>
      </c>
      <c r="AH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2:50" s="11" customFormat="1" x14ac:dyDescent="0.2">
      <c r="B17" s="13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AH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2:50" s="4" customFormat="1" x14ac:dyDescent="0.2">
      <c r="B18" s="10" t="s">
        <v>104</v>
      </c>
      <c r="C18" s="17">
        <f t="shared" ref="C18:M18" si="34">+C12/C3</f>
        <v>2.8443211134476554E-2</v>
      </c>
      <c r="D18" s="17">
        <f t="shared" si="34"/>
        <v>3.8621112634389207E-2</v>
      </c>
      <c r="E18" s="17">
        <f t="shared" si="34"/>
        <v>3.7929698684587274E-2</v>
      </c>
      <c r="F18" s="17">
        <f t="shared" si="34"/>
        <v>3.9099620417805854E-2</v>
      </c>
      <c r="G18" s="17">
        <f t="shared" si="34"/>
        <v>5.3599726563713763E-2</v>
      </c>
      <c r="H18" s="17">
        <f t="shared" si="34"/>
        <v>4.6587712805329383E-2</v>
      </c>
      <c r="I18" s="17">
        <f t="shared" si="34"/>
        <v>1.3423433043000747E-2</v>
      </c>
      <c r="J18" s="17">
        <f t="shared" si="34"/>
        <v>-2.5012141816415736E-3</v>
      </c>
      <c r="K18" s="17">
        <f t="shared" si="34"/>
        <v>-2.2644561261625555E-2</v>
      </c>
      <c r="L18" s="17">
        <f t="shared" si="34"/>
        <v>-8.4240225715437322E-3</v>
      </c>
      <c r="M18" s="17">
        <f t="shared" si="34"/>
        <v>-5.2255748766536023E-3</v>
      </c>
      <c r="N18" s="17">
        <f t="shared" ref="N18" si="35">+N12/N3</f>
        <v>-2.5706114842068057E-3</v>
      </c>
      <c r="O18" s="17">
        <f t="shared" ref="O18:R18" si="36">+O12/O3</f>
        <v>1.1680389172877564E-2</v>
      </c>
      <c r="P18" s="17">
        <f t="shared" si="36"/>
        <v>3.8899522690378698E-2</v>
      </c>
      <c r="Q18" s="17">
        <f t="shared" si="36"/>
        <v>4.9006110118675117E-2</v>
      </c>
      <c r="R18" s="17">
        <f t="shared" si="36"/>
        <v>6.1233580377959326E-2</v>
      </c>
      <c r="AE18" s="11"/>
      <c r="AF18" s="17"/>
      <c r="AG18" s="17"/>
      <c r="AH18" s="17">
        <f t="shared" ref="AH18:AI21" si="37">+AH12/AH3</f>
        <v>3.6613030192735797E-2</v>
      </c>
      <c r="AI18" s="17">
        <f t="shared" si="37"/>
        <v>2.5983354357777676E-2</v>
      </c>
      <c r="AJ18" s="17">
        <f t="shared" ref="AJ18:AK18" si="38">+AJ12/AJ3</f>
        <v>-9.0129162973280989E-3</v>
      </c>
      <c r="AK18" s="17">
        <f t="shared" si="38"/>
        <v>4.2165020916707291E-2</v>
      </c>
      <c r="AL18" s="17"/>
      <c r="AM18" s="17"/>
      <c r="AN18" s="17"/>
      <c r="AO18" s="17"/>
      <c r="AP18" s="17"/>
      <c r="AQ18" s="17"/>
      <c r="AR18" s="17"/>
      <c r="AS18" s="17"/>
      <c r="AT18" s="7"/>
      <c r="AU18" s="7"/>
      <c r="AV18" s="7"/>
      <c r="AW18" s="7"/>
      <c r="AX18" s="7"/>
    </row>
    <row r="19" spans="2:50" s="4" customFormat="1" x14ac:dyDescent="0.2">
      <c r="B19" s="10" t="s">
        <v>106</v>
      </c>
      <c r="C19" s="17">
        <f t="shared" ref="C19:M19" si="39">+C13/C4</f>
        <v>-2.0831152517533758E-2</v>
      </c>
      <c r="D19" s="17">
        <f t="shared" si="39"/>
        <v>1.5219692959237693E-2</v>
      </c>
      <c r="E19" s="17">
        <f t="shared" si="39"/>
        <v>1.6169401295141234E-2</v>
      </c>
      <c r="F19" s="17">
        <f t="shared" si="39"/>
        <v>9.6885259027944589E-3</v>
      </c>
      <c r="G19" s="17">
        <f t="shared" si="39"/>
        <v>4.084961988971908E-2</v>
      </c>
      <c r="H19" s="17">
        <f t="shared" si="39"/>
        <v>1.178347059015006E-2</v>
      </c>
      <c r="I19" s="17">
        <f t="shared" si="39"/>
        <v>-3.1257505575570423E-2</v>
      </c>
      <c r="J19" s="17">
        <f t="shared" si="39"/>
        <v>-4.3652071259927025E-2</v>
      </c>
      <c r="K19" s="17">
        <f t="shared" si="39"/>
        <v>-4.4542577975590247E-2</v>
      </c>
      <c r="L19" s="17">
        <f t="shared" si="39"/>
        <v>-6.5435063735451687E-2</v>
      </c>
      <c r="M19" s="17">
        <f t="shared" si="39"/>
        <v>-8.8961038961038963E-2</v>
      </c>
      <c r="N19" s="17">
        <f t="shared" ref="N19" si="40">+N13/N4</f>
        <v>-6.4649043902155937E-2</v>
      </c>
      <c r="O19" s="17">
        <f t="shared" ref="O19:R19" si="41">+O13/O4</f>
        <v>-4.2818390962469526E-2</v>
      </c>
      <c r="P19" s="17">
        <f t="shared" si="41"/>
        <v>-3.0137724349260868E-2</v>
      </c>
      <c r="Q19" s="17">
        <f t="shared" si="41"/>
        <v>-2.9560942216137163E-3</v>
      </c>
      <c r="R19" s="17">
        <f t="shared" si="41"/>
        <v>-1.0411748627090425E-2</v>
      </c>
      <c r="AF19" s="17"/>
      <c r="AG19" s="17"/>
      <c r="AH19" s="17">
        <f t="shared" si="37"/>
        <v>6.8670267785312031E-3</v>
      </c>
      <c r="AI19" s="17">
        <f t="shared" si="37"/>
        <v>7.2307824739605746E-3</v>
      </c>
      <c r="AJ19" s="17">
        <f t="shared" ref="AJ19:AK19" si="42">+AJ13/AJ4</f>
        <v>-6.5640173887989692E-2</v>
      </c>
      <c r="AK19" s="17">
        <f t="shared" si="42"/>
        <v>-2.0243902439024391E-2</v>
      </c>
      <c r="AL19" s="17"/>
      <c r="AM19" s="17"/>
      <c r="AN19" s="17"/>
      <c r="AO19" s="17"/>
      <c r="AP19" s="17"/>
      <c r="AQ19" s="17"/>
      <c r="AR19" s="17"/>
      <c r="AS19" s="17"/>
      <c r="AT19" s="7"/>
      <c r="AU19" s="7"/>
      <c r="AV19" s="7"/>
      <c r="AW19" s="7"/>
      <c r="AX19" s="7"/>
    </row>
    <row r="20" spans="2:50" s="15" customFormat="1" x14ac:dyDescent="0.2">
      <c r="B20" s="14" t="s">
        <v>105</v>
      </c>
      <c r="C20" s="22">
        <f t="shared" ref="C20:M20" si="43">+C14/C5</f>
        <v>0.30091006947842253</v>
      </c>
      <c r="D20" s="22">
        <f t="shared" si="43"/>
        <v>0.31060325684678014</v>
      </c>
      <c r="E20" s="22">
        <f t="shared" si="43"/>
        <v>0.30471511076631325</v>
      </c>
      <c r="F20" s="22">
        <f t="shared" si="43"/>
        <v>0.27970491288651705</v>
      </c>
      <c r="G20" s="22">
        <f t="shared" si="43"/>
        <v>0.30830185884618233</v>
      </c>
      <c r="H20" s="22">
        <f t="shared" si="43"/>
        <v>0.28313863191302585</v>
      </c>
      <c r="I20" s="22">
        <f t="shared" si="43"/>
        <v>0.3031036623215394</v>
      </c>
      <c r="J20" s="22">
        <f t="shared" si="43"/>
        <v>0.29769403824521934</v>
      </c>
      <c r="K20" s="22">
        <f t="shared" si="43"/>
        <v>0.35345154818068436</v>
      </c>
      <c r="L20" s="22">
        <f t="shared" si="43"/>
        <v>0.28952834490095747</v>
      </c>
      <c r="M20" s="22">
        <f t="shared" si="43"/>
        <v>0.26307332749050538</v>
      </c>
      <c r="N20" s="22">
        <f t="shared" ref="N20" si="44">+N14/N5</f>
        <v>0.24347460005613247</v>
      </c>
      <c r="O20" s="22">
        <f t="shared" ref="O20:R20" si="45">+O14/O5</f>
        <v>0.23990821391776718</v>
      </c>
      <c r="P20" s="22">
        <f t="shared" si="45"/>
        <v>0.2423215898825655</v>
      </c>
      <c r="Q20" s="22">
        <f t="shared" si="45"/>
        <v>0.30252829697731903</v>
      </c>
      <c r="R20" s="22">
        <f t="shared" si="45"/>
        <v>0.29610808130887456</v>
      </c>
      <c r="AF20" s="17"/>
      <c r="AG20" s="17"/>
      <c r="AH20" s="17">
        <f t="shared" si="37"/>
        <v>0.29823672029975756</v>
      </c>
      <c r="AI20" s="17">
        <f t="shared" si="37"/>
        <v>0.29793254236198191</v>
      </c>
      <c r="AJ20" s="17">
        <f t="shared" ref="AJ20:AK20" si="46">+AJ14/AJ5</f>
        <v>0.28517029564522572</v>
      </c>
      <c r="AK20" s="17">
        <f t="shared" si="46"/>
        <v>0.27139504390845887</v>
      </c>
      <c r="AL20" s="17"/>
      <c r="AM20" s="17"/>
      <c r="AN20" s="17"/>
      <c r="AO20" s="17"/>
      <c r="AP20" s="17"/>
      <c r="AQ20" s="17"/>
      <c r="AR20" s="17"/>
      <c r="AS20" s="17"/>
    </row>
    <row r="21" spans="2:50" s="4" customFormat="1" x14ac:dyDescent="0.2">
      <c r="B21" s="10" t="s">
        <v>107</v>
      </c>
      <c r="C21" s="17">
        <f t="shared" ref="C21:M21" si="47">+C15/C6</f>
        <v>5.2868048560674334E-2</v>
      </c>
      <c r="D21" s="17">
        <f t="shared" si="47"/>
        <v>6.5716663667446468E-2</v>
      </c>
      <c r="E21" s="17">
        <f t="shared" si="47"/>
        <v>6.4423526964480726E-2</v>
      </c>
      <c r="F21" s="17">
        <f t="shared" si="47"/>
        <v>5.4740950181195493E-2</v>
      </c>
      <c r="G21" s="17">
        <f t="shared" si="47"/>
        <v>8.1691516614755155E-2</v>
      </c>
      <c r="H21" s="17">
        <f t="shared" si="47"/>
        <v>6.8111071807569867E-2</v>
      </c>
      <c r="I21" s="17">
        <f t="shared" si="47"/>
        <v>4.3785871566256365E-2</v>
      </c>
      <c r="J21" s="17">
        <f t="shared" si="47"/>
        <v>2.5179751404535267E-2</v>
      </c>
      <c r="K21" s="17">
        <f t="shared" si="47"/>
        <v>3.1508708048504003E-2</v>
      </c>
      <c r="L21" s="17">
        <f t="shared" si="47"/>
        <v>2.7360311463780786E-2</v>
      </c>
      <c r="M21" s="17">
        <f t="shared" si="47"/>
        <v>1.986609074672898E-2</v>
      </c>
      <c r="N21" s="17">
        <f t="shared" ref="N21" si="48">+N15/N6</f>
        <v>1.8344012224873328E-2</v>
      </c>
      <c r="O21" s="17">
        <f t="shared" ref="O21:R21" si="49">+O15/O6</f>
        <v>3.7484885126964934E-2</v>
      </c>
      <c r="P21" s="17">
        <f t="shared" si="49"/>
        <v>5.7157527365812637E-2</v>
      </c>
      <c r="Q21" s="17">
        <f t="shared" si="49"/>
        <v>7.8192377850618167E-2</v>
      </c>
      <c r="R21" s="17">
        <f t="shared" si="49"/>
        <v>7.771782938438819E-2</v>
      </c>
      <c r="AF21" s="17"/>
      <c r="AG21" s="17"/>
      <c r="AH21" s="17">
        <f t="shared" si="37"/>
        <v>3.5048592979402382E-2</v>
      </c>
      <c r="AI21" s="17">
        <f t="shared" si="37"/>
        <v>5.6887502075254032E-2</v>
      </c>
      <c r="AJ21" s="17">
        <f t="shared" ref="AJ21:AK21" si="50">+AJ15/AJ6</f>
        <v>2.3829581912242232E-2</v>
      </c>
      <c r="AK21" s="17">
        <f t="shared" si="50"/>
        <v>6.4114407996033296E-2</v>
      </c>
      <c r="AL21" s="17"/>
      <c r="AM21" s="17"/>
      <c r="AN21" s="17"/>
      <c r="AO21" s="17"/>
      <c r="AP21" s="17"/>
      <c r="AQ21" s="17"/>
      <c r="AR21" s="17"/>
      <c r="AS21" s="17"/>
      <c r="AT21" s="7"/>
      <c r="AU21" s="7"/>
      <c r="AV21" s="7"/>
      <c r="AW21" s="7"/>
      <c r="AX21" s="7"/>
    </row>
    <row r="22" spans="2:50" s="11" customFormat="1" x14ac:dyDescent="0.2">
      <c r="B22" s="13"/>
      <c r="AH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2:50" s="11" customFormat="1" x14ac:dyDescent="0.2">
      <c r="B23" s="10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spans="2:50" s="21" customFormat="1" x14ac:dyDescent="0.2">
      <c r="B24" s="14" t="s">
        <v>111</v>
      </c>
      <c r="G24" s="21">
        <f t="shared" ref="G24:L27" si="51">IFERROR((G3/C3)-1,0)</f>
        <v>0.39540832917813851</v>
      </c>
      <c r="H24" s="21">
        <f t="shared" si="51"/>
        <v>0.21852225990331187</v>
      </c>
      <c r="I24" s="21">
        <f t="shared" si="51"/>
        <v>0.10415508732925738</v>
      </c>
      <c r="J24" s="21">
        <f t="shared" si="51"/>
        <v>9.3090542298197576E-2</v>
      </c>
      <c r="K24" s="21">
        <f t="shared" si="51"/>
        <v>7.5785352515303162E-2</v>
      </c>
      <c r="L24" s="21">
        <f t="shared" si="51"/>
        <v>0.10185048112509243</v>
      </c>
      <c r="M24" s="21">
        <f t="shared" ref="M24:M27" si="52">IFERROR((M3/I3)-1,0)</f>
        <v>0.20266333114694079</v>
      </c>
      <c r="N24" s="21">
        <f t="shared" ref="N24:N27" si="53">IFERROR((N3/J3)-1,0)</f>
        <v>0.13359640602234091</v>
      </c>
      <c r="O24" s="21">
        <f t="shared" ref="O24:O27" si="54">IFERROR((O3/K3)-1,0)</f>
        <v>0.11029114435907794</v>
      </c>
      <c r="P24" s="21">
        <f t="shared" ref="P24:P27" si="55">IFERROR((P3/L3)-1,0)</f>
        <v>0.10904205293564417</v>
      </c>
      <c r="Q24" s="21">
        <f t="shared" ref="Q24:Q27" si="56">IFERROR((Q3/M3)-1,0)</f>
        <v>0.11470897860304663</v>
      </c>
      <c r="R24" s="21">
        <f t="shared" ref="R24:S27" si="57">IFERROR((R3/N3)-1,0)</f>
        <v>0.13014791726915376</v>
      </c>
      <c r="S24" s="21">
        <f t="shared" si="57"/>
        <v>0.10000000000000009</v>
      </c>
      <c r="T24" s="25"/>
      <c r="U24" s="25"/>
      <c r="V24" s="25"/>
      <c r="W24" s="25"/>
      <c r="X24" s="25"/>
      <c r="Y24" s="25"/>
      <c r="Z24" s="25"/>
      <c r="AI24" s="21">
        <f>+AI3/AH3-1</f>
        <v>0.1843178913332375</v>
      </c>
      <c r="AJ24" s="21">
        <f>+AJ3/AI3-1</f>
        <v>0.12881611532592663</v>
      </c>
      <c r="AK24" s="21">
        <f>+AK3/AJ3-1</f>
        <v>0.11696846903887548</v>
      </c>
      <c r="AL24" s="21">
        <f>+AL3/AK3-1</f>
        <v>0.10000000000000009</v>
      </c>
      <c r="AM24" s="21">
        <f t="shared" ref="AM24:AU27" si="58">+AM3/AL3-1</f>
        <v>0.10000000000000009</v>
      </c>
      <c r="AN24" s="21">
        <f t="shared" si="58"/>
        <v>0.10000000000000009</v>
      </c>
      <c r="AO24" s="21">
        <f t="shared" si="58"/>
        <v>0.10000000000000009</v>
      </c>
      <c r="AP24" s="21">
        <f t="shared" si="58"/>
        <v>0.10000000000000009</v>
      </c>
      <c r="AQ24" s="21">
        <f t="shared" si="58"/>
        <v>0.10000000000000009</v>
      </c>
      <c r="AR24" s="21">
        <f t="shared" si="58"/>
        <v>0.10000000000000009</v>
      </c>
      <c r="AS24" s="21">
        <f t="shared" si="58"/>
        <v>0.10000000000000009</v>
      </c>
      <c r="AT24" s="21">
        <f t="shared" si="58"/>
        <v>0.10000000000000009</v>
      </c>
      <c r="AU24" s="21">
        <f t="shared" si="58"/>
        <v>0.10000000000000009</v>
      </c>
    </row>
    <row r="25" spans="2:50" s="11" customFormat="1" x14ac:dyDescent="0.2">
      <c r="B25" s="10" t="s">
        <v>112</v>
      </c>
      <c r="G25" s="15">
        <f t="shared" si="51"/>
        <v>0.60415576258766879</v>
      </c>
      <c r="H25" s="15">
        <f t="shared" si="51"/>
        <v>0.35525851420504684</v>
      </c>
      <c r="I25" s="15">
        <f t="shared" si="51"/>
        <v>0.15788010011521192</v>
      </c>
      <c r="J25" s="15">
        <f t="shared" si="51"/>
        <v>-5.2045800304267864E-3</v>
      </c>
      <c r="K25" s="15">
        <f t="shared" si="51"/>
        <v>-6.1665959737674969E-2</v>
      </c>
      <c r="L25" s="15">
        <f t="shared" si="51"/>
        <v>-0.11900654275576972</v>
      </c>
      <c r="M25" s="15">
        <f t="shared" si="52"/>
        <v>-4.8893463715903196E-2</v>
      </c>
      <c r="N25" s="15">
        <f t="shared" si="53"/>
        <v>-7.5364885168491047E-2</v>
      </c>
      <c r="O25" s="15">
        <f t="shared" si="54"/>
        <v>1.2656907402899931E-2</v>
      </c>
      <c r="P25" s="15">
        <f t="shared" si="55"/>
        <v>9.7247367448734634E-2</v>
      </c>
      <c r="Q25" s="15">
        <f t="shared" si="56"/>
        <v>0.15934343434343434</v>
      </c>
      <c r="R25" s="15">
        <f t="shared" si="57"/>
        <v>0.16771610132605974</v>
      </c>
      <c r="S25" s="15">
        <f t="shared" si="57"/>
        <v>1.2656907402899931E-2</v>
      </c>
      <c r="T25" s="25"/>
      <c r="U25" s="25"/>
      <c r="V25" s="25"/>
      <c r="W25" s="25"/>
      <c r="X25" s="25"/>
      <c r="Y25" s="25"/>
      <c r="Z25" s="25"/>
      <c r="AF25" s="12"/>
      <c r="AG25" s="12"/>
      <c r="AH25" s="12"/>
      <c r="AI25" s="21">
        <f t="shared" ref="AI25" si="59">+AI4/AH4-1</f>
        <v>0.22387273493468185</v>
      </c>
      <c r="AJ25" s="21">
        <f t="shared" ref="AJ25:AL27" si="60">+AJ4/AI4-1</f>
        <v>-7.6533606704907386E-2</v>
      </c>
      <c r="AK25" s="21">
        <f t="shared" si="60"/>
        <v>0.11179845263416577</v>
      </c>
      <c r="AL25" s="21">
        <f t="shared" si="60"/>
        <v>0.11529558841904963</v>
      </c>
      <c r="AM25" s="21">
        <f t="shared" si="58"/>
        <v>9.000000000000008E-2</v>
      </c>
      <c r="AN25" s="21">
        <f t="shared" si="58"/>
        <v>9.000000000000008E-2</v>
      </c>
      <c r="AO25" s="21">
        <f t="shared" si="58"/>
        <v>9.000000000000008E-2</v>
      </c>
      <c r="AP25" s="21">
        <f t="shared" si="58"/>
        <v>9.000000000000008E-2</v>
      </c>
      <c r="AQ25" s="21">
        <f t="shared" si="58"/>
        <v>9.000000000000008E-2</v>
      </c>
      <c r="AR25" s="21">
        <f t="shared" si="58"/>
        <v>9.000000000000008E-2</v>
      </c>
      <c r="AS25" s="21">
        <f t="shared" si="58"/>
        <v>9.000000000000008E-2</v>
      </c>
      <c r="AT25" s="21">
        <f t="shared" si="58"/>
        <v>9.000000000000008E-2</v>
      </c>
      <c r="AU25" s="21">
        <f t="shared" si="58"/>
        <v>9.000000000000008E-2</v>
      </c>
      <c r="AV25" s="12"/>
      <c r="AW25" s="12"/>
      <c r="AX25" s="12"/>
    </row>
    <row r="26" spans="2:50" s="11" customFormat="1" x14ac:dyDescent="0.2">
      <c r="B26" s="13" t="s">
        <v>113</v>
      </c>
      <c r="G26" s="21">
        <f t="shared" si="51"/>
        <v>0.32136216850963883</v>
      </c>
      <c r="H26" s="21">
        <f t="shared" si="51"/>
        <v>0.37018874907475952</v>
      </c>
      <c r="I26" s="21">
        <f t="shared" si="51"/>
        <v>0.3886733902249806</v>
      </c>
      <c r="J26" s="21">
        <f t="shared" si="51"/>
        <v>0.39538533982106427</v>
      </c>
      <c r="K26" s="21">
        <f t="shared" si="51"/>
        <v>0.36569651188624741</v>
      </c>
      <c r="L26" s="21">
        <f t="shared" si="51"/>
        <v>0.33290566547369838</v>
      </c>
      <c r="M26" s="21">
        <f t="shared" si="52"/>
        <v>0.27486033519553077</v>
      </c>
      <c r="N26" s="21">
        <f t="shared" si="53"/>
        <v>0.20236220472440936</v>
      </c>
      <c r="O26" s="21">
        <f t="shared" si="54"/>
        <v>0.157963234097934</v>
      </c>
      <c r="P26" s="21">
        <f t="shared" si="55"/>
        <v>0.12163736764780375</v>
      </c>
      <c r="Q26" s="21">
        <f t="shared" si="56"/>
        <v>0.1227480767358069</v>
      </c>
      <c r="R26" s="21">
        <f t="shared" si="57"/>
        <v>0.13219197305641317</v>
      </c>
      <c r="S26" s="21">
        <f t="shared" si="57"/>
        <v>0.157963234097934</v>
      </c>
      <c r="T26" s="25"/>
      <c r="U26" s="25"/>
      <c r="V26" s="25"/>
      <c r="W26" s="25"/>
      <c r="X26" s="25"/>
      <c r="Y26" s="25"/>
      <c r="Z26" s="25"/>
      <c r="AF26" s="12"/>
      <c r="AG26" s="12"/>
      <c r="AH26" s="12"/>
      <c r="AI26" s="21">
        <f t="shared" ref="AI26" si="61">+AI5/AH5-1</f>
        <v>0.37099404893101173</v>
      </c>
      <c r="AJ26" s="21">
        <f t="shared" si="60"/>
        <v>0.28767563743931057</v>
      </c>
      <c r="AK26" s="21">
        <f t="shared" si="60"/>
        <v>0.13310277666799841</v>
      </c>
      <c r="AL26" s="21">
        <f t="shared" si="60"/>
        <v>0.13328140681113365</v>
      </c>
      <c r="AM26" s="21">
        <f t="shared" si="58"/>
        <v>0.12999999999999989</v>
      </c>
      <c r="AN26" s="21">
        <f t="shared" si="58"/>
        <v>0.12999999999999989</v>
      </c>
      <c r="AO26" s="21">
        <f t="shared" si="58"/>
        <v>0.12999999999999989</v>
      </c>
      <c r="AP26" s="21">
        <f t="shared" si="58"/>
        <v>0.12999999999999989</v>
      </c>
      <c r="AQ26" s="21">
        <f t="shared" si="58"/>
        <v>0.12999999999999989</v>
      </c>
      <c r="AR26" s="21">
        <f t="shared" si="58"/>
        <v>0.12999999999999989</v>
      </c>
      <c r="AS26" s="21">
        <f t="shared" si="58"/>
        <v>0.12999999999999989</v>
      </c>
      <c r="AT26" s="21">
        <f t="shared" si="58"/>
        <v>0.12999999999999989</v>
      </c>
      <c r="AU26" s="21">
        <f t="shared" si="58"/>
        <v>0.12999999999999989</v>
      </c>
      <c r="AV26" s="12"/>
      <c r="AW26" s="12"/>
      <c r="AX26" s="12"/>
    </row>
    <row r="27" spans="2:50" s="11" customFormat="1" x14ac:dyDescent="0.2">
      <c r="B27" s="10" t="s">
        <v>114</v>
      </c>
      <c r="G27" s="15">
        <f t="shared" si="51"/>
        <v>0.43823888034777081</v>
      </c>
      <c r="H27" s="15">
        <f t="shared" si="51"/>
        <v>0.27181932697498645</v>
      </c>
      <c r="I27" s="15">
        <f t="shared" si="51"/>
        <v>0.15255083467679031</v>
      </c>
      <c r="J27" s="15">
        <f t="shared" si="51"/>
        <v>9.4436701047349692E-2</v>
      </c>
      <c r="K27" s="15">
        <f t="shared" si="51"/>
        <v>7.3038574245747334E-2</v>
      </c>
      <c r="L27" s="15">
        <f t="shared" si="51"/>
        <v>7.2108241952600016E-2</v>
      </c>
      <c r="M27" s="15">
        <f t="shared" si="52"/>
        <v>0.14699671515720314</v>
      </c>
      <c r="N27" s="15">
        <f t="shared" si="53"/>
        <v>8.5814921549791867E-2</v>
      </c>
      <c r="O27" s="15">
        <f t="shared" si="54"/>
        <v>9.3727456975026602E-2</v>
      </c>
      <c r="P27" s="15">
        <f t="shared" si="55"/>
        <v>0.10845967302901816</v>
      </c>
      <c r="Q27" s="15">
        <f t="shared" si="56"/>
        <v>0.125742519728405</v>
      </c>
      <c r="R27" s="15">
        <f t="shared" si="57"/>
        <v>0.13911825420230017</v>
      </c>
      <c r="S27" s="15">
        <f t="shared" si="57"/>
        <v>8.9745866103597249E-2</v>
      </c>
      <c r="T27" s="25"/>
      <c r="U27" s="25"/>
      <c r="V27" s="25"/>
      <c r="W27" s="25"/>
      <c r="X27" s="25"/>
      <c r="Y27" s="25"/>
      <c r="Z27" s="25"/>
      <c r="AF27" s="12"/>
      <c r="AG27" s="12"/>
      <c r="AH27" s="12"/>
      <c r="AI27" s="21">
        <f t="shared" ref="AI27" si="62">+AI6/AH6-1</f>
        <v>0.21695366571345676</v>
      </c>
      <c r="AJ27" s="21">
        <f t="shared" si="60"/>
        <v>9.399517263985091E-2</v>
      </c>
      <c r="AK27" s="21">
        <f t="shared" si="60"/>
        <v>0.1182957412988368</v>
      </c>
      <c r="AL27" s="21">
        <f t="shared" si="60"/>
        <v>0.10874640402678826</v>
      </c>
      <c r="AM27" s="21">
        <f t="shared" si="58"/>
        <v>0.10254566487144134</v>
      </c>
      <c r="AN27" s="21">
        <f t="shared" si="58"/>
        <v>0.10269235499288754</v>
      </c>
      <c r="AO27" s="21">
        <f t="shared" si="58"/>
        <v>0.10284137192378529</v>
      </c>
      <c r="AP27" s="21">
        <f t="shared" si="58"/>
        <v>0.10299272696815476</v>
      </c>
      <c r="AQ27" s="21">
        <f t="shared" si="58"/>
        <v>0.10314642985193712</v>
      </c>
      <c r="AR27" s="21">
        <f t="shared" si="58"/>
        <v>0.10330248865208502</v>
      </c>
      <c r="AS27" s="21">
        <f t="shared" si="58"/>
        <v>0.10346090972606881</v>
      </c>
      <c r="AT27" s="21">
        <f t="shared" si="58"/>
        <v>0.10362169764201368</v>
      </c>
      <c r="AU27" s="21">
        <f t="shared" si="58"/>
        <v>0.10378485510971247</v>
      </c>
      <c r="AV27" s="12"/>
      <c r="AW27" s="12"/>
      <c r="AX27" s="12"/>
    </row>
    <row r="28" spans="2:50" s="11" customFormat="1" x14ac:dyDescent="0.2">
      <c r="B28" s="10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</row>
    <row r="29" spans="2:50" s="4" customFormat="1" x14ac:dyDescent="0.2">
      <c r="B29" s="10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2:50" x14ac:dyDescent="0.2">
      <c r="B30" s="10" t="s">
        <v>20</v>
      </c>
      <c r="C30" s="2">
        <v>41841</v>
      </c>
      <c r="D30" s="2">
        <v>50244</v>
      </c>
      <c r="E30" s="2">
        <v>52774</v>
      </c>
      <c r="F30" s="2">
        <v>71056</v>
      </c>
      <c r="G30" s="2">
        <v>57491</v>
      </c>
      <c r="H30" s="2">
        <v>58004</v>
      </c>
      <c r="I30" s="2">
        <v>54876</v>
      </c>
      <c r="J30" s="2">
        <f t="shared" ref="J30:J49" si="63">+AI30-SUM(G30:I30)</f>
        <v>71416</v>
      </c>
      <c r="K30" s="2">
        <v>56455</v>
      </c>
      <c r="L30" s="2">
        <v>56575</v>
      </c>
      <c r="M30" s="2">
        <v>59340</v>
      </c>
      <c r="N30" s="2">
        <v>70531</v>
      </c>
      <c r="O30" s="2">
        <v>56981</v>
      </c>
      <c r="P30" s="2">
        <v>59032</v>
      </c>
      <c r="Q30" s="2">
        <v>63171</v>
      </c>
      <c r="R30" s="2">
        <v>76703</v>
      </c>
      <c r="AA30" s="2">
        <v>60903</v>
      </c>
      <c r="AB30" s="2">
        <v>70080</v>
      </c>
      <c r="AC30" s="2">
        <v>79268</v>
      </c>
      <c r="AD30" s="2">
        <v>94665</v>
      </c>
      <c r="AE30" s="2">
        <v>118573</v>
      </c>
      <c r="AF30" s="2">
        <v>141915</v>
      </c>
      <c r="AG30" s="2">
        <v>160408</v>
      </c>
      <c r="AH30" s="2">
        <v>215915</v>
      </c>
      <c r="AI30" s="2">
        <v>241787</v>
      </c>
      <c r="AJ30" s="2">
        <v>242901</v>
      </c>
      <c r="AK30" s="2">
        <v>255887</v>
      </c>
      <c r="AU30" s="2">
        <f>FV(AK53,10,,-AK32)</f>
        <v>4437460.3264519377</v>
      </c>
    </row>
    <row r="31" spans="2:50" x14ac:dyDescent="0.2">
      <c r="B31" s="10" t="s">
        <v>21</v>
      </c>
      <c r="C31" s="2">
        <v>33611</v>
      </c>
      <c r="D31" s="2">
        <v>38668</v>
      </c>
      <c r="E31" s="2">
        <v>43371</v>
      </c>
      <c r="F31" s="2">
        <v>54499</v>
      </c>
      <c r="G31" s="2">
        <v>51027</v>
      </c>
      <c r="H31" s="2">
        <v>55076</v>
      </c>
      <c r="I31" s="2">
        <v>55936</v>
      </c>
      <c r="J31" s="2">
        <f t="shared" si="63"/>
        <v>65996</v>
      </c>
      <c r="K31" s="2">
        <v>59989</v>
      </c>
      <c r="L31" s="2">
        <v>64659</v>
      </c>
      <c r="M31" s="2">
        <v>67761</v>
      </c>
      <c r="N31" s="2">
        <v>78673</v>
      </c>
      <c r="O31" s="2">
        <v>70377</v>
      </c>
      <c r="P31" s="2">
        <v>75351</v>
      </c>
      <c r="Q31" s="2">
        <v>79912</v>
      </c>
      <c r="R31" s="2">
        <v>93258</v>
      </c>
      <c r="AA31" s="2">
        <v>13549</v>
      </c>
      <c r="AB31" s="2">
        <v>18908</v>
      </c>
      <c r="AC31" s="2">
        <v>27738</v>
      </c>
      <c r="AD31" s="2">
        <v>41322</v>
      </c>
      <c r="AE31" s="2">
        <v>59293</v>
      </c>
      <c r="AF31" s="2">
        <v>90972</v>
      </c>
      <c r="AG31" s="2">
        <v>120114</v>
      </c>
      <c r="AH31" s="2">
        <v>170149</v>
      </c>
      <c r="AI31" s="2">
        <v>228035</v>
      </c>
      <c r="AJ31" s="2">
        <v>271082</v>
      </c>
      <c r="AK31" s="2">
        <v>318898</v>
      </c>
    </row>
    <row r="32" spans="2:50" s="5" customFormat="1" x14ac:dyDescent="0.2">
      <c r="B32" s="13" t="s">
        <v>19</v>
      </c>
      <c r="C32" s="5">
        <f t="shared" ref="C32:I32" si="64">+SUM(C30:C31)</f>
        <v>75452</v>
      </c>
      <c r="D32" s="5">
        <f t="shared" si="64"/>
        <v>88912</v>
      </c>
      <c r="E32" s="5">
        <f t="shared" si="64"/>
        <v>96145</v>
      </c>
      <c r="F32" s="5">
        <f t="shared" si="64"/>
        <v>125555</v>
      </c>
      <c r="G32" s="5">
        <f t="shared" si="64"/>
        <v>108518</v>
      </c>
      <c r="H32" s="5">
        <f t="shared" si="64"/>
        <v>113080</v>
      </c>
      <c r="I32" s="5">
        <f t="shared" si="64"/>
        <v>110812</v>
      </c>
      <c r="J32" s="5">
        <f t="shared" si="63"/>
        <v>137412</v>
      </c>
      <c r="K32" s="5">
        <f t="shared" ref="K32:R32" si="65">+SUM(K30:K31)</f>
        <v>116444</v>
      </c>
      <c r="L32" s="5">
        <f t="shared" si="65"/>
        <v>121234</v>
      </c>
      <c r="M32" s="5">
        <f t="shared" si="65"/>
        <v>127101</v>
      </c>
      <c r="N32" s="5">
        <f t="shared" si="65"/>
        <v>149204</v>
      </c>
      <c r="O32" s="5">
        <f t="shared" si="65"/>
        <v>127358</v>
      </c>
      <c r="P32" s="5">
        <f t="shared" si="65"/>
        <v>134383</v>
      </c>
      <c r="Q32" s="5">
        <f t="shared" si="65"/>
        <v>143083</v>
      </c>
      <c r="R32" s="5">
        <f t="shared" si="65"/>
        <v>169961</v>
      </c>
      <c r="S32" s="5">
        <f>+S6</f>
        <v>138787.85401522194</v>
      </c>
      <c r="T32" s="5">
        <f>+T6</f>
        <v>148218.60639084745</v>
      </c>
      <c r="U32" s="5">
        <f>+U6</f>
        <v>159822.96785094595</v>
      </c>
      <c r="V32" s="5">
        <f>+V6</f>
        <v>190461.37358152206</v>
      </c>
      <c r="X32" s="8"/>
      <c r="AA32" s="5">
        <f t="shared" ref="AA32:AF32" si="66">+SUM(AA30:AA31)</f>
        <v>74452</v>
      </c>
      <c r="AB32" s="5">
        <f t="shared" si="66"/>
        <v>88988</v>
      </c>
      <c r="AC32" s="5">
        <f t="shared" si="66"/>
        <v>107006</v>
      </c>
      <c r="AD32" s="5">
        <f t="shared" si="66"/>
        <v>135987</v>
      </c>
      <c r="AE32" s="5">
        <f t="shared" si="66"/>
        <v>177866</v>
      </c>
      <c r="AF32" s="5">
        <f t="shared" si="66"/>
        <v>232887</v>
      </c>
      <c r="AG32" s="5">
        <f>+SUM(AG30:AG31)</f>
        <v>280522</v>
      </c>
      <c r="AH32" s="5">
        <f>+SUM(AH30:AH31)</f>
        <v>386064</v>
      </c>
      <c r="AI32" s="5">
        <f>+SUM(AI30:AI31)</f>
        <v>469822</v>
      </c>
      <c r="AJ32" s="5">
        <f>+SUM(AJ30:AJ31)</f>
        <v>513983</v>
      </c>
      <c r="AK32" s="5">
        <f>+SUM(AK30:AK31)</f>
        <v>574785</v>
      </c>
      <c r="AL32" s="5">
        <f>+AK32*1.1</f>
        <v>632263.5</v>
      </c>
      <c r="AM32" s="5">
        <f>+AM6</f>
        <v>702642.21082952421</v>
      </c>
      <c r="AN32" s="5">
        <f t="shared" ref="AN32:AU32" si="67">+AN6</f>
        <v>774798.19417701708</v>
      </c>
      <c r="AO32" s="5">
        <f t="shared" si="67"/>
        <v>854479.50343025289</v>
      </c>
      <c r="AP32" s="5">
        <f>+AP6</f>
        <v>942484.67762692948</v>
      </c>
      <c r="AQ32" s="5">
        <f t="shared" si="67"/>
        <v>1039698.6073143012</v>
      </c>
      <c r="AR32" s="5">
        <f t="shared" si="67"/>
        <v>1147102.0608979755</v>
      </c>
      <c r="AS32" s="5">
        <f t="shared" si="67"/>
        <v>1265782.2836671283</v>
      </c>
      <c r="AT32" s="5">
        <f t="shared" si="67"/>
        <v>1396944.792745901</v>
      </c>
      <c r="AU32" s="5">
        <f t="shared" si="67"/>
        <v>1541926.5056573018</v>
      </c>
    </row>
    <row r="33" spans="2:288" x14ac:dyDescent="0.2">
      <c r="B33" s="10" t="s">
        <v>22</v>
      </c>
      <c r="C33" s="2">
        <v>44257</v>
      </c>
      <c r="D33" s="2">
        <v>52660</v>
      </c>
      <c r="E33" s="2">
        <v>57106</v>
      </c>
      <c r="F33" s="2">
        <v>79284</v>
      </c>
      <c r="G33" s="2">
        <v>62403</v>
      </c>
      <c r="H33" s="2">
        <v>64176</v>
      </c>
      <c r="I33" s="2">
        <v>62930</v>
      </c>
      <c r="J33" s="2">
        <f t="shared" si="63"/>
        <v>82835</v>
      </c>
      <c r="K33" s="2">
        <v>66499</v>
      </c>
      <c r="L33" s="2">
        <v>66424</v>
      </c>
      <c r="M33" s="2">
        <v>70268</v>
      </c>
      <c r="N33" s="2">
        <v>85640</v>
      </c>
      <c r="O33" s="2">
        <v>67791</v>
      </c>
      <c r="P33" s="2">
        <v>69373</v>
      </c>
      <c r="Q33" s="2">
        <v>75022</v>
      </c>
      <c r="R33" s="2">
        <v>92553</v>
      </c>
      <c r="S33" s="2">
        <f>+S$32*(R33/R$32)</f>
        <v>75577.528095685688</v>
      </c>
      <c r="T33" s="2">
        <f>+T$32*(S33/S$32)</f>
        <v>80713.085221269022</v>
      </c>
      <c r="U33" s="2">
        <f>+U$32*(T33/T$32)</f>
        <v>87032.290604954076</v>
      </c>
      <c r="V33" s="2">
        <f>+V$32*(U33/U$32)</f>
        <v>103716.56738363866</v>
      </c>
      <c r="AG33" s="2">
        <v>165536</v>
      </c>
      <c r="AH33" s="2">
        <v>233307</v>
      </c>
      <c r="AI33" s="2">
        <v>272344</v>
      </c>
      <c r="AJ33" s="2">
        <v>288831</v>
      </c>
      <c r="AK33" s="2">
        <v>304739</v>
      </c>
      <c r="AL33" s="2">
        <f t="shared" ref="AL33:AL49" si="68">SUM(S33:V33)</f>
        <v>347039.4713055474</v>
      </c>
      <c r="AM33" s="2">
        <f>+AM$32*(AL33/AL$32)</f>
        <v>385669.23658132897</v>
      </c>
      <c r="AN33" s="2">
        <f>+AN$32*(AM33/AM$32)</f>
        <v>425274.51873417472</v>
      </c>
      <c r="AO33" s="2">
        <f>+AO$32*(AN33/AN$32)</f>
        <v>469010.33368502476</v>
      </c>
      <c r="AP33" s="2">
        <f>+AP$32*(AO33/AO$32)</f>
        <v>517314.98692748975</v>
      </c>
      <c r="AQ33" s="2">
        <f t="shared" ref="AQ33:AU33" si="69">+AQ$32*(AP33/AP$32)</f>
        <v>570674.18093796191</v>
      </c>
      <c r="AR33" s="2">
        <f t="shared" si="69"/>
        <v>629626.24403834366</v>
      </c>
      <c r="AS33" s="2">
        <f t="shared" si="69"/>
        <v>694767.94803395844</v>
      </c>
      <c r="AT33" s="2">
        <f t="shared" si="69"/>
        <v>766760.98227649555</v>
      </c>
      <c r="AU33" s="2">
        <f t="shared" si="69"/>
        <v>846339.15972584242</v>
      </c>
    </row>
    <row r="34" spans="2:288" x14ac:dyDescent="0.2">
      <c r="B34" s="10" t="s">
        <v>39</v>
      </c>
      <c r="C34" s="2">
        <v>11531</v>
      </c>
      <c r="D34" s="2">
        <v>13806</v>
      </c>
      <c r="E34" s="2">
        <v>14705</v>
      </c>
      <c r="F34" s="2">
        <v>18474</v>
      </c>
      <c r="G34" s="2">
        <v>16530</v>
      </c>
      <c r="H34" s="2">
        <v>17638</v>
      </c>
      <c r="I34" s="2">
        <v>18498</v>
      </c>
      <c r="J34" s="2">
        <f t="shared" si="63"/>
        <v>22445</v>
      </c>
      <c r="K34" s="2">
        <v>20271</v>
      </c>
      <c r="L34" s="2">
        <v>20342</v>
      </c>
      <c r="M34" s="2">
        <v>20583</v>
      </c>
      <c r="N34" s="2">
        <v>23103</v>
      </c>
      <c r="O34" s="2">
        <v>20905</v>
      </c>
      <c r="P34" s="2">
        <v>21305</v>
      </c>
      <c r="Q34" s="2">
        <v>22314</v>
      </c>
      <c r="R34" s="2">
        <v>26095</v>
      </c>
      <c r="S34" s="2">
        <f t="shared" ref="S34:T38" si="70">+S$32*(R34/R$32)</f>
        <v>21308.824086274006</v>
      </c>
      <c r="T34" s="2">
        <f t="shared" si="70"/>
        <v>22756.776753309077</v>
      </c>
      <c r="U34" s="2">
        <f t="shared" ref="U34:V34" si="71">+U$32*(T34/T$32)</f>
        <v>24538.45497537926</v>
      </c>
      <c r="V34" s="2">
        <f t="shared" si="71"/>
        <v>29242.5294250435</v>
      </c>
      <c r="AG34" s="2">
        <v>40232</v>
      </c>
      <c r="AH34" s="2">
        <v>58517</v>
      </c>
      <c r="AI34" s="2">
        <v>75111</v>
      </c>
      <c r="AJ34" s="2">
        <v>84299</v>
      </c>
      <c r="AK34" s="2">
        <v>90619</v>
      </c>
      <c r="AL34" s="2">
        <f t="shared" si="68"/>
        <v>97846.585240005836</v>
      </c>
      <c r="AM34" s="2">
        <f t="shared" ref="AM34:AM38" si="72">+AM$32*(AL34/AL$32)</f>
        <v>108738.11468660961</v>
      </c>
      <c r="AN34" s="2">
        <f t="shared" ref="AN34:AU34" si="73">+AN$32*(AM34/AM$32)</f>
        <v>119904.68776126426</v>
      </c>
      <c r="AO34" s="2">
        <f t="shared" si="73"/>
        <v>132235.85035072578</v>
      </c>
      <c r="AP34" s="2">
        <f t="shared" si="73"/>
        <v>145855.18118129985</v>
      </c>
      <c r="AQ34" s="2">
        <f t="shared" si="73"/>
        <v>160899.6223955584</v>
      </c>
      <c r="AR34" s="2">
        <f t="shared" si="73"/>
        <v>177520.95381220034</v>
      </c>
      <c r="AS34" s="2">
        <f t="shared" si="73"/>
        <v>195887.43318905</v>
      </c>
      <c r="AT34" s="2">
        <f t="shared" si="73"/>
        <v>216185.62156283591</v>
      </c>
      <c r="AU34" s="2">
        <f t="shared" si="73"/>
        <v>238622.41497353796</v>
      </c>
    </row>
    <row r="35" spans="2:288" x14ac:dyDescent="0.2">
      <c r="B35" s="10" t="s">
        <v>23</v>
      </c>
      <c r="C35" s="2">
        <v>9325</v>
      </c>
      <c r="D35" s="2">
        <v>10388</v>
      </c>
      <c r="E35" s="2">
        <v>10976</v>
      </c>
      <c r="F35" s="2">
        <v>12049</v>
      </c>
      <c r="G35" s="2">
        <v>12488</v>
      </c>
      <c r="H35" s="2">
        <v>13871</v>
      </c>
      <c r="I35" s="2">
        <v>14380</v>
      </c>
      <c r="J35" s="2">
        <f t="shared" si="63"/>
        <v>15313</v>
      </c>
      <c r="K35" s="2">
        <v>14842</v>
      </c>
      <c r="L35" s="2">
        <v>18072</v>
      </c>
      <c r="M35" s="2">
        <v>19485</v>
      </c>
      <c r="N35" s="2">
        <v>20814</v>
      </c>
      <c r="O35" s="2">
        <v>20450</v>
      </c>
      <c r="P35" s="2">
        <v>21931</v>
      </c>
      <c r="Q35" s="2">
        <v>21203</v>
      </c>
      <c r="R35" s="2">
        <v>22038</v>
      </c>
      <c r="S35" s="2">
        <f t="shared" si="70"/>
        <v>17995.932753910962</v>
      </c>
      <c r="T35" s="2">
        <f t="shared" si="70"/>
        <v>19218.771645503944</v>
      </c>
      <c r="U35" s="2">
        <f t="shared" ref="U35:V35" si="74">+U$32*(T35/T$32)</f>
        <v>20723.451647725928</v>
      </c>
      <c r="V35" s="2">
        <f t="shared" si="74"/>
        <v>24696.181776934605</v>
      </c>
      <c r="AG35" s="2">
        <v>35931</v>
      </c>
      <c r="AH35" s="2">
        <v>42740</v>
      </c>
      <c r="AI35" s="2">
        <v>56052</v>
      </c>
      <c r="AJ35" s="2">
        <v>73213</v>
      </c>
      <c r="AK35" s="2">
        <v>85622</v>
      </c>
      <c r="AL35" s="2">
        <f t="shared" si="68"/>
        <v>82634.337824075439</v>
      </c>
      <c r="AM35" s="2">
        <f t="shared" si="72"/>
        <v>91832.556867733379</v>
      </c>
      <c r="AN35" s="2">
        <f t="shared" ref="AN35:AU35" si="75">+AN$32*(AM35/AM$32)</f>
        <v>101263.05839749919</v>
      </c>
      <c r="AO35" s="2">
        <f t="shared" si="75"/>
        <v>111677.0902482964</v>
      </c>
      <c r="AP35" s="2">
        <f t="shared" si="75"/>
        <v>123179.01831283719</v>
      </c>
      <c r="AQ35" s="2">
        <f t="shared" si="75"/>
        <v>135884.49428447272</v>
      </c>
      <c r="AR35" s="2">
        <f t="shared" si="75"/>
        <v>149921.7007132888</v>
      </c>
      <c r="AS35" s="2">
        <f t="shared" si="75"/>
        <v>165432.73625676506</v>
      </c>
      <c r="AT35" s="2">
        <f t="shared" si="75"/>
        <v>182575.15723325455</v>
      </c>
      <c r="AU35" s="2">
        <f t="shared" si="75"/>
        <v>201523.69347334086</v>
      </c>
    </row>
    <row r="36" spans="2:288" x14ac:dyDescent="0.2">
      <c r="B36" s="10" t="s">
        <v>24</v>
      </c>
      <c r="C36" s="2">
        <v>4828</v>
      </c>
      <c r="D36" s="2">
        <v>4345</v>
      </c>
      <c r="E36" s="2">
        <v>5434</v>
      </c>
      <c r="F36" s="2">
        <v>7403</v>
      </c>
      <c r="G36" s="2">
        <v>6207</v>
      </c>
      <c r="H36" s="2">
        <v>7524</v>
      </c>
      <c r="I36" s="2">
        <v>8010</v>
      </c>
      <c r="J36" s="2">
        <f t="shared" si="63"/>
        <v>10810</v>
      </c>
      <c r="K36" s="2">
        <v>8320</v>
      </c>
      <c r="L36" s="2">
        <v>10086</v>
      </c>
      <c r="M36" s="2">
        <v>11014</v>
      </c>
      <c r="N36" s="2">
        <v>12818</v>
      </c>
      <c r="O36" s="2">
        <v>10172</v>
      </c>
      <c r="P36" s="2">
        <v>10745</v>
      </c>
      <c r="Q36" s="2">
        <v>10551</v>
      </c>
      <c r="R36" s="2">
        <v>12902</v>
      </c>
      <c r="S36" s="2">
        <f t="shared" si="70"/>
        <v>10535.598710906581</v>
      </c>
      <c r="T36" s="2">
        <f t="shared" si="70"/>
        <v>11251.501577742622</v>
      </c>
      <c r="U36" s="2">
        <f t="shared" ref="U36:V36" si="76">+U$32*(T36/T$32)</f>
        <v>12132.406441553678</v>
      </c>
      <c r="V36" s="2">
        <f t="shared" si="76"/>
        <v>14458.214778383261</v>
      </c>
      <c r="AG36" s="2">
        <v>18878</v>
      </c>
      <c r="AH36" s="2">
        <v>22008</v>
      </c>
      <c r="AI36" s="2">
        <v>32551</v>
      </c>
      <c r="AJ36" s="2">
        <v>42238</v>
      </c>
      <c r="AK36" s="2">
        <v>44370</v>
      </c>
      <c r="AL36" s="2">
        <f t="shared" si="68"/>
        <v>48377.721508586139</v>
      </c>
      <c r="AM36" s="2">
        <f t="shared" si="72"/>
        <v>53762.757451106998</v>
      </c>
      <c r="AN36" s="2">
        <f t="shared" ref="AN36:AU36" si="77">+AN$32*(AM36/AM$32)</f>
        <v>59283.781624672592</v>
      </c>
      <c r="AO36" s="2">
        <f t="shared" si="77"/>
        <v>65380.607059784015</v>
      </c>
      <c r="AP36" s="2">
        <f t="shared" si="77"/>
        <v>72114.334071704565</v>
      </c>
      <c r="AQ36" s="2">
        <f t="shared" si="77"/>
        <v>79552.670172350801</v>
      </c>
      <c r="AR36" s="2">
        <f t="shared" si="77"/>
        <v>87770.658980073145</v>
      </c>
      <c r="AS36" s="2">
        <f t="shared" si="77"/>
        <v>96851.491205408049</v>
      </c>
      <c r="AT36" s="2">
        <f t="shared" si="77"/>
        <v>106887.407143273</v>
      </c>
      <c r="AU36" s="2">
        <f t="shared" si="77"/>
        <v>117980.70120669043</v>
      </c>
    </row>
    <row r="37" spans="2:288" x14ac:dyDescent="0.2">
      <c r="B37" s="10" t="s">
        <v>25</v>
      </c>
      <c r="C37" s="2">
        <v>1452</v>
      </c>
      <c r="D37" s="2">
        <v>1580</v>
      </c>
      <c r="E37" s="2">
        <v>1668</v>
      </c>
      <c r="F37" s="2">
        <v>1968</v>
      </c>
      <c r="G37" s="2">
        <v>1987</v>
      </c>
      <c r="H37" s="2">
        <v>2158</v>
      </c>
      <c r="I37" s="2">
        <v>2153</v>
      </c>
      <c r="J37" s="2">
        <f t="shared" si="63"/>
        <v>2525</v>
      </c>
      <c r="K37" s="2">
        <v>2594</v>
      </c>
      <c r="L37" s="2">
        <v>2903</v>
      </c>
      <c r="M37" s="2">
        <v>3061</v>
      </c>
      <c r="N37" s="2">
        <v>3333</v>
      </c>
      <c r="O37" s="2">
        <v>3043</v>
      </c>
      <c r="P37" s="2">
        <v>3202</v>
      </c>
      <c r="Q37" s="2">
        <v>2561</v>
      </c>
      <c r="R37" s="2">
        <v>3010</v>
      </c>
      <c r="S37" s="2">
        <f t="shared" si="70"/>
        <v>2457.9252921894908</v>
      </c>
      <c r="T37" s="2">
        <f t="shared" si="70"/>
        <v>2624.9434001709265</v>
      </c>
      <c r="U37" s="2">
        <f t="shared" ref="U37:V37" si="78">+U$32*(T37/T$32)</f>
        <v>2830.4560059740015</v>
      </c>
      <c r="V37" s="2">
        <f t="shared" si="78"/>
        <v>3373.0604931742068</v>
      </c>
      <c r="AG37" s="2">
        <v>5203</v>
      </c>
      <c r="AH37" s="2">
        <v>6668</v>
      </c>
      <c r="AI37" s="2">
        <v>8823</v>
      </c>
      <c r="AJ37" s="2">
        <v>11891</v>
      </c>
      <c r="AK37" s="2">
        <v>11816</v>
      </c>
      <c r="AL37" s="2">
        <f t="shared" si="68"/>
        <v>11286.385191508625</v>
      </c>
      <c r="AM37" s="2">
        <f t="shared" si="72"/>
        <v>12542.698800793061</v>
      </c>
      <c r="AN37" s="2">
        <f t="shared" ref="AN37:AU37" si="79">+AN$32*(AM37/AM$32)</f>
        <v>13830.738078612969</v>
      </c>
      <c r="AO37" s="2">
        <f t="shared" si="79"/>
        <v>15253.110157336063</v>
      </c>
      <c r="AP37" s="2">
        <f t="shared" si="79"/>
        <v>16824.069567185765</v>
      </c>
      <c r="AQ37" s="2">
        <f t="shared" si="79"/>
        <v>18559.412278621599</v>
      </c>
      <c r="AR37" s="2">
        <f t="shared" si="79"/>
        <v>20476.645754923276</v>
      </c>
      <c r="AS37" s="2">
        <f t="shared" si="79"/>
        <v>22595.178152866083</v>
      </c>
      <c r="AT37" s="2">
        <f t="shared" si="79"/>
        <v>24936.528871589806</v>
      </c>
      <c r="AU37" s="2">
        <f t="shared" si="79"/>
        <v>27524.562907466916</v>
      </c>
    </row>
    <row r="38" spans="2:288" x14ac:dyDescent="0.2">
      <c r="B38" s="10" t="s">
        <v>26</v>
      </c>
      <c r="C38" s="2">
        <v>70</v>
      </c>
      <c r="D38" s="2">
        <v>290</v>
      </c>
      <c r="E38" s="2">
        <v>62</v>
      </c>
      <c r="F38" s="2">
        <v>-496</v>
      </c>
      <c r="G38" s="2">
        <v>38</v>
      </c>
      <c r="H38" s="2">
        <v>11</v>
      </c>
      <c r="I38" s="2">
        <v>-11</v>
      </c>
      <c r="J38" s="2">
        <f t="shared" si="63"/>
        <v>24</v>
      </c>
      <c r="K38" s="2">
        <v>249</v>
      </c>
      <c r="L38" s="2">
        <v>90</v>
      </c>
      <c r="M38" s="2">
        <v>165</v>
      </c>
      <c r="N38" s="2">
        <v>759</v>
      </c>
      <c r="O38" s="2">
        <v>223</v>
      </c>
      <c r="P38" s="2">
        <v>146</v>
      </c>
      <c r="Q38" s="2">
        <v>244</v>
      </c>
      <c r="R38" s="2">
        <v>154</v>
      </c>
      <c r="S38" s="2">
        <f t="shared" si="70"/>
        <v>125.75431727481114</v>
      </c>
      <c r="T38" s="2">
        <f t="shared" si="70"/>
        <v>134.29942977618691</v>
      </c>
      <c r="U38" s="2">
        <f t="shared" ref="U38:V38" si="80">+U$32*(T38/T$32)</f>
        <v>144.81402821262333</v>
      </c>
      <c r="V38" s="2">
        <f t="shared" si="80"/>
        <v>172.5751880228664</v>
      </c>
      <c r="AG38" s="2">
        <v>201</v>
      </c>
      <c r="AH38" s="2">
        <v>-75</v>
      </c>
      <c r="AI38" s="2">
        <v>62</v>
      </c>
      <c r="AJ38" s="2">
        <v>1263</v>
      </c>
      <c r="AK38" s="2">
        <v>767</v>
      </c>
      <c r="AL38" s="2">
        <f t="shared" si="68"/>
        <v>577.44296328648772</v>
      </c>
      <c r="AM38" s="2">
        <f t="shared" si="72"/>
        <v>641.71947352894722</v>
      </c>
      <c r="AN38" s="2">
        <f t="shared" ref="AN38:AU38" si="81">+AN$32*(AM38/AM$32)</f>
        <v>707.6191575104308</v>
      </c>
      <c r="AO38" s="2">
        <f t="shared" si="81"/>
        <v>780.39168246835652</v>
      </c>
      <c r="AP38" s="2">
        <f t="shared" si="81"/>
        <v>860.76634994903895</v>
      </c>
      <c r="AQ38" s="2">
        <f t="shared" si="81"/>
        <v>949.55132588296544</v>
      </c>
      <c r="AR38" s="2">
        <f t="shared" si="81"/>
        <v>1047.6423409495628</v>
      </c>
      <c r="AS38" s="2">
        <f t="shared" si="81"/>
        <v>1156.0323706117529</v>
      </c>
      <c r="AT38" s="2">
        <f t="shared" si="81"/>
        <v>1275.8224073836643</v>
      </c>
      <c r="AU38" s="2">
        <f t="shared" si="81"/>
        <v>1408.2334510797025</v>
      </c>
    </row>
    <row r="39" spans="2:288" x14ac:dyDescent="0.2">
      <c r="B39" s="10" t="s">
        <v>27</v>
      </c>
      <c r="C39" s="2">
        <f t="shared" ref="C39:I39" si="82">+SUM(C33:C38)</f>
        <v>71463</v>
      </c>
      <c r="D39" s="2">
        <f t="shared" si="82"/>
        <v>83069</v>
      </c>
      <c r="E39" s="2">
        <f t="shared" si="82"/>
        <v>89951</v>
      </c>
      <c r="F39" s="2">
        <f t="shared" si="82"/>
        <v>118682</v>
      </c>
      <c r="G39" s="2">
        <f t="shared" si="82"/>
        <v>99653</v>
      </c>
      <c r="H39" s="2">
        <f t="shared" si="82"/>
        <v>105378</v>
      </c>
      <c r="I39" s="2">
        <f t="shared" si="82"/>
        <v>105960</v>
      </c>
      <c r="J39" s="2">
        <f t="shared" si="63"/>
        <v>133952</v>
      </c>
      <c r="K39" s="2">
        <f t="shared" ref="K39:S39" si="83">+SUM(K33:K38)</f>
        <v>112775</v>
      </c>
      <c r="L39" s="2">
        <f t="shared" si="83"/>
        <v>117917</v>
      </c>
      <c r="M39" s="2">
        <f t="shared" si="83"/>
        <v>124576</v>
      </c>
      <c r="N39" s="2">
        <f t="shared" si="83"/>
        <v>146467</v>
      </c>
      <c r="O39" s="2">
        <f t="shared" si="83"/>
        <v>122584</v>
      </c>
      <c r="P39" s="2">
        <f t="shared" si="83"/>
        <v>126702</v>
      </c>
      <c r="Q39" s="2">
        <f t="shared" si="83"/>
        <v>131895</v>
      </c>
      <c r="R39" s="2">
        <f t="shared" si="83"/>
        <v>156752</v>
      </c>
      <c r="S39" s="2">
        <f t="shared" si="83"/>
        <v>128001.56325624154</v>
      </c>
      <c r="T39" s="2">
        <f t="shared" ref="T39:V39" si="84">+S39</f>
        <v>128001.56325624154</v>
      </c>
      <c r="U39" s="2">
        <f t="shared" si="84"/>
        <v>128001.56325624154</v>
      </c>
      <c r="V39" s="2">
        <f t="shared" si="84"/>
        <v>128001.56325624154</v>
      </c>
      <c r="AG39" s="2">
        <f t="shared" ref="AG39:AO39" si="85">+SUM(AG33:AG38)</f>
        <v>265981</v>
      </c>
      <c r="AH39" s="2">
        <f t="shared" si="85"/>
        <v>363165</v>
      </c>
      <c r="AI39" s="2">
        <f t="shared" si="85"/>
        <v>444943</v>
      </c>
      <c r="AJ39" s="2">
        <f t="shared" si="85"/>
        <v>501735</v>
      </c>
      <c r="AK39" s="2">
        <f t="shared" si="85"/>
        <v>537933</v>
      </c>
      <c r="AL39" s="2">
        <f t="shared" si="68"/>
        <v>512006.25302496616</v>
      </c>
      <c r="AM39" s="2">
        <f t="shared" si="85"/>
        <v>653187.08386110095</v>
      </c>
      <c r="AN39" s="2">
        <f t="shared" si="85"/>
        <v>720264.40375373408</v>
      </c>
      <c r="AO39" s="2">
        <f t="shared" si="85"/>
        <v>794337.38318363542</v>
      </c>
      <c r="AP39" s="2">
        <f t="shared" ref="AP39:AS39" si="86">+SUM(AP33:AP38)</f>
        <v>876148.35641046613</v>
      </c>
      <c r="AQ39" s="2">
        <f t="shared" si="86"/>
        <v>966519.93139484851</v>
      </c>
      <c r="AR39" s="2">
        <f t="shared" si="86"/>
        <v>1066363.8456397788</v>
      </c>
      <c r="AS39" s="2">
        <f t="shared" si="86"/>
        <v>1176690.8192086595</v>
      </c>
      <c r="AT39" s="2">
        <f t="shared" ref="AT39:AU39" si="87">+SUM(AT33:AT38)</f>
        <v>1298621.5194948325</v>
      </c>
      <c r="AU39" s="2">
        <f t="shared" si="87"/>
        <v>1433398.7657379585</v>
      </c>
    </row>
    <row r="40" spans="2:288" x14ac:dyDescent="0.2">
      <c r="B40" s="10" t="s">
        <v>28</v>
      </c>
      <c r="C40" s="2">
        <f t="shared" ref="C40:I40" si="88">+C32-C39</f>
        <v>3989</v>
      </c>
      <c r="D40" s="2">
        <f t="shared" si="88"/>
        <v>5843</v>
      </c>
      <c r="E40" s="2">
        <f t="shared" si="88"/>
        <v>6194</v>
      </c>
      <c r="F40" s="2">
        <f t="shared" si="88"/>
        <v>6873</v>
      </c>
      <c r="G40" s="2">
        <f t="shared" si="88"/>
        <v>8865</v>
      </c>
      <c r="H40" s="2">
        <f t="shared" si="88"/>
        <v>7702</v>
      </c>
      <c r="I40" s="2">
        <f t="shared" si="88"/>
        <v>4852</v>
      </c>
      <c r="J40" s="2">
        <f t="shared" si="63"/>
        <v>3460</v>
      </c>
      <c r="K40" s="2">
        <f t="shared" ref="K40:S40" si="89">+K32-K39</f>
        <v>3669</v>
      </c>
      <c r="L40" s="2">
        <f t="shared" si="89"/>
        <v>3317</v>
      </c>
      <c r="M40" s="2">
        <f t="shared" si="89"/>
        <v>2525</v>
      </c>
      <c r="N40" s="2">
        <f t="shared" si="89"/>
        <v>2737</v>
      </c>
      <c r="O40" s="2">
        <f t="shared" si="89"/>
        <v>4774</v>
      </c>
      <c r="P40" s="2">
        <f t="shared" si="89"/>
        <v>7681</v>
      </c>
      <c r="Q40" s="2">
        <f t="shared" si="89"/>
        <v>11188</v>
      </c>
      <c r="R40" s="2">
        <f t="shared" si="89"/>
        <v>13209</v>
      </c>
      <c r="S40" s="2">
        <f t="shared" si="89"/>
        <v>10786.290758980394</v>
      </c>
      <c r="T40" s="2">
        <f t="shared" ref="T40:V40" si="90">+S40</f>
        <v>10786.290758980394</v>
      </c>
      <c r="U40" s="2">
        <f t="shared" si="90"/>
        <v>10786.290758980394</v>
      </c>
      <c r="V40" s="2">
        <f t="shared" si="90"/>
        <v>10786.290758980394</v>
      </c>
      <c r="AG40" s="2">
        <f t="shared" ref="AG40:AK40" si="91">+AG32-AG39</f>
        <v>14541</v>
      </c>
      <c r="AH40" s="2">
        <f t="shared" si="91"/>
        <v>22899</v>
      </c>
      <c r="AI40" s="2">
        <f t="shared" si="91"/>
        <v>24879</v>
      </c>
      <c r="AJ40" s="2">
        <f t="shared" si="91"/>
        <v>12248</v>
      </c>
      <c r="AK40" s="2">
        <f t="shared" si="91"/>
        <v>36852</v>
      </c>
      <c r="AL40" s="2">
        <f t="shared" si="68"/>
        <v>43145.163035921578</v>
      </c>
      <c r="AM40" s="2">
        <f>+AM32-AM39</f>
        <v>49455.126968423254</v>
      </c>
      <c r="AN40" s="2">
        <f>+AN32-AN39</f>
        <v>54533.790423283004</v>
      </c>
      <c r="AO40" s="2">
        <f>+AO32-AO39</f>
        <v>60142.120246617473</v>
      </c>
      <c r="AP40" s="2">
        <f t="shared" ref="AP40:AS40" si="92">+AP32-AP39</f>
        <v>66336.321216463344</v>
      </c>
      <c r="AQ40" s="2">
        <f t="shared" si="92"/>
        <v>73178.675919452682</v>
      </c>
      <c r="AR40" s="2">
        <f t="shared" si="92"/>
        <v>80738.215258196695</v>
      </c>
      <c r="AS40" s="2">
        <f t="shared" si="92"/>
        <v>89091.464458468836</v>
      </c>
      <c r="AT40" s="2">
        <f t="shared" ref="AT40:AU40" si="93">+AT32-AT39</f>
        <v>98323.273251068546</v>
      </c>
      <c r="AU40" s="2">
        <f t="shared" si="93"/>
        <v>108527.73991934326</v>
      </c>
    </row>
    <row r="41" spans="2:288" x14ac:dyDescent="0.2">
      <c r="B41" s="10" t="s">
        <v>29</v>
      </c>
      <c r="C41" s="2">
        <v>202</v>
      </c>
      <c r="D41" s="2">
        <v>135</v>
      </c>
      <c r="E41" s="2">
        <v>118</v>
      </c>
      <c r="F41" s="2">
        <v>100</v>
      </c>
      <c r="G41" s="2">
        <v>105</v>
      </c>
      <c r="H41" s="2">
        <v>106</v>
      </c>
      <c r="I41" s="2">
        <v>119</v>
      </c>
      <c r="J41" s="2">
        <f t="shared" si="63"/>
        <v>118</v>
      </c>
      <c r="K41" s="2">
        <v>108</v>
      </c>
      <c r="L41" s="2">
        <v>159</v>
      </c>
      <c r="M41" s="2">
        <v>277</v>
      </c>
      <c r="N41" s="2">
        <v>445</v>
      </c>
      <c r="O41" s="2">
        <v>611</v>
      </c>
      <c r="P41" s="2">
        <v>661</v>
      </c>
      <c r="Q41" s="2">
        <v>776</v>
      </c>
      <c r="R41" s="2">
        <v>901</v>
      </c>
      <c r="S41" s="2">
        <f>+R41</f>
        <v>901</v>
      </c>
      <c r="T41" s="2">
        <f t="shared" ref="T41:V41" si="94">+S41</f>
        <v>901</v>
      </c>
      <c r="U41" s="2">
        <f t="shared" si="94"/>
        <v>901</v>
      </c>
      <c r="V41" s="2">
        <f t="shared" si="94"/>
        <v>901</v>
      </c>
      <c r="AG41" s="2">
        <v>832</v>
      </c>
      <c r="AH41" s="2">
        <v>555</v>
      </c>
      <c r="AI41" s="2">
        <v>448</v>
      </c>
      <c r="AJ41" s="2">
        <v>989</v>
      </c>
      <c r="AK41" s="2">
        <v>2949</v>
      </c>
      <c r="AL41" s="2">
        <f t="shared" si="68"/>
        <v>3604</v>
      </c>
      <c r="AM41" s="26">
        <f>+AL68*$BA$55</f>
        <v>-159.76025855586269</v>
      </c>
      <c r="AN41" s="26">
        <f t="shared" ref="AN41:AU41" si="95">+AM68*$BA$55</f>
        <v>389.63075388978007</v>
      </c>
      <c r="AO41" s="26">
        <f t="shared" si="95"/>
        <v>1000.6458857672593</v>
      </c>
      <c r="AP41" s="26">
        <f t="shared" si="95"/>
        <v>1679.7624498610946</v>
      </c>
      <c r="AQ41" s="26">
        <f t="shared" si="95"/>
        <v>2434.1443695218927</v>
      </c>
      <c r="AR41" s="26">
        <f t="shared" si="95"/>
        <v>3271.716265594489</v>
      </c>
      <c r="AS41" s="26">
        <f t="shared" si="95"/>
        <v>4201.2456973260169</v>
      </c>
      <c r="AT41" s="26">
        <f t="shared" si="95"/>
        <v>5232.4344732078016</v>
      </c>
      <c r="AU41" s="26">
        <f t="shared" si="95"/>
        <v>6376.0200527037869</v>
      </c>
    </row>
    <row r="42" spans="2:288" x14ac:dyDescent="0.2">
      <c r="B42" s="10" t="s">
        <v>30</v>
      </c>
      <c r="C42" s="2">
        <v>-402</v>
      </c>
      <c r="D42" s="2">
        <v>-403</v>
      </c>
      <c r="E42" s="2">
        <v>-428</v>
      </c>
      <c r="F42" s="2">
        <v>-414</v>
      </c>
      <c r="G42" s="2">
        <v>-399</v>
      </c>
      <c r="H42" s="2">
        <v>-435</v>
      </c>
      <c r="I42" s="2">
        <v>-493</v>
      </c>
      <c r="J42" s="2">
        <f t="shared" si="63"/>
        <v>-482</v>
      </c>
      <c r="K42" s="2">
        <v>-472</v>
      </c>
      <c r="L42" s="2">
        <v>-584</v>
      </c>
      <c r="M42" s="2">
        <v>-617</v>
      </c>
      <c r="N42" s="2">
        <v>-694</v>
      </c>
      <c r="O42" s="2">
        <v>-823</v>
      </c>
      <c r="P42" s="2">
        <v>-840</v>
      </c>
      <c r="Q42" s="2">
        <v>-806</v>
      </c>
      <c r="R42" s="2">
        <v>-713</v>
      </c>
      <c r="S42" s="2">
        <f t="shared" ref="S42:V44" si="96">+R42</f>
        <v>-713</v>
      </c>
      <c r="T42" s="2">
        <f t="shared" si="96"/>
        <v>-713</v>
      </c>
      <c r="U42" s="2">
        <f t="shared" si="96"/>
        <v>-713</v>
      </c>
      <c r="V42" s="2">
        <f t="shared" si="96"/>
        <v>-713</v>
      </c>
      <c r="AG42" s="2">
        <v>-1600</v>
      </c>
      <c r="AH42" s="2">
        <v>-1647</v>
      </c>
      <c r="AI42" s="2">
        <v>-1809</v>
      </c>
      <c r="AJ42" s="2">
        <v>-2367</v>
      </c>
      <c r="AK42" s="2">
        <v>-3182</v>
      </c>
      <c r="AL42" s="2">
        <f t="shared" si="68"/>
        <v>-2852</v>
      </c>
      <c r="AM42" s="2">
        <f t="shared" ref="AM42" si="97">+AM$40*(AL42/AL$40)</f>
        <v>-3269.1039316854999</v>
      </c>
      <c r="AN42" s="2">
        <f t="shared" ref="AN42" si="98">+AN$40*(AM42/AM$40)</f>
        <v>-3604.8159131467987</v>
      </c>
      <c r="AO42" s="2">
        <f t="shared" ref="AO42" si="99">+AO$40*(AN42/AN$40)</f>
        <v>-3975.5401271874989</v>
      </c>
      <c r="AP42" s="2">
        <f t="shared" ref="AP42" si="100">+AP$40*(AO42/AO$40)</f>
        <v>-4384.9918460578683</v>
      </c>
      <c r="AQ42" s="2">
        <f t="shared" ref="AQ42" si="101">+AQ$40*(AP42/AP$40)</f>
        <v>-4837.2880999085819</v>
      </c>
      <c r="AR42" s="2">
        <f t="shared" ref="AR42" si="102">+AR$40*(AQ42/AQ$40)</f>
        <v>-5336.9919989562632</v>
      </c>
      <c r="AS42" s="2">
        <f t="shared" ref="AS42" si="103">+AS$40*(AR42/AR$40)</f>
        <v>-5889.1620463690251</v>
      </c>
      <c r="AT42" s="2">
        <f t="shared" ref="AT42" si="104">+AT$40*(AS42/AS$40)</f>
        <v>-6499.4070153027014</v>
      </c>
      <c r="AU42" s="2">
        <f t="shared" ref="AU42" si="105">+AU$40*(AT42/AT$40)</f>
        <v>-7173.9470306849353</v>
      </c>
    </row>
    <row r="43" spans="2:288" x14ac:dyDescent="0.2">
      <c r="B43" s="10" t="s">
        <v>31</v>
      </c>
      <c r="C43" s="2">
        <v>-406</v>
      </c>
      <c r="D43" s="2">
        <v>646</v>
      </c>
      <c r="E43" s="2">
        <v>925</v>
      </c>
      <c r="F43" s="2">
        <v>1206</v>
      </c>
      <c r="G43" s="2">
        <v>1697</v>
      </c>
      <c r="H43" s="2">
        <v>1261</v>
      </c>
      <c r="I43" s="2">
        <v>-163</v>
      </c>
      <c r="J43" s="2">
        <f t="shared" si="63"/>
        <v>11838</v>
      </c>
      <c r="K43" s="2">
        <v>-8570</v>
      </c>
      <c r="L43" s="2">
        <v>-5545</v>
      </c>
      <c r="M43" s="2">
        <v>759</v>
      </c>
      <c r="N43" s="2">
        <v>-3450</v>
      </c>
      <c r="O43" s="2">
        <v>-443</v>
      </c>
      <c r="P43" s="2">
        <v>61</v>
      </c>
      <c r="Q43" s="2">
        <v>1031</v>
      </c>
      <c r="R43" s="2">
        <v>289</v>
      </c>
      <c r="S43" s="2">
        <f t="shared" si="96"/>
        <v>289</v>
      </c>
      <c r="T43" s="2">
        <f t="shared" si="96"/>
        <v>289</v>
      </c>
      <c r="U43" s="2">
        <f t="shared" si="96"/>
        <v>289</v>
      </c>
      <c r="V43" s="2">
        <f t="shared" si="96"/>
        <v>289</v>
      </c>
      <c r="AG43" s="2">
        <v>203</v>
      </c>
      <c r="AH43" s="2">
        <v>2371</v>
      </c>
      <c r="AI43" s="2">
        <v>14633</v>
      </c>
      <c r="AJ43" s="2">
        <v>-16806</v>
      </c>
      <c r="AK43" s="2">
        <v>938</v>
      </c>
      <c r="AL43" s="2">
        <f t="shared" si="68"/>
        <v>1156</v>
      </c>
      <c r="AM43" s="2">
        <f>+AL43</f>
        <v>1156</v>
      </c>
      <c r="AN43" s="2">
        <f t="shared" ref="AN43:AU43" si="106">+AM43</f>
        <v>1156</v>
      </c>
      <c r="AO43" s="2">
        <f t="shared" si="106"/>
        <v>1156</v>
      </c>
      <c r="AP43" s="2">
        <f t="shared" si="106"/>
        <v>1156</v>
      </c>
      <c r="AQ43" s="2">
        <f t="shared" si="106"/>
        <v>1156</v>
      </c>
      <c r="AR43" s="2">
        <f t="shared" si="106"/>
        <v>1156</v>
      </c>
      <c r="AS43" s="2">
        <f t="shared" si="106"/>
        <v>1156</v>
      </c>
      <c r="AT43" s="2">
        <f t="shared" si="106"/>
        <v>1156</v>
      </c>
      <c r="AU43" s="2">
        <f t="shared" si="106"/>
        <v>1156</v>
      </c>
    </row>
    <row r="44" spans="2:288" x14ac:dyDescent="0.2">
      <c r="B44" s="10" t="s">
        <v>32</v>
      </c>
      <c r="C44" s="2">
        <f t="shared" ref="C44:I44" si="107">+SUM(C41:C43)</f>
        <v>-606</v>
      </c>
      <c r="D44" s="2">
        <f t="shared" si="107"/>
        <v>378</v>
      </c>
      <c r="E44" s="2">
        <f t="shared" si="107"/>
        <v>615</v>
      </c>
      <c r="F44" s="2">
        <f t="shared" si="107"/>
        <v>892</v>
      </c>
      <c r="G44" s="2">
        <f t="shared" si="107"/>
        <v>1403</v>
      </c>
      <c r="H44" s="2">
        <f t="shared" si="107"/>
        <v>932</v>
      </c>
      <c r="I44" s="2">
        <f t="shared" si="107"/>
        <v>-537</v>
      </c>
      <c r="J44" s="2">
        <f t="shared" si="63"/>
        <v>11474</v>
      </c>
      <c r="K44" s="2">
        <f t="shared" ref="K44:R44" si="108">+SUM(K41:K43)</f>
        <v>-8934</v>
      </c>
      <c r="L44" s="2">
        <f t="shared" si="108"/>
        <v>-5970</v>
      </c>
      <c r="M44" s="2">
        <f t="shared" si="108"/>
        <v>419</v>
      </c>
      <c r="N44" s="2">
        <f t="shared" si="108"/>
        <v>-3699</v>
      </c>
      <c r="O44" s="2">
        <f t="shared" si="108"/>
        <v>-655</v>
      </c>
      <c r="P44" s="2">
        <f t="shared" si="108"/>
        <v>-118</v>
      </c>
      <c r="Q44" s="2">
        <f t="shared" si="108"/>
        <v>1001</v>
      </c>
      <c r="R44" s="2">
        <f t="shared" si="108"/>
        <v>477</v>
      </c>
      <c r="S44" s="2">
        <f t="shared" si="96"/>
        <v>477</v>
      </c>
      <c r="T44" s="2">
        <f t="shared" si="96"/>
        <v>477</v>
      </c>
      <c r="U44" s="2">
        <f t="shared" si="96"/>
        <v>477</v>
      </c>
      <c r="V44" s="2">
        <f t="shared" si="96"/>
        <v>477</v>
      </c>
      <c r="AG44" s="2">
        <f>+SUM(AG41:AG43)</f>
        <v>-565</v>
      </c>
      <c r="AH44" s="2">
        <f>+SUM(AH41:AH43)</f>
        <v>1279</v>
      </c>
      <c r="AI44" s="2">
        <f>+SUM(AI41:AI43)</f>
        <v>13272</v>
      </c>
      <c r="AJ44" s="2">
        <f>+SUM(AJ41:AJ43)</f>
        <v>-18184</v>
      </c>
      <c r="AK44" s="2">
        <f>+SUM(AK41:AK43)</f>
        <v>705</v>
      </c>
      <c r="AL44" s="2">
        <f t="shared" si="68"/>
        <v>1908</v>
      </c>
      <c r="AM44" s="2">
        <f t="shared" ref="AM44" si="109">+SUM(AM41:AM43)</f>
        <v>-2272.8641902413624</v>
      </c>
      <c r="AN44" s="2">
        <f t="shared" ref="AN44:AU44" si="110">+SUM(AN41:AN43)</f>
        <v>-2059.1851592570188</v>
      </c>
      <c r="AO44" s="2">
        <f t="shared" si="110"/>
        <v>-1818.8942414202397</v>
      </c>
      <c r="AP44" s="2">
        <f t="shared" si="110"/>
        <v>-1549.2293961967735</v>
      </c>
      <c r="AQ44" s="2">
        <f t="shared" si="110"/>
        <v>-1247.1437303866892</v>
      </c>
      <c r="AR44" s="2">
        <f t="shared" si="110"/>
        <v>-909.2757333617742</v>
      </c>
      <c r="AS44" s="2">
        <f t="shared" si="110"/>
        <v>-531.91634904300827</v>
      </c>
      <c r="AT44" s="2">
        <f t="shared" si="110"/>
        <v>-110.97254209489984</v>
      </c>
      <c r="AU44" s="2">
        <f t="shared" si="110"/>
        <v>358.07302201885159</v>
      </c>
    </row>
    <row r="45" spans="2:288" x14ac:dyDescent="0.2">
      <c r="B45" s="10" t="s">
        <v>33</v>
      </c>
      <c r="C45" s="2">
        <f t="shared" ref="C45:I45" si="111">+C40+C44</f>
        <v>3383</v>
      </c>
      <c r="D45" s="2">
        <f t="shared" si="111"/>
        <v>6221</v>
      </c>
      <c r="E45" s="2">
        <f t="shared" si="111"/>
        <v>6809</v>
      </c>
      <c r="F45" s="2">
        <f t="shared" si="111"/>
        <v>7765</v>
      </c>
      <c r="G45" s="2">
        <f t="shared" si="111"/>
        <v>10268</v>
      </c>
      <c r="H45" s="2">
        <f t="shared" si="111"/>
        <v>8634</v>
      </c>
      <c r="I45" s="2">
        <f t="shared" si="111"/>
        <v>4315</v>
      </c>
      <c r="J45" s="2">
        <f t="shared" si="63"/>
        <v>14934</v>
      </c>
      <c r="K45" s="2">
        <f t="shared" ref="K45:S45" si="112">+K40+K44</f>
        <v>-5265</v>
      </c>
      <c r="L45" s="2">
        <f t="shared" si="112"/>
        <v>-2653</v>
      </c>
      <c r="M45" s="2">
        <f t="shared" si="112"/>
        <v>2944</v>
      </c>
      <c r="N45" s="2">
        <f t="shared" si="112"/>
        <v>-962</v>
      </c>
      <c r="O45" s="2">
        <f t="shared" si="112"/>
        <v>4119</v>
      </c>
      <c r="P45" s="2">
        <f t="shared" si="112"/>
        <v>7563</v>
      </c>
      <c r="Q45" s="2">
        <f t="shared" si="112"/>
        <v>12189</v>
      </c>
      <c r="R45" s="2">
        <f t="shared" si="112"/>
        <v>13686</v>
      </c>
      <c r="S45" s="2">
        <f t="shared" si="112"/>
        <v>11263.290758980394</v>
      </c>
      <c r="T45" s="2">
        <f t="shared" ref="T45:V45" si="113">+S45</f>
        <v>11263.290758980394</v>
      </c>
      <c r="U45" s="2">
        <f t="shared" si="113"/>
        <v>11263.290758980394</v>
      </c>
      <c r="V45" s="2">
        <f t="shared" si="113"/>
        <v>11263.290758980394</v>
      </c>
      <c r="AG45" s="2">
        <f>+AG40+AG44</f>
        <v>13976</v>
      </c>
      <c r="AH45" s="2">
        <f>+AH40+AH44</f>
        <v>24178</v>
      </c>
      <c r="AI45" s="2">
        <f>+AI40+AI44</f>
        <v>38151</v>
      </c>
      <c r="AJ45" s="2">
        <f>+AJ40+AJ44</f>
        <v>-5936</v>
      </c>
      <c r="AK45" s="2">
        <f>+AK40+AK44</f>
        <v>37557</v>
      </c>
      <c r="AL45" s="2">
        <f t="shared" si="68"/>
        <v>45053.163035921578</v>
      </c>
      <c r="AM45" s="2">
        <f t="shared" ref="AM45:AS45" si="114">+AM40+AM44</f>
        <v>47182.262778181888</v>
      </c>
      <c r="AN45" s="2">
        <f t="shared" si="114"/>
        <v>52474.605264025988</v>
      </c>
      <c r="AO45" s="2">
        <f t="shared" si="114"/>
        <v>58323.226005197233</v>
      </c>
      <c r="AP45" s="2">
        <f t="shared" si="114"/>
        <v>64787.091820266571</v>
      </c>
      <c r="AQ45" s="2">
        <f t="shared" si="114"/>
        <v>71931.532189065998</v>
      </c>
      <c r="AR45" s="2">
        <f t="shared" si="114"/>
        <v>79828.939524834917</v>
      </c>
      <c r="AS45" s="2">
        <f t="shared" si="114"/>
        <v>88559.548109425828</v>
      </c>
      <c r="AT45" s="2">
        <f t="shared" ref="AT45:AU45" si="115">+AT40+AT44</f>
        <v>98212.300708973649</v>
      </c>
      <c r="AU45" s="2">
        <f t="shared" si="115"/>
        <v>108885.81294136212</v>
      </c>
    </row>
    <row r="46" spans="2:288" x14ac:dyDescent="0.2">
      <c r="B46" s="10" t="s">
        <v>34</v>
      </c>
      <c r="C46" s="2">
        <v>-744</v>
      </c>
      <c r="D46" s="2">
        <v>-984</v>
      </c>
      <c r="E46" s="2">
        <v>-569</v>
      </c>
      <c r="F46" s="2">
        <v>-566</v>
      </c>
      <c r="G46" s="2">
        <v>-2156</v>
      </c>
      <c r="H46" s="2">
        <v>-868</v>
      </c>
      <c r="I46" s="2">
        <v>-1155</v>
      </c>
      <c r="J46" s="2">
        <f t="shared" si="63"/>
        <v>-612</v>
      </c>
      <c r="K46" s="2">
        <v>1422</v>
      </c>
      <c r="L46" s="2">
        <v>637</v>
      </c>
      <c r="M46" s="2">
        <v>-69</v>
      </c>
      <c r="N46" s="2">
        <v>1227</v>
      </c>
      <c r="O46" s="2">
        <v>-948</v>
      </c>
      <c r="P46" s="2">
        <v>-804</v>
      </c>
      <c r="Q46" s="2">
        <v>-2306</v>
      </c>
      <c r="R46" s="2">
        <v>-3062</v>
      </c>
      <c r="S46" s="2">
        <f>+S45*(R46/R45)</f>
        <v>-2519.9617349114396</v>
      </c>
      <c r="T46" s="2">
        <f t="shared" ref="T46:V46" si="116">+S46</f>
        <v>-2519.9617349114396</v>
      </c>
      <c r="U46" s="2">
        <f t="shared" si="116"/>
        <v>-2519.9617349114396</v>
      </c>
      <c r="V46" s="2">
        <f t="shared" si="116"/>
        <v>-2519.9617349114396</v>
      </c>
      <c r="AG46" s="2">
        <v>-2374</v>
      </c>
      <c r="AH46" s="2">
        <v>-2863</v>
      </c>
      <c r="AI46" s="2">
        <v>-4791</v>
      </c>
      <c r="AJ46" s="2">
        <v>3217</v>
      </c>
      <c r="AK46" s="2">
        <v>-7120</v>
      </c>
      <c r="AL46" s="2">
        <f t="shared" si="68"/>
        <v>-10079.846939645759</v>
      </c>
      <c r="AM46" s="2">
        <f>+AM45*(AL46/AL45)</f>
        <v>-10556.195281805707</v>
      </c>
      <c r="AN46" s="2">
        <f t="shared" ref="AN46:AU46" si="117">+AN45*(AM46/AM45)</f>
        <v>-11740.263138860699</v>
      </c>
      <c r="AO46" s="2">
        <f t="shared" si="117"/>
        <v>-13048.788398941537</v>
      </c>
      <c r="AP46" s="2">
        <f t="shared" si="117"/>
        <v>-14494.963842880037</v>
      </c>
      <c r="AQ46" s="2">
        <f t="shared" si="117"/>
        <v>-16093.405784226217</v>
      </c>
      <c r="AR46" s="2">
        <f t="shared" si="117"/>
        <v>-17860.310742733043</v>
      </c>
      <c r="AS46" s="2">
        <f t="shared" si="117"/>
        <v>-19813.629717306867</v>
      </c>
      <c r="AT46" s="2">
        <f t="shared" si="117"/>
        <v>-21973.26207590802</v>
      </c>
      <c r="AU46" s="2">
        <f t="shared" si="117"/>
        <v>-24361.271315683956</v>
      </c>
    </row>
    <row r="47" spans="2:288" x14ac:dyDescent="0.2">
      <c r="B47" s="10" t="s">
        <v>36</v>
      </c>
      <c r="C47" s="2">
        <v>-104</v>
      </c>
      <c r="D47" s="2">
        <v>6</v>
      </c>
      <c r="E47" s="2">
        <v>91</v>
      </c>
      <c r="F47" s="2">
        <v>23</v>
      </c>
      <c r="G47" s="2">
        <v>-5</v>
      </c>
      <c r="H47" s="2">
        <v>12</v>
      </c>
      <c r="I47" s="2">
        <v>-4</v>
      </c>
      <c r="J47" s="2">
        <f t="shared" si="63"/>
        <v>1</v>
      </c>
      <c r="K47" s="2">
        <v>-1</v>
      </c>
      <c r="L47" s="2">
        <v>-12</v>
      </c>
      <c r="M47" s="2">
        <v>-3</v>
      </c>
      <c r="N47" s="2">
        <v>13</v>
      </c>
      <c r="O47" s="2">
        <v>1</v>
      </c>
      <c r="P47" s="2">
        <v>-9</v>
      </c>
      <c r="Q47" s="2">
        <v>-4</v>
      </c>
      <c r="R47" s="2">
        <v>0</v>
      </c>
      <c r="AG47" s="2">
        <v>-14</v>
      </c>
      <c r="AH47" s="2">
        <v>16</v>
      </c>
      <c r="AI47" s="2">
        <v>4</v>
      </c>
      <c r="AJ47" s="2">
        <v>-3</v>
      </c>
      <c r="AK47" s="2">
        <v>-12</v>
      </c>
      <c r="AL47" s="2">
        <f t="shared" si="68"/>
        <v>0</v>
      </c>
    </row>
    <row r="48" spans="2:288" x14ac:dyDescent="0.2">
      <c r="B48" s="10" t="s">
        <v>35</v>
      </c>
      <c r="C48" s="2">
        <f t="shared" ref="C48:I48" si="118">+SUM(C45:C47)</f>
        <v>2535</v>
      </c>
      <c r="D48" s="2">
        <f t="shared" si="118"/>
        <v>5243</v>
      </c>
      <c r="E48" s="2">
        <f t="shared" si="118"/>
        <v>6331</v>
      </c>
      <c r="F48" s="2">
        <f t="shared" si="118"/>
        <v>7222</v>
      </c>
      <c r="G48" s="2">
        <f t="shared" si="118"/>
        <v>8107</v>
      </c>
      <c r="H48" s="2">
        <f t="shared" si="118"/>
        <v>7778</v>
      </c>
      <c r="I48" s="2">
        <f t="shared" si="118"/>
        <v>3156</v>
      </c>
      <c r="J48" s="2">
        <f t="shared" si="63"/>
        <v>14323</v>
      </c>
      <c r="K48" s="2">
        <f t="shared" ref="K48:S48" si="119">+SUM(K45:K47)</f>
        <v>-3844</v>
      </c>
      <c r="L48" s="2">
        <f t="shared" si="119"/>
        <v>-2028</v>
      </c>
      <c r="M48" s="2">
        <f t="shared" si="119"/>
        <v>2872</v>
      </c>
      <c r="N48" s="2">
        <f t="shared" si="119"/>
        <v>278</v>
      </c>
      <c r="O48" s="2">
        <f t="shared" si="119"/>
        <v>3172</v>
      </c>
      <c r="P48" s="2">
        <f t="shared" si="119"/>
        <v>6750</v>
      </c>
      <c r="Q48" s="2">
        <f t="shared" si="119"/>
        <v>9879</v>
      </c>
      <c r="R48" s="2">
        <f t="shared" si="119"/>
        <v>10624</v>
      </c>
      <c r="S48" s="2">
        <f t="shared" si="119"/>
        <v>8743.3290240689548</v>
      </c>
      <c r="T48" s="2">
        <f t="shared" ref="T48:V48" si="120">+S48</f>
        <v>8743.3290240689548</v>
      </c>
      <c r="U48" s="2">
        <f t="shared" si="120"/>
        <v>8743.3290240689548</v>
      </c>
      <c r="V48" s="2">
        <f t="shared" si="120"/>
        <v>8743.3290240689548</v>
      </c>
      <c r="AG48" s="2">
        <f>+SUM(AG45:AG47)</f>
        <v>11588</v>
      </c>
      <c r="AH48" s="2">
        <f>+SUM(AH45:AH47)</f>
        <v>21331</v>
      </c>
      <c r="AI48" s="2">
        <f>+SUM(AI45:AI47)</f>
        <v>33364</v>
      </c>
      <c r="AJ48" s="2">
        <f>+SUM(AJ45:AJ47)</f>
        <v>-2722</v>
      </c>
      <c r="AK48" s="2">
        <f>+SUM(AK45:AK47)</f>
        <v>30425</v>
      </c>
      <c r="AL48" s="2">
        <f t="shared" si="68"/>
        <v>34973.316096275819</v>
      </c>
      <c r="AM48" s="2">
        <f t="shared" ref="AM48:AS48" si="121">+SUM(AM45:AM47)</f>
        <v>36626.067496376185</v>
      </c>
      <c r="AN48" s="2">
        <f>+SUM(AN45:AN47)</f>
        <v>40734.342125165291</v>
      </c>
      <c r="AO48" s="2">
        <f t="shared" si="121"/>
        <v>45274.437606255698</v>
      </c>
      <c r="AP48" s="2">
        <f t="shared" si="121"/>
        <v>50292.127977386532</v>
      </c>
      <c r="AQ48" s="2">
        <f t="shared" si="121"/>
        <v>55838.126404839779</v>
      </c>
      <c r="AR48" s="2">
        <f t="shared" si="121"/>
        <v>61968.628782101878</v>
      </c>
      <c r="AS48" s="2">
        <f t="shared" si="121"/>
        <v>68745.918392118969</v>
      </c>
      <c r="AT48" s="2">
        <f t="shared" ref="AT48:AU48" si="122">+SUM(AT45:AT47)</f>
        <v>76239.038633065633</v>
      </c>
      <c r="AU48" s="2">
        <f t="shared" si="122"/>
        <v>84524.541625678161</v>
      </c>
      <c r="AV48" s="2">
        <f t="shared" ref="AV48:CA48" si="123">+AU48*(1+$BA$56)</f>
        <v>86215.032458191723</v>
      </c>
      <c r="AW48" s="2">
        <f t="shared" si="123"/>
        <v>87939.33310735556</v>
      </c>
      <c r="AX48" s="2">
        <f t="shared" si="123"/>
        <v>89698.119769502679</v>
      </c>
      <c r="AY48" s="2">
        <f t="shared" si="123"/>
        <v>91492.082164892738</v>
      </c>
      <c r="AZ48" s="2">
        <f t="shared" si="123"/>
        <v>93321.923808190593</v>
      </c>
      <c r="BA48" s="2">
        <f t="shared" si="123"/>
        <v>95188.3622843544</v>
      </c>
      <c r="BB48" s="2">
        <f t="shared" si="123"/>
        <v>97092.129530041493</v>
      </c>
      <c r="BC48" s="2">
        <f t="shared" si="123"/>
        <v>99033.972120642327</v>
      </c>
      <c r="BD48" s="2">
        <f t="shared" si="123"/>
        <v>101014.65156305517</v>
      </c>
      <c r="BE48" s="2">
        <f t="shared" si="123"/>
        <v>103034.94459431627</v>
      </c>
      <c r="BF48" s="2">
        <f t="shared" si="123"/>
        <v>105095.64348620259</v>
      </c>
      <c r="BG48" s="2">
        <f t="shared" si="123"/>
        <v>107197.55635592664</v>
      </c>
      <c r="BH48" s="2">
        <f t="shared" si="123"/>
        <v>109341.50748304518</v>
      </c>
      <c r="BI48" s="2">
        <f t="shared" si="123"/>
        <v>111528.33763270608</v>
      </c>
      <c r="BJ48" s="2">
        <f t="shared" si="123"/>
        <v>113758.90438536021</v>
      </c>
      <c r="BK48" s="2">
        <f t="shared" si="123"/>
        <v>116034.08247306741</v>
      </c>
      <c r="BL48" s="2">
        <f t="shared" si="123"/>
        <v>118354.76412252875</v>
      </c>
      <c r="BM48" s="2">
        <f t="shared" si="123"/>
        <v>120721.85940497933</v>
      </c>
      <c r="BN48" s="2">
        <f t="shared" si="123"/>
        <v>123136.29659307892</v>
      </c>
      <c r="BO48" s="2">
        <f t="shared" si="123"/>
        <v>125599.0225249405</v>
      </c>
      <c r="BP48" s="2">
        <f t="shared" si="123"/>
        <v>128111.00297543932</v>
      </c>
      <c r="BQ48" s="2">
        <f t="shared" si="123"/>
        <v>130673.22303494811</v>
      </c>
      <c r="BR48" s="2">
        <f t="shared" si="123"/>
        <v>133286.68749564709</v>
      </c>
      <c r="BS48" s="2">
        <f t="shared" si="123"/>
        <v>135952.42124556002</v>
      </c>
      <c r="BT48" s="2">
        <f t="shared" si="123"/>
        <v>138671.46967047121</v>
      </c>
      <c r="BU48" s="2">
        <f t="shared" si="123"/>
        <v>141444.89906388064</v>
      </c>
      <c r="BV48" s="2">
        <f t="shared" si="123"/>
        <v>144273.79704515825</v>
      </c>
      <c r="BW48" s="2">
        <f t="shared" si="123"/>
        <v>147159.27298606141</v>
      </c>
      <c r="BX48" s="2">
        <f t="shared" si="123"/>
        <v>150102.45844578263</v>
      </c>
      <c r="BY48" s="2">
        <f t="shared" si="123"/>
        <v>153104.50761469829</v>
      </c>
      <c r="BZ48" s="2">
        <f t="shared" si="123"/>
        <v>156166.59776699226</v>
      </c>
      <c r="CA48" s="2">
        <f t="shared" si="123"/>
        <v>159289.9297223321</v>
      </c>
      <c r="CB48" s="2">
        <f t="shared" ref="CB48:DG48" si="124">+CA48*(1+$BA$56)</f>
        <v>162475.72831677875</v>
      </c>
      <c r="CC48" s="2">
        <f t="shared" si="124"/>
        <v>165725.24288311432</v>
      </c>
      <c r="CD48" s="2">
        <f t="shared" si="124"/>
        <v>169039.7477407766</v>
      </c>
      <c r="CE48" s="2">
        <f t="shared" si="124"/>
        <v>172420.54269559213</v>
      </c>
      <c r="CF48" s="2">
        <f t="shared" si="124"/>
        <v>175868.95354950396</v>
      </c>
      <c r="CG48" s="2">
        <f t="shared" si="124"/>
        <v>179386.33262049404</v>
      </c>
      <c r="CH48" s="2">
        <f t="shared" si="124"/>
        <v>182974.05927290392</v>
      </c>
      <c r="CI48" s="2">
        <f t="shared" si="124"/>
        <v>186633.540458362</v>
      </c>
      <c r="CJ48" s="2">
        <f t="shared" si="124"/>
        <v>190366.21126752923</v>
      </c>
      <c r="CK48" s="2">
        <f t="shared" si="124"/>
        <v>194173.5354928798</v>
      </c>
      <c r="CL48" s="2">
        <f t="shared" si="124"/>
        <v>198057.00620273739</v>
      </c>
      <c r="CM48" s="2">
        <f t="shared" si="124"/>
        <v>202018.14632679214</v>
      </c>
      <c r="CN48" s="2">
        <f t="shared" si="124"/>
        <v>206058.50925332797</v>
      </c>
      <c r="CO48" s="2">
        <f t="shared" si="124"/>
        <v>210179.67943839452</v>
      </c>
      <c r="CP48" s="2">
        <f t="shared" si="124"/>
        <v>214383.27302716242</v>
      </c>
      <c r="CQ48" s="2">
        <f t="shared" si="124"/>
        <v>218670.93848770566</v>
      </c>
      <c r="CR48" s="2">
        <f t="shared" si="124"/>
        <v>223044.35725745978</v>
      </c>
      <c r="CS48" s="2">
        <f t="shared" si="124"/>
        <v>227505.24440260898</v>
      </c>
      <c r="CT48" s="2">
        <f t="shared" si="124"/>
        <v>232055.34929066116</v>
      </c>
      <c r="CU48" s="2">
        <f t="shared" si="124"/>
        <v>236696.4562764744</v>
      </c>
      <c r="CV48" s="2">
        <f t="shared" si="124"/>
        <v>241430.38540200389</v>
      </c>
      <c r="CW48" s="2">
        <f t="shared" si="124"/>
        <v>246258.99311004396</v>
      </c>
      <c r="CX48" s="2">
        <f t="shared" si="124"/>
        <v>251184.17297224485</v>
      </c>
      <c r="CY48" s="2">
        <f t="shared" si="124"/>
        <v>256207.85643168975</v>
      </c>
      <c r="CZ48" s="2">
        <f t="shared" si="124"/>
        <v>261332.01356032354</v>
      </c>
      <c r="DA48" s="2">
        <f t="shared" si="124"/>
        <v>266558.65383153001</v>
      </c>
      <c r="DB48" s="2">
        <f t="shared" si="124"/>
        <v>271889.82690816064</v>
      </c>
      <c r="DC48" s="2">
        <f t="shared" si="124"/>
        <v>277327.62344632385</v>
      </c>
      <c r="DD48" s="2">
        <f t="shared" si="124"/>
        <v>282874.17591525032</v>
      </c>
      <c r="DE48" s="2">
        <f t="shared" si="124"/>
        <v>288531.65943355532</v>
      </c>
      <c r="DF48" s="2">
        <f t="shared" si="124"/>
        <v>294302.29262222641</v>
      </c>
      <c r="DG48" s="2">
        <f t="shared" si="124"/>
        <v>300188.33847467095</v>
      </c>
      <c r="DH48" s="2">
        <f t="shared" ref="DH48:EM48" si="125">+DG48*(1+$BA$56)</f>
        <v>306192.10524416436</v>
      </c>
      <c r="DI48" s="2">
        <f t="shared" si="125"/>
        <v>312315.94734904764</v>
      </c>
      <c r="DJ48" s="2">
        <f t="shared" si="125"/>
        <v>318562.26629602857</v>
      </c>
      <c r="DK48" s="2">
        <f t="shared" si="125"/>
        <v>324933.51162194915</v>
      </c>
      <c r="DL48" s="2">
        <f t="shared" si="125"/>
        <v>331432.18185438815</v>
      </c>
      <c r="DM48" s="2">
        <f t="shared" si="125"/>
        <v>338060.82549147593</v>
      </c>
      <c r="DN48" s="2">
        <f t="shared" si="125"/>
        <v>344822.04200130544</v>
      </c>
      <c r="DO48" s="2">
        <f t="shared" si="125"/>
        <v>351718.48284133157</v>
      </c>
      <c r="DP48" s="2">
        <f t="shared" si="125"/>
        <v>358752.85249815823</v>
      </c>
      <c r="DQ48" s="2">
        <f t="shared" si="125"/>
        <v>365927.90954812139</v>
      </c>
      <c r="DR48" s="2">
        <f t="shared" si="125"/>
        <v>373246.4677390838</v>
      </c>
      <c r="DS48" s="2">
        <f t="shared" si="125"/>
        <v>380711.3970938655</v>
      </c>
      <c r="DT48" s="2">
        <f t="shared" si="125"/>
        <v>388325.62503574282</v>
      </c>
      <c r="DU48" s="2">
        <f t="shared" si="125"/>
        <v>396092.13753645768</v>
      </c>
      <c r="DV48" s="2">
        <f t="shared" si="125"/>
        <v>404013.98028718686</v>
      </c>
      <c r="DW48" s="2">
        <f t="shared" si="125"/>
        <v>412094.25989293063</v>
      </c>
      <c r="DX48" s="2">
        <f t="shared" si="125"/>
        <v>420336.14509078924</v>
      </c>
      <c r="DY48" s="2">
        <f t="shared" si="125"/>
        <v>428742.86799260502</v>
      </c>
      <c r="DZ48" s="2">
        <f t="shared" si="125"/>
        <v>437317.72535245714</v>
      </c>
      <c r="EA48" s="2">
        <f t="shared" si="125"/>
        <v>446064.07985950628</v>
      </c>
      <c r="EB48" s="2">
        <f t="shared" si="125"/>
        <v>454985.36145669641</v>
      </c>
      <c r="EC48" s="2">
        <f t="shared" si="125"/>
        <v>464085.06868583034</v>
      </c>
      <c r="ED48" s="2">
        <f t="shared" si="125"/>
        <v>473366.77005954698</v>
      </c>
      <c r="EE48" s="2">
        <f t="shared" si="125"/>
        <v>482834.10546073795</v>
      </c>
      <c r="EF48" s="2">
        <f t="shared" si="125"/>
        <v>492490.78756995272</v>
      </c>
      <c r="EG48" s="2">
        <f t="shared" si="125"/>
        <v>502340.60332135181</v>
      </c>
      <c r="EH48" s="2">
        <f t="shared" si="125"/>
        <v>512387.41538777883</v>
      </c>
      <c r="EI48" s="2">
        <f t="shared" si="125"/>
        <v>522635.1636955344</v>
      </c>
      <c r="EJ48" s="2">
        <f t="shared" si="125"/>
        <v>533087.86696944514</v>
      </c>
      <c r="EK48" s="2">
        <f t="shared" si="125"/>
        <v>543749.62430883409</v>
      </c>
      <c r="EL48" s="2">
        <f t="shared" si="125"/>
        <v>554624.61679501075</v>
      </c>
      <c r="EM48" s="2">
        <f t="shared" si="125"/>
        <v>565717.10913091095</v>
      </c>
      <c r="EN48" s="2">
        <f t="shared" ref="EN48:FS48" si="126">+EM48*(1+$BA$56)</f>
        <v>577031.45131352916</v>
      </c>
      <c r="EO48" s="2">
        <f t="shared" si="126"/>
        <v>588572.08033979975</v>
      </c>
      <c r="EP48" s="2">
        <f t="shared" si="126"/>
        <v>600343.52194659575</v>
      </c>
      <c r="EQ48" s="2">
        <f t="shared" si="126"/>
        <v>612350.39238552772</v>
      </c>
      <c r="ER48" s="2">
        <f t="shared" si="126"/>
        <v>624597.40023323824</v>
      </c>
      <c r="ES48" s="2">
        <f t="shared" si="126"/>
        <v>637089.34823790297</v>
      </c>
      <c r="ET48" s="2">
        <f t="shared" si="126"/>
        <v>649831.13520266104</v>
      </c>
      <c r="EU48" s="2">
        <f t="shared" si="126"/>
        <v>662827.75790671422</v>
      </c>
      <c r="EV48" s="2">
        <f t="shared" si="126"/>
        <v>676084.31306484854</v>
      </c>
      <c r="EW48" s="2">
        <f t="shared" si="126"/>
        <v>689605.99932614551</v>
      </c>
      <c r="EX48" s="2">
        <f t="shared" si="126"/>
        <v>703398.11931266845</v>
      </c>
      <c r="EY48" s="2">
        <f t="shared" si="126"/>
        <v>717466.08169892186</v>
      </c>
      <c r="EZ48" s="2">
        <f t="shared" si="126"/>
        <v>731815.40333290026</v>
      </c>
      <c r="FA48" s="2">
        <f t="shared" si="126"/>
        <v>746451.71139955823</v>
      </c>
      <c r="FB48" s="2">
        <f t="shared" si="126"/>
        <v>761380.74562754936</v>
      </c>
      <c r="FC48" s="2">
        <f t="shared" si="126"/>
        <v>776608.36054010037</v>
      </c>
      <c r="FD48" s="2">
        <f t="shared" si="126"/>
        <v>792140.52775090234</v>
      </c>
      <c r="FE48" s="2">
        <f t="shared" si="126"/>
        <v>807983.33830592036</v>
      </c>
      <c r="FF48" s="2">
        <f t="shared" si="126"/>
        <v>824143.00507203874</v>
      </c>
      <c r="FG48" s="2">
        <f t="shared" si="126"/>
        <v>840625.86517347954</v>
      </c>
      <c r="FH48" s="2">
        <f t="shared" si="126"/>
        <v>857438.38247694913</v>
      </c>
      <c r="FI48" s="2">
        <f t="shared" si="126"/>
        <v>874587.15012648818</v>
      </c>
      <c r="FJ48" s="2">
        <f t="shared" si="126"/>
        <v>892078.8931290179</v>
      </c>
      <c r="FK48" s="2">
        <f t="shared" si="126"/>
        <v>909920.47099159833</v>
      </c>
      <c r="FL48" s="2">
        <f t="shared" si="126"/>
        <v>928118.88041143026</v>
      </c>
      <c r="FM48" s="2">
        <f t="shared" si="126"/>
        <v>946681.25801965885</v>
      </c>
      <c r="FN48" s="2">
        <f t="shared" si="126"/>
        <v>965614.88318005204</v>
      </c>
      <c r="FO48" s="2">
        <f t="shared" si="126"/>
        <v>984927.18084365316</v>
      </c>
      <c r="FP48" s="2">
        <f t="shared" si="126"/>
        <v>1004625.7244605263</v>
      </c>
      <c r="FQ48" s="2">
        <f t="shared" si="126"/>
        <v>1024718.2389497368</v>
      </c>
      <c r="FR48" s="2">
        <f t="shared" si="126"/>
        <v>1045212.6037287315</v>
      </c>
      <c r="FS48" s="2">
        <f t="shared" si="126"/>
        <v>1066116.8558033062</v>
      </c>
      <c r="FT48" s="2">
        <f t="shared" ref="FT48:GY48" si="127">+FS48*(1+$BA$56)</f>
        <v>1087439.1929193723</v>
      </c>
      <c r="FU48" s="2">
        <f t="shared" si="127"/>
        <v>1109187.9767777598</v>
      </c>
      <c r="FV48" s="2">
        <f t="shared" si="127"/>
        <v>1131371.7363133151</v>
      </c>
      <c r="FW48" s="2">
        <f t="shared" si="127"/>
        <v>1153999.1710395815</v>
      </c>
      <c r="FX48" s="2">
        <f t="shared" si="127"/>
        <v>1177079.1544603731</v>
      </c>
      <c r="FY48" s="2">
        <f t="shared" si="127"/>
        <v>1200620.7375495806</v>
      </c>
      <c r="FZ48" s="2">
        <f t="shared" si="127"/>
        <v>1224633.1523005723</v>
      </c>
      <c r="GA48" s="2">
        <f t="shared" si="127"/>
        <v>1249125.8153465837</v>
      </c>
      <c r="GB48" s="2">
        <f t="shared" si="127"/>
        <v>1274108.3316535153</v>
      </c>
      <c r="GC48" s="2">
        <f t="shared" si="127"/>
        <v>1299590.4982865856</v>
      </c>
      <c r="GD48" s="2">
        <f t="shared" si="127"/>
        <v>1325582.3082523174</v>
      </c>
      <c r="GE48" s="2">
        <f t="shared" si="127"/>
        <v>1352093.9544173637</v>
      </c>
      <c r="GF48" s="2">
        <f t="shared" si="127"/>
        <v>1379135.8335057111</v>
      </c>
      <c r="GG48" s="2">
        <f t="shared" si="127"/>
        <v>1406718.5501758254</v>
      </c>
      <c r="GH48" s="2">
        <f t="shared" si="127"/>
        <v>1434852.9211793419</v>
      </c>
      <c r="GI48" s="2">
        <f t="shared" si="127"/>
        <v>1463549.9796029287</v>
      </c>
      <c r="GJ48" s="2">
        <f t="shared" si="127"/>
        <v>1492820.9791949873</v>
      </c>
      <c r="GK48" s="2">
        <f t="shared" si="127"/>
        <v>1522677.398778887</v>
      </c>
      <c r="GL48" s="2">
        <f t="shared" si="127"/>
        <v>1553130.9467544649</v>
      </c>
      <c r="GM48" s="2">
        <f t="shared" si="127"/>
        <v>1584193.5656895542</v>
      </c>
      <c r="GN48" s="2">
        <f t="shared" si="127"/>
        <v>1615877.4370033452</v>
      </c>
      <c r="GO48" s="2">
        <f t="shared" si="127"/>
        <v>1648194.985743412</v>
      </c>
      <c r="GP48" s="2">
        <f t="shared" si="127"/>
        <v>1681158.8854582803</v>
      </c>
      <c r="GQ48" s="2">
        <f t="shared" si="127"/>
        <v>1714782.0631674461</v>
      </c>
      <c r="GR48" s="2">
        <f t="shared" si="127"/>
        <v>1749077.704430795</v>
      </c>
      <c r="GS48" s="2">
        <f t="shared" si="127"/>
        <v>1784059.2585194111</v>
      </c>
      <c r="GT48" s="2">
        <f t="shared" si="127"/>
        <v>1819740.4436897994</v>
      </c>
      <c r="GU48" s="2">
        <f t="shared" si="127"/>
        <v>1856135.2525635953</v>
      </c>
      <c r="GV48" s="2">
        <f t="shared" si="127"/>
        <v>1893257.9576148672</v>
      </c>
      <c r="GW48" s="2">
        <f t="shared" si="127"/>
        <v>1931123.1167671646</v>
      </c>
      <c r="GX48" s="2">
        <f t="shared" si="127"/>
        <v>1969745.5791025078</v>
      </c>
      <c r="GY48" s="2">
        <f t="shared" si="127"/>
        <v>2009140.4906845579</v>
      </c>
      <c r="GZ48" s="2">
        <f t="shared" ref="GZ48:IF48" si="128">+GY48*(1+$BA$56)</f>
        <v>2049323.3004982492</v>
      </c>
      <c r="HA48" s="2">
        <f t="shared" si="128"/>
        <v>2090309.7665082142</v>
      </c>
      <c r="HB48" s="2">
        <f t="shared" si="128"/>
        <v>2132115.9618383786</v>
      </c>
      <c r="HC48" s="2">
        <f t="shared" si="128"/>
        <v>2174758.281075146</v>
      </c>
      <c r="HD48" s="2">
        <f t="shared" si="128"/>
        <v>2218253.4466966488</v>
      </c>
      <c r="HE48" s="2">
        <f t="shared" si="128"/>
        <v>2262618.5156305819</v>
      </c>
      <c r="HF48" s="2">
        <f t="shared" si="128"/>
        <v>2307870.8859431935</v>
      </c>
      <c r="HG48" s="2">
        <f t="shared" si="128"/>
        <v>2354028.3036620575</v>
      </c>
      <c r="HH48" s="2">
        <f t="shared" si="128"/>
        <v>2401108.8697352987</v>
      </c>
      <c r="HI48" s="2">
        <f t="shared" si="128"/>
        <v>2449131.0471300045</v>
      </c>
      <c r="HJ48" s="2">
        <f t="shared" si="128"/>
        <v>2498113.6680726046</v>
      </c>
      <c r="HK48" s="2">
        <f t="shared" si="128"/>
        <v>2548075.9414340565</v>
      </c>
      <c r="HL48" s="2">
        <f t="shared" si="128"/>
        <v>2599037.4602627377</v>
      </c>
      <c r="HM48" s="2">
        <f t="shared" si="128"/>
        <v>2651018.2094679927</v>
      </c>
      <c r="HN48" s="2">
        <f t="shared" si="128"/>
        <v>2704038.5736573525</v>
      </c>
      <c r="HO48" s="2">
        <f t="shared" si="128"/>
        <v>2758119.3451304995</v>
      </c>
      <c r="HP48" s="2">
        <f t="shared" si="128"/>
        <v>2813281.7320331093</v>
      </c>
      <c r="HQ48" s="2">
        <f t="shared" si="128"/>
        <v>2869547.3666737718</v>
      </c>
      <c r="HR48" s="2">
        <f t="shared" si="128"/>
        <v>2926938.3140072473</v>
      </c>
      <c r="HS48" s="2">
        <f t="shared" si="128"/>
        <v>2985477.0802873923</v>
      </c>
      <c r="HT48" s="2">
        <f t="shared" si="128"/>
        <v>3045186.62189314</v>
      </c>
      <c r="HU48" s="2">
        <f t="shared" si="128"/>
        <v>3106090.354331003</v>
      </c>
      <c r="HV48" s="2">
        <f t="shared" si="128"/>
        <v>3168212.1614176231</v>
      </c>
      <c r="HW48" s="2">
        <f t="shared" si="128"/>
        <v>3231576.4046459757</v>
      </c>
      <c r="HX48" s="2">
        <f t="shared" si="128"/>
        <v>3296207.9327388951</v>
      </c>
      <c r="HY48" s="2">
        <f t="shared" si="128"/>
        <v>3362132.0913936729</v>
      </c>
      <c r="HZ48" s="2">
        <f t="shared" si="128"/>
        <v>3429374.7332215463</v>
      </c>
      <c r="IA48" s="2">
        <f t="shared" si="128"/>
        <v>3497962.2278859774</v>
      </c>
      <c r="IB48" s="2">
        <f t="shared" si="128"/>
        <v>3567921.472443697</v>
      </c>
      <c r="IC48" s="2">
        <f t="shared" si="128"/>
        <v>3639279.9018925712</v>
      </c>
      <c r="ID48" s="2">
        <f t="shared" si="128"/>
        <v>3712065.4999304228</v>
      </c>
      <c r="IE48" s="2">
        <f t="shared" si="128"/>
        <v>3786306.8099290314</v>
      </c>
      <c r="IF48" s="2">
        <f t="shared" si="128"/>
        <v>3862032.9461276121</v>
      </c>
      <c r="IG48" s="2">
        <f t="shared" ref="IG48:KB48" si="129">+IF48*(1+$BA$56)</f>
        <v>3939273.6050501643</v>
      </c>
      <c r="IH48" s="2">
        <f t="shared" si="129"/>
        <v>4018059.0771511677</v>
      </c>
      <c r="II48" s="2">
        <f t="shared" si="129"/>
        <v>4098420.258694191</v>
      </c>
      <c r="IJ48" s="2">
        <f t="shared" si="129"/>
        <v>4180388.6638680748</v>
      </c>
      <c r="IK48" s="2">
        <f t="shared" si="129"/>
        <v>4263996.4371454362</v>
      </c>
      <c r="IL48" s="2">
        <f t="shared" si="129"/>
        <v>4349276.3658883451</v>
      </c>
      <c r="IM48" s="2">
        <f t="shared" si="129"/>
        <v>4436261.8932061121</v>
      </c>
      <c r="IN48" s="2">
        <f t="shared" si="129"/>
        <v>4524987.1310702348</v>
      </c>
      <c r="IO48" s="2">
        <f t="shared" si="129"/>
        <v>4615486.8736916399</v>
      </c>
      <c r="IP48" s="2">
        <f t="shared" si="129"/>
        <v>4707796.6111654723</v>
      </c>
      <c r="IQ48" s="2">
        <f t="shared" si="129"/>
        <v>4801952.5433887821</v>
      </c>
      <c r="IR48" s="2">
        <f t="shared" si="129"/>
        <v>4897991.5942565575</v>
      </c>
      <c r="IS48" s="2">
        <f t="shared" si="129"/>
        <v>4995951.4261416886</v>
      </c>
      <c r="IT48" s="2">
        <f t="shared" si="129"/>
        <v>5095870.4546645228</v>
      </c>
      <c r="IU48" s="2">
        <f t="shared" si="129"/>
        <v>5197787.8637578133</v>
      </c>
      <c r="IV48" s="2">
        <f t="shared" si="129"/>
        <v>5301743.62103297</v>
      </c>
      <c r="IW48" s="2">
        <f t="shared" si="129"/>
        <v>5407778.4934536293</v>
      </c>
      <c r="IX48" s="2">
        <f t="shared" si="129"/>
        <v>5515934.0633227024</v>
      </c>
      <c r="IY48" s="2">
        <f t="shared" si="129"/>
        <v>5626252.7445891565</v>
      </c>
      <c r="IZ48" s="2">
        <f t="shared" si="129"/>
        <v>5738777.7994809393</v>
      </c>
      <c r="JA48" s="2">
        <f t="shared" si="129"/>
        <v>5853553.3554705586</v>
      </c>
      <c r="JB48" s="2">
        <f t="shared" si="129"/>
        <v>5970624.4225799702</v>
      </c>
      <c r="JC48" s="2">
        <f t="shared" si="129"/>
        <v>6090036.9110315694</v>
      </c>
      <c r="JD48" s="2">
        <f t="shared" si="129"/>
        <v>6211837.6492522005</v>
      </c>
      <c r="JE48" s="2">
        <f t="shared" si="129"/>
        <v>6336074.4022372449</v>
      </c>
      <c r="JF48" s="2">
        <f t="shared" si="129"/>
        <v>6462795.8902819902</v>
      </c>
      <c r="JG48" s="2">
        <f t="shared" si="129"/>
        <v>6592051.8080876302</v>
      </c>
      <c r="JH48" s="2">
        <f t="shared" si="129"/>
        <v>6723892.8442493826</v>
      </c>
      <c r="JI48" s="2">
        <f t="shared" si="129"/>
        <v>6858370.7011343706</v>
      </c>
      <c r="JJ48" s="2">
        <f t="shared" si="129"/>
        <v>6995538.1151570585</v>
      </c>
      <c r="JK48" s="2">
        <f t="shared" si="129"/>
        <v>7135448.8774601994</v>
      </c>
      <c r="JL48" s="2">
        <f t="shared" si="129"/>
        <v>7278157.8550094031</v>
      </c>
      <c r="JM48" s="2">
        <f t="shared" si="129"/>
        <v>7423721.0121095916</v>
      </c>
      <c r="JN48" s="2">
        <f t="shared" si="129"/>
        <v>7572195.4323517838</v>
      </c>
      <c r="JO48" s="2">
        <f t="shared" si="129"/>
        <v>7723639.34099882</v>
      </c>
      <c r="JP48" s="2">
        <f t="shared" si="129"/>
        <v>7878112.1278187968</v>
      </c>
      <c r="JQ48" s="2">
        <f t="shared" si="129"/>
        <v>8035674.3703751732</v>
      </c>
      <c r="JR48" s="2">
        <f t="shared" si="129"/>
        <v>8196387.8577826768</v>
      </c>
      <c r="JS48" s="2">
        <f t="shared" si="129"/>
        <v>8360315.6149383308</v>
      </c>
      <c r="JT48" s="2">
        <f t="shared" si="129"/>
        <v>8527521.9272370972</v>
      </c>
      <c r="JU48" s="2">
        <f t="shared" si="129"/>
        <v>8698072.3657818399</v>
      </c>
      <c r="JV48" s="2">
        <f t="shared" si="129"/>
        <v>8872033.813097477</v>
      </c>
      <c r="JW48" s="2">
        <f t="shared" si="129"/>
        <v>9049474.4893594272</v>
      </c>
      <c r="JX48" s="2">
        <f t="shared" si="129"/>
        <v>9230463.9791466165</v>
      </c>
      <c r="JY48" s="2">
        <f t="shared" si="129"/>
        <v>9415073.2587295491</v>
      </c>
      <c r="JZ48" s="2">
        <f t="shared" si="129"/>
        <v>9603374.7239041403</v>
      </c>
      <c r="KA48" s="2">
        <f t="shared" si="129"/>
        <v>9795442.2183822226</v>
      </c>
      <c r="KB48" s="2">
        <f t="shared" si="129"/>
        <v>9991351.0627498664</v>
      </c>
    </row>
    <row r="49" spans="2:61" s="52" customFormat="1" x14ac:dyDescent="0.2">
      <c r="B49" s="51" t="s">
        <v>38</v>
      </c>
      <c r="C49" s="52">
        <v>5.01</v>
      </c>
      <c r="D49" s="52">
        <v>10.3</v>
      </c>
      <c r="E49" s="52">
        <v>12.37</v>
      </c>
      <c r="F49" s="52">
        <v>14.09</v>
      </c>
      <c r="G49" s="52">
        <v>15.79</v>
      </c>
      <c r="H49" s="52">
        <v>0.76</v>
      </c>
      <c r="I49" s="52">
        <v>0.31</v>
      </c>
      <c r="J49" s="52">
        <f t="shared" si="63"/>
        <v>47.95</v>
      </c>
      <c r="K49" s="52">
        <v>-7.56</v>
      </c>
      <c r="L49" s="52">
        <v>-0.2</v>
      </c>
      <c r="M49" s="52">
        <f>+M48/M50</f>
        <v>0.27799825767108705</v>
      </c>
      <c r="N49" s="52">
        <f>+N48/N50</f>
        <v>2.6969344198680637E-2</v>
      </c>
      <c r="O49" s="52">
        <v>0.31</v>
      </c>
      <c r="P49" s="52">
        <v>0.65</v>
      </c>
      <c r="Q49" s="52">
        <v>0.94</v>
      </c>
      <c r="R49" s="52">
        <v>1</v>
      </c>
      <c r="S49" s="52">
        <f>+S48/S50</f>
        <v>0.82297901205468327</v>
      </c>
      <c r="T49" s="2">
        <f t="shared" ref="T49:V49" si="130">+S49</f>
        <v>0.82297901205468327</v>
      </c>
      <c r="U49" s="2">
        <f t="shared" si="130"/>
        <v>0.82297901205468327</v>
      </c>
      <c r="V49" s="2">
        <f t="shared" si="130"/>
        <v>0.82297901205468327</v>
      </c>
      <c r="AG49" s="52">
        <v>23.01</v>
      </c>
      <c r="AH49" s="52">
        <v>41.83</v>
      </c>
      <c r="AI49" s="52">
        <v>64.81</v>
      </c>
      <c r="AJ49" s="52">
        <f>+AJ48/AJ50</f>
        <v>-0.2671508489547551</v>
      </c>
      <c r="AK49" s="52">
        <f>+AK48/AK50</f>
        <v>2.8998284407167367</v>
      </c>
      <c r="AL49" s="2">
        <f t="shared" si="68"/>
        <v>3.2919160482187331</v>
      </c>
      <c r="AM49" s="52">
        <f t="shared" ref="AM49:AU49" si="131">+AM48/AM50</f>
        <v>3.447483762836614</v>
      </c>
      <c r="AN49" s="52">
        <f t="shared" si="131"/>
        <v>3.8341812994319739</v>
      </c>
      <c r="AO49" s="52">
        <f t="shared" si="131"/>
        <v>4.2615246240828029</v>
      </c>
      <c r="AP49" s="52">
        <f t="shared" si="131"/>
        <v>4.7338222870280999</v>
      </c>
      <c r="AQ49" s="52">
        <f t="shared" si="131"/>
        <v>5.2558477414194069</v>
      </c>
      <c r="AR49" s="52">
        <f>+AR48/AR50</f>
        <v>5.8328905103635051</v>
      </c>
      <c r="AS49" s="52">
        <f t="shared" si="131"/>
        <v>6.470813101667825</v>
      </c>
      <c r="AT49" s="52">
        <f t="shared" si="131"/>
        <v>7.1761143291665697</v>
      </c>
      <c r="AU49" s="52">
        <f t="shared" si="131"/>
        <v>7.955999776513381</v>
      </c>
    </row>
    <row r="50" spans="2:61" x14ac:dyDescent="0.2">
      <c r="B50" s="10" t="s">
        <v>37</v>
      </c>
      <c r="C50" s="2">
        <f t="shared" ref="C50" si="132">+C48/C49</f>
        <v>505.98802395209583</v>
      </c>
      <c r="D50" s="2">
        <f t="shared" ref="D50:E50" si="133">+D48/D49</f>
        <v>509.02912621359218</v>
      </c>
      <c r="E50" s="2">
        <f t="shared" si="133"/>
        <v>511.80274858528702</v>
      </c>
      <c r="F50" s="2">
        <f t="shared" ref="F50" si="134">+F48/F49</f>
        <v>512.56210078069557</v>
      </c>
      <c r="G50" s="2">
        <f t="shared" ref="G50:L50" si="135">+G48/G49</f>
        <v>513.4262191260292</v>
      </c>
      <c r="H50" s="2">
        <f t="shared" si="135"/>
        <v>10234.21052631579</v>
      </c>
      <c r="I50" s="2">
        <f t="shared" si="135"/>
        <v>10180.645161290322</v>
      </c>
      <c r="J50" s="2">
        <f t="shared" si="135"/>
        <v>298.7069864442127</v>
      </c>
      <c r="K50" s="2">
        <f t="shared" si="135"/>
        <v>508.46560846560851</v>
      </c>
      <c r="L50" s="2">
        <f t="shared" si="135"/>
        <v>10140</v>
      </c>
      <c r="M50" s="2">
        <v>10331</v>
      </c>
      <c r="N50" s="2">
        <v>10308</v>
      </c>
      <c r="O50" s="2">
        <f t="shared" ref="O50:P50" si="136">+O48/O49</f>
        <v>10232.258064516129</v>
      </c>
      <c r="P50" s="2">
        <f t="shared" si="136"/>
        <v>10384.615384615385</v>
      </c>
      <c r="Q50" s="2">
        <f t="shared" ref="Q50:R50" si="137">+Q48/Q49</f>
        <v>10509.574468085108</v>
      </c>
      <c r="R50" s="2">
        <f t="shared" si="137"/>
        <v>10624</v>
      </c>
      <c r="S50" s="2">
        <f>+R50</f>
        <v>10624</v>
      </c>
      <c r="T50" s="2">
        <f t="shared" ref="T50:V50" si="138">+S50</f>
        <v>10624</v>
      </c>
      <c r="U50" s="2">
        <f t="shared" si="138"/>
        <v>10624</v>
      </c>
      <c r="V50" s="2">
        <f t="shared" si="138"/>
        <v>10624</v>
      </c>
      <c r="AG50" s="2">
        <f>+AG48/AG49</f>
        <v>503.60712733594085</v>
      </c>
      <c r="AH50" s="2">
        <f>+AH48/AH49</f>
        <v>509.9450155390868</v>
      </c>
      <c r="AI50" s="2">
        <f>+AI48/AI49</f>
        <v>514.79709921308438</v>
      </c>
      <c r="AJ50" s="2">
        <v>10189</v>
      </c>
      <c r="AK50" s="2">
        <v>10492</v>
      </c>
      <c r="AL50" s="2">
        <f>+AL48/AL49</f>
        <v>10624</v>
      </c>
      <c r="AM50" s="2">
        <f t="shared" ref="AM50:AS50" si="139">+AL50</f>
        <v>10624</v>
      </c>
      <c r="AN50" s="2">
        <f t="shared" si="139"/>
        <v>10624</v>
      </c>
      <c r="AO50" s="2">
        <f t="shared" si="139"/>
        <v>10624</v>
      </c>
      <c r="AP50" s="2">
        <f t="shared" si="139"/>
        <v>10624</v>
      </c>
      <c r="AQ50" s="2">
        <f t="shared" si="139"/>
        <v>10624</v>
      </c>
      <c r="AR50" s="2">
        <f t="shared" si="139"/>
        <v>10624</v>
      </c>
      <c r="AS50" s="2">
        <f t="shared" si="139"/>
        <v>10624</v>
      </c>
      <c r="AT50" s="2">
        <f t="shared" ref="AT50:AU50" si="140">+AS50</f>
        <v>10624</v>
      </c>
      <c r="AU50" s="2">
        <f t="shared" si="140"/>
        <v>10624</v>
      </c>
    </row>
    <row r="53" spans="2:61" x14ac:dyDescent="0.2">
      <c r="B53" s="10" t="s">
        <v>121</v>
      </c>
      <c r="C53" s="6">
        <f t="shared" ref="C53:R53" si="141">+ABS(C46/C45)</f>
        <v>0.21992314513745195</v>
      </c>
      <c r="D53" s="6">
        <f t="shared" si="141"/>
        <v>0.1581739270213792</v>
      </c>
      <c r="E53" s="6">
        <f t="shared" si="141"/>
        <v>8.3565868703186955E-2</v>
      </c>
      <c r="F53" s="6">
        <f t="shared" si="141"/>
        <v>7.2891178364455897E-2</v>
      </c>
      <c r="G53" s="6">
        <f t="shared" si="141"/>
        <v>0.20997273081417997</v>
      </c>
      <c r="H53" s="6">
        <f t="shared" si="141"/>
        <v>0.1005327773917072</v>
      </c>
      <c r="I53" s="6">
        <f t="shared" si="141"/>
        <v>0.26767091541135574</v>
      </c>
      <c r="J53" s="6">
        <f t="shared" si="141"/>
        <v>4.0980313378867012E-2</v>
      </c>
      <c r="K53" s="6">
        <f t="shared" si="141"/>
        <v>0.27008547008547007</v>
      </c>
      <c r="L53" s="6">
        <f t="shared" si="141"/>
        <v>0.24010554089709762</v>
      </c>
      <c r="M53" s="6">
        <f t="shared" si="141"/>
        <v>2.34375E-2</v>
      </c>
      <c r="N53" s="6">
        <f t="shared" si="141"/>
        <v>1.2754677754677755</v>
      </c>
      <c r="O53" s="6">
        <f t="shared" si="141"/>
        <v>0.23015294974508377</v>
      </c>
      <c r="P53" s="6">
        <f t="shared" si="141"/>
        <v>0.10630702102340341</v>
      </c>
      <c r="Q53" s="6">
        <f t="shared" si="141"/>
        <v>0.18918697185987365</v>
      </c>
      <c r="R53" s="6">
        <f t="shared" si="141"/>
        <v>0.22373228116323249</v>
      </c>
      <c r="S53" s="6"/>
      <c r="T53" s="6"/>
      <c r="U53" s="6"/>
      <c r="V53" s="6"/>
      <c r="W53" s="6"/>
      <c r="X53" s="6"/>
      <c r="Y53" s="6"/>
      <c r="Z53" s="6"/>
      <c r="AB53" s="6"/>
      <c r="AD53" s="6"/>
      <c r="AK53" s="6">
        <f>_xlfn.RRI(10,AA32,AK32)</f>
        <v>0.2267693184610482</v>
      </c>
      <c r="AU53" s="6">
        <f>_xlfn.RRI(10,AL32,AU32)</f>
        <v>9.3242625019669623E-2</v>
      </c>
    </row>
    <row r="54" spans="2:61" ht="16" thickBot="1" x14ac:dyDescent="0.25">
      <c r="AD54" s="6"/>
    </row>
    <row r="55" spans="2:61" s="6" customFormat="1" x14ac:dyDescent="0.2">
      <c r="B55" s="16" t="s">
        <v>41</v>
      </c>
      <c r="G55" s="6">
        <f t="shared" ref="G55:R57" si="142">+G30/C30-1</f>
        <v>0.37403503740350375</v>
      </c>
      <c r="H55" s="6">
        <f t="shared" si="142"/>
        <v>0.15444630204601539</v>
      </c>
      <c r="I55" s="6">
        <f t="shared" si="142"/>
        <v>3.9830219426232549E-2</v>
      </c>
      <c r="J55" s="6">
        <f t="shared" si="142"/>
        <v>5.0664264805224679E-3</v>
      </c>
      <c r="K55" s="6">
        <f t="shared" si="142"/>
        <v>-1.8020211859247515E-2</v>
      </c>
      <c r="L55" s="6">
        <f t="shared" si="142"/>
        <v>-2.4636231984001111E-2</v>
      </c>
      <c r="M55" s="6">
        <f t="shared" si="142"/>
        <v>8.1347036956046281E-2</v>
      </c>
      <c r="N55" s="24">
        <f t="shared" si="142"/>
        <v>-1.2392181023860194E-2</v>
      </c>
      <c r="O55" s="24">
        <f t="shared" si="142"/>
        <v>9.317155256398868E-3</v>
      </c>
      <c r="P55" s="24">
        <f t="shared" si="142"/>
        <v>4.342907644719407E-2</v>
      </c>
      <c r="Q55" s="24">
        <f t="shared" si="142"/>
        <v>6.4560161779575242E-2</v>
      </c>
      <c r="R55" s="24">
        <f t="shared" si="142"/>
        <v>8.7507620762501626E-2</v>
      </c>
      <c r="S55" s="24"/>
      <c r="T55" s="24"/>
      <c r="U55" s="24"/>
      <c r="V55" s="24"/>
      <c r="W55" s="24"/>
      <c r="X55" s="24"/>
      <c r="Y55" s="24"/>
      <c r="Z55" s="24"/>
      <c r="AH55" s="6">
        <f t="shared" ref="AH55:AI57" si="143">+AH30/AG30-1</f>
        <v>0.34603635728891335</v>
      </c>
      <c r="AI55" s="6">
        <f t="shared" si="143"/>
        <v>0.11982493110714865</v>
      </c>
      <c r="AZ55" s="29" t="s">
        <v>129</v>
      </c>
      <c r="BA55" s="30">
        <v>1.4999999999999999E-2</v>
      </c>
      <c r="BB55" s="31"/>
      <c r="BC55" s="31"/>
      <c r="BD55" s="31"/>
      <c r="BE55" s="31"/>
      <c r="BF55" s="31"/>
      <c r="BG55" s="31"/>
      <c r="BH55" s="31"/>
      <c r="BI55" s="32"/>
    </row>
    <row r="56" spans="2:61" s="6" customFormat="1" x14ac:dyDescent="0.2">
      <c r="B56" s="16" t="s">
        <v>42</v>
      </c>
      <c r="G56" s="6">
        <f t="shared" si="142"/>
        <v>0.5181636964089138</v>
      </c>
      <c r="H56" s="6">
        <f t="shared" si="142"/>
        <v>0.42433019551049966</v>
      </c>
      <c r="I56" s="6">
        <f t="shared" si="142"/>
        <v>0.28970971386410271</v>
      </c>
      <c r="J56" s="6">
        <f t="shared" si="142"/>
        <v>0.21095799922934355</v>
      </c>
      <c r="K56" s="6">
        <f t="shared" si="142"/>
        <v>0.17563250827993016</v>
      </c>
      <c r="L56" s="6">
        <f t="shared" si="142"/>
        <v>0.17399593289273008</v>
      </c>
      <c r="M56" s="6">
        <f t="shared" si="142"/>
        <v>0.21140231693363853</v>
      </c>
      <c r="N56" s="24">
        <f t="shared" si="142"/>
        <v>0.19208739923631746</v>
      </c>
      <c r="O56" s="24">
        <f t="shared" si="142"/>
        <v>0.17316508026471511</v>
      </c>
      <c r="P56" s="24">
        <f t="shared" si="142"/>
        <v>0.16535981069920669</v>
      </c>
      <c r="Q56" s="24">
        <f t="shared" si="142"/>
        <v>0.179321438585617</v>
      </c>
      <c r="R56" s="24">
        <f t="shared" si="142"/>
        <v>0.1853876170986235</v>
      </c>
      <c r="S56" s="24"/>
      <c r="T56" s="24"/>
      <c r="U56" s="24"/>
      <c r="V56" s="24"/>
      <c r="W56" s="24"/>
      <c r="X56" s="24"/>
      <c r="Y56" s="24"/>
      <c r="Z56" s="24"/>
      <c r="AH56" s="6">
        <f t="shared" si="143"/>
        <v>0.41656259886441216</v>
      </c>
      <c r="AI56" s="6">
        <f t="shared" si="143"/>
        <v>0.34020770030972858</v>
      </c>
      <c r="AZ56" s="33" t="s">
        <v>44</v>
      </c>
      <c r="BA56" s="41">
        <v>0.02</v>
      </c>
      <c r="BB56" s="67" t="s">
        <v>182</v>
      </c>
      <c r="BC56" s="67"/>
      <c r="BD56" s="67"/>
      <c r="BE56" s="67"/>
      <c r="BF56" s="67"/>
      <c r="BG56" s="67"/>
      <c r="BH56" s="67"/>
      <c r="BI56" s="68"/>
    </row>
    <row r="57" spans="2:61" s="8" customFormat="1" x14ac:dyDescent="0.2">
      <c r="B57" s="14" t="s">
        <v>40</v>
      </c>
      <c r="G57" s="8">
        <f t="shared" si="142"/>
        <v>0.43823888034777081</v>
      </c>
      <c r="H57" s="8">
        <f t="shared" si="142"/>
        <v>0.27181932697498645</v>
      </c>
      <c r="I57" s="8">
        <f t="shared" si="142"/>
        <v>0.15255083467679031</v>
      </c>
      <c r="J57" s="8">
        <f t="shared" si="142"/>
        <v>9.4436701047349692E-2</v>
      </c>
      <c r="K57" s="8">
        <f t="shared" si="142"/>
        <v>7.3038574245747334E-2</v>
      </c>
      <c r="L57" s="8">
        <f t="shared" si="142"/>
        <v>7.2108241952600016E-2</v>
      </c>
      <c r="M57" s="8">
        <f t="shared" si="142"/>
        <v>0.14699671515720314</v>
      </c>
      <c r="N57" s="23">
        <f t="shared" si="142"/>
        <v>8.5814921549791867E-2</v>
      </c>
      <c r="O57" s="23">
        <f t="shared" si="142"/>
        <v>9.3727456975026602E-2</v>
      </c>
      <c r="P57" s="23">
        <f t="shared" si="142"/>
        <v>0.10845967302901816</v>
      </c>
      <c r="Q57" s="23">
        <f t="shared" si="142"/>
        <v>0.125742519728405</v>
      </c>
      <c r="R57" s="23">
        <f t="shared" si="142"/>
        <v>0.13911825420230017</v>
      </c>
      <c r="S57" s="23">
        <f>+S32/O32-1</f>
        <v>8.9745866103597249E-2</v>
      </c>
      <c r="T57" s="23">
        <f t="shared" ref="T57:V57" si="144">+T32/P32-1</f>
        <v>0.10295652270635003</v>
      </c>
      <c r="U57" s="23">
        <f t="shared" si="144"/>
        <v>0.1169948061680699</v>
      </c>
      <c r="V57" s="23">
        <f t="shared" si="144"/>
        <v>0.12061810404458706</v>
      </c>
      <c r="W57" s="23"/>
      <c r="X57" s="23"/>
      <c r="Y57" s="23"/>
      <c r="Z57" s="23"/>
      <c r="AB57" s="6">
        <f t="shared" ref="AB57:AG57" si="145">+AB32/AA32-1</f>
        <v>0.1952398861011122</v>
      </c>
      <c r="AC57" s="6">
        <f t="shared" si="145"/>
        <v>0.20247673843664304</v>
      </c>
      <c r="AD57" s="6">
        <f t="shared" si="145"/>
        <v>0.27083528026465808</v>
      </c>
      <c r="AE57" s="6">
        <f t="shared" si="145"/>
        <v>0.30796326119408479</v>
      </c>
      <c r="AF57" s="6">
        <f t="shared" si="145"/>
        <v>0.3093396152159491</v>
      </c>
      <c r="AG57" s="6">
        <f t="shared" si="145"/>
        <v>0.20454125820676983</v>
      </c>
      <c r="AH57" s="6">
        <f t="shared" si="143"/>
        <v>0.37623430604373276</v>
      </c>
      <c r="AI57" s="6">
        <f t="shared" si="143"/>
        <v>0.21695366571345676</v>
      </c>
      <c r="AJ57" s="6">
        <f>+AJ32/AI32-1</f>
        <v>9.399517263985091E-2</v>
      </c>
      <c r="AK57" s="6">
        <f>+AK32/AJ32-1</f>
        <v>0.1182957412988368</v>
      </c>
      <c r="AL57" s="6">
        <f>+AL32/AK32-1</f>
        <v>0.10000000000000009</v>
      </c>
      <c r="AM57" s="6">
        <f t="shared" ref="AM57:AU57" si="146">+AM32/AL32-1</f>
        <v>0.11131231018321341</v>
      </c>
      <c r="AN57" s="6">
        <f t="shared" si="146"/>
        <v>0.10269235499288754</v>
      </c>
      <c r="AO57" s="6">
        <f t="shared" si="146"/>
        <v>0.10284137192378529</v>
      </c>
      <c r="AP57" s="6">
        <f t="shared" si="146"/>
        <v>0.10299272696815476</v>
      </c>
      <c r="AQ57" s="6">
        <f t="shared" si="146"/>
        <v>0.10314642985193712</v>
      </c>
      <c r="AR57" s="6">
        <f t="shared" si="146"/>
        <v>0.10330248865208502</v>
      </c>
      <c r="AS57" s="6">
        <f t="shared" si="146"/>
        <v>0.10346090972606881</v>
      </c>
      <c r="AT57" s="6">
        <f t="shared" si="146"/>
        <v>0.10362169764201368</v>
      </c>
      <c r="AU57" s="6">
        <f t="shared" si="146"/>
        <v>0.10378485510971247</v>
      </c>
      <c r="AZ57" s="33" t="s">
        <v>43</v>
      </c>
      <c r="BA57" s="35">
        <v>0.06</v>
      </c>
      <c r="BB57" s="53">
        <f>+BA57+0.003</f>
        <v>6.3E-2</v>
      </c>
      <c r="BC57" s="53">
        <f t="shared" ref="BC57:BI57" si="147">+BB57+0.003</f>
        <v>6.6000000000000003E-2</v>
      </c>
      <c r="BD57" s="53">
        <f t="shared" si="147"/>
        <v>6.9000000000000006E-2</v>
      </c>
      <c r="BE57" s="53">
        <f t="shared" si="147"/>
        <v>7.2000000000000008E-2</v>
      </c>
      <c r="BF57" s="53">
        <f t="shared" si="147"/>
        <v>7.5000000000000011E-2</v>
      </c>
      <c r="BG57" s="61">
        <f t="shared" si="147"/>
        <v>7.8000000000000014E-2</v>
      </c>
      <c r="BH57" s="53">
        <f t="shared" si="147"/>
        <v>8.1000000000000016E-2</v>
      </c>
      <c r="BI57" s="54">
        <f t="shared" si="147"/>
        <v>8.4000000000000019E-2</v>
      </c>
    </row>
    <row r="58" spans="2:61" s="8" customFormat="1" x14ac:dyDescent="0.2">
      <c r="B58" s="1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Z58" s="36" t="s">
        <v>45</v>
      </c>
      <c r="BA58" s="34">
        <f>NPV(BA57,AL48:KB48)</f>
        <v>1592704.3803263837</v>
      </c>
      <c r="BB58" s="55">
        <f t="shared" ref="BB58:BI58" si="148">NPV(BB57,$AJ$48:$IF$48)</f>
        <v>1326078.4320585642</v>
      </c>
      <c r="BC58" s="55">
        <f t="shared" si="148"/>
        <v>1225946.7323920084</v>
      </c>
      <c r="BD58" s="55">
        <f t="shared" si="148"/>
        <v>1138310.5947395698</v>
      </c>
      <c r="BE58" s="55">
        <f t="shared" si="148"/>
        <v>1061022.8431114901</v>
      </c>
      <c r="BF58" s="55">
        <f t="shared" si="148"/>
        <v>992395.21341661818</v>
      </c>
      <c r="BG58" s="62">
        <f t="shared" si="148"/>
        <v>931083.78734812769</v>
      </c>
      <c r="BH58" s="55">
        <f t="shared" si="148"/>
        <v>876006.48842439579</v>
      </c>
      <c r="BI58" s="56">
        <f t="shared" si="148"/>
        <v>826282.86097471183</v>
      </c>
    </row>
    <row r="59" spans="2:61" s="8" customFormat="1" x14ac:dyDescent="0.2">
      <c r="B59" s="16" t="s">
        <v>115</v>
      </c>
      <c r="C59" s="24">
        <f t="shared" ref="C59:V59" si="149">(C32-C33)/C32</f>
        <v>0.41344165827280921</v>
      </c>
      <c r="D59" s="24">
        <f t="shared" si="149"/>
        <v>0.40772899046247973</v>
      </c>
      <c r="E59" s="24">
        <f t="shared" si="149"/>
        <v>0.40604295595194756</v>
      </c>
      <c r="F59" s="24">
        <f t="shared" si="149"/>
        <v>0.36853171916689897</v>
      </c>
      <c r="G59" s="24">
        <f t="shared" si="149"/>
        <v>0.42495254243535635</v>
      </c>
      <c r="H59" s="24">
        <f t="shared" si="149"/>
        <v>0.43247258577997877</v>
      </c>
      <c r="I59" s="24">
        <f t="shared" si="149"/>
        <v>0.43210121647475003</v>
      </c>
      <c r="J59" s="24">
        <f t="shared" si="149"/>
        <v>0.39717783017494834</v>
      </c>
      <c r="K59" s="24">
        <f t="shared" si="149"/>
        <v>0.42891862182680085</v>
      </c>
      <c r="L59" s="24">
        <f t="shared" si="149"/>
        <v>0.4521008957883102</v>
      </c>
      <c r="M59" s="24">
        <f t="shared" si="149"/>
        <v>0.44714833085498934</v>
      </c>
      <c r="N59" s="24">
        <f t="shared" si="149"/>
        <v>0.42602075011393797</v>
      </c>
      <c r="O59" s="24">
        <f t="shared" si="149"/>
        <v>0.46771306082067871</v>
      </c>
      <c r="P59" s="24">
        <f t="shared" si="149"/>
        <v>0.48376654785203488</v>
      </c>
      <c r="Q59" s="24">
        <f t="shared" si="149"/>
        <v>0.47567495789157344</v>
      </c>
      <c r="R59" s="24">
        <f t="shared" si="149"/>
        <v>0.45544566106342044</v>
      </c>
      <c r="S59" s="24">
        <f t="shared" si="149"/>
        <v>0.45544566106342044</v>
      </c>
      <c r="T59" s="24">
        <f t="shared" si="149"/>
        <v>0.45544566106342038</v>
      </c>
      <c r="U59" s="24">
        <f t="shared" si="149"/>
        <v>0.45544566106342044</v>
      </c>
      <c r="V59" s="24">
        <f t="shared" si="149"/>
        <v>0.45544566106342049</v>
      </c>
      <c r="W59" s="23"/>
      <c r="X59" s="23"/>
      <c r="Y59" s="23"/>
      <c r="Z59" s="23"/>
      <c r="AG59" s="23">
        <f t="shared" ref="AG59:AU59" si="150">(AG32-AG33)/AG32</f>
        <v>0.40990011478600608</v>
      </c>
      <c r="AH59" s="23">
        <f t="shared" si="150"/>
        <v>0.3956779186870571</v>
      </c>
      <c r="AI59" s="23">
        <f t="shared" si="150"/>
        <v>0.42032514441639601</v>
      </c>
      <c r="AJ59" s="23">
        <f t="shared" si="150"/>
        <v>0.43805339865326287</v>
      </c>
      <c r="AK59" s="23">
        <f t="shared" si="150"/>
        <v>0.46982088955000567</v>
      </c>
      <c r="AL59" s="23">
        <f t="shared" si="150"/>
        <v>0.45111575900625706</v>
      </c>
      <c r="AM59" s="23">
        <f t="shared" si="150"/>
        <v>0.45111575900625694</v>
      </c>
      <c r="AN59" s="23">
        <f t="shared" si="150"/>
        <v>0.451115759006257</v>
      </c>
      <c r="AO59" s="23">
        <f t="shared" si="150"/>
        <v>0.451115759006257</v>
      </c>
      <c r="AP59" s="23">
        <f t="shared" si="150"/>
        <v>0.451115759006257</v>
      </c>
      <c r="AQ59" s="23">
        <f t="shared" si="150"/>
        <v>0.45111575900625694</v>
      </c>
      <c r="AR59" s="23">
        <f t="shared" si="150"/>
        <v>0.45111575900625694</v>
      </c>
      <c r="AS59" s="23">
        <f t="shared" si="150"/>
        <v>0.451115759006257</v>
      </c>
      <c r="AT59" s="23">
        <f t="shared" si="150"/>
        <v>0.451115759006257</v>
      </c>
      <c r="AU59" s="23">
        <f t="shared" si="150"/>
        <v>0.451115759006257</v>
      </c>
      <c r="AZ59" s="37" t="s">
        <v>127</v>
      </c>
      <c r="BA59" s="34">
        <f>Main!M10-Main!M11</f>
        <v>-45624</v>
      </c>
      <c r="BB59" s="55">
        <f>+BA59</f>
        <v>-45624</v>
      </c>
      <c r="BC59" s="55">
        <f t="shared" ref="BC59:BI59" si="151">+BB59</f>
        <v>-45624</v>
      </c>
      <c r="BD59" s="55">
        <f t="shared" si="151"/>
        <v>-45624</v>
      </c>
      <c r="BE59" s="55">
        <f t="shared" si="151"/>
        <v>-45624</v>
      </c>
      <c r="BF59" s="55">
        <f t="shared" si="151"/>
        <v>-45624</v>
      </c>
      <c r="BG59" s="62">
        <f t="shared" si="151"/>
        <v>-45624</v>
      </c>
      <c r="BH59" s="55">
        <f t="shared" si="151"/>
        <v>-45624</v>
      </c>
      <c r="BI59" s="56">
        <f t="shared" si="151"/>
        <v>-45624</v>
      </c>
    </row>
    <row r="60" spans="2:61" s="8" customFormat="1" x14ac:dyDescent="0.2">
      <c r="B60" s="16" t="s">
        <v>140</v>
      </c>
      <c r="C60" s="24">
        <f t="shared" ref="C60:V60" si="152">+C40/C32</f>
        <v>5.2868048560674334E-2</v>
      </c>
      <c r="D60" s="24">
        <f t="shared" si="152"/>
        <v>6.5716663667446468E-2</v>
      </c>
      <c r="E60" s="24">
        <f t="shared" si="152"/>
        <v>6.4423526964480726E-2</v>
      </c>
      <c r="F60" s="24">
        <f t="shared" si="152"/>
        <v>5.4740950181195493E-2</v>
      </c>
      <c r="G60" s="24">
        <f t="shared" si="152"/>
        <v>8.1691516614755155E-2</v>
      </c>
      <c r="H60" s="24">
        <f t="shared" si="152"/>
        <v>6.8111071807569867E-2</v>
      </c>
      <c r="I60" s="24">
        <f t="shared" si="152"/>
        <v>4.3785871566256365E-2</v>
      </c>
      <c r="J60" s="24">
        <f t="shared" si="152"/>
        <v>2.5179751404535267E-2</v>
      </c>
      <c r="K60" s="24">
        <f t="shared" si="152"/>
        <v>3.1508708048504003E-2</v>
      </c>
      <c r="L60" s="24">
        <f t="shared" si="152"/>
        <v>2.7360311463780786E-2</v>
      </c>
      <c r="M60" s="24">
        <f t="shared" si="152"/>
        <v>1.986609074672898E-2</v>
      </c>
      <c r="N60" s="24">
        <f t="shared" si="152"/>
        <v>1.8344012224873328E-2</v>
      </c>
      <c r="O60" s="24">
        <f t="shared" si="152"/>
        <v>3.7484885126964934E-2</v>
      </c>
      <c r="P60" s="24">
        <f t="shared" si="152"/>
        <v>5.7157527365812637E-2</v>
      </c>
      <c r="Q60" s="24">
        <f t="shared" si="152"/>
        <v>7.8192377850618167E-2</v>
      </c>
      <c r="R60" s="24">
        <f t="shared" si="152"/>
        <v>7.771782938438819E-2</v>
      </c>
      <c r="S60" s="24">
        <f t="shared" si="152"/>
        <v>7.771782938438819E-2</v>
      </c>
      <c r="T60" s="24">
        <f t="shared" si="152"/>
        <v>7.2772852353889431E-2</v>
      </c>
      <c r="U60" s="24">
        <f t="shared" si="152"/>
        <v>6.7488990500038148E-2</v>
      </c>
      <c r="V60" s="24">
        <f t="shared" si="152"/>
        <v>5.6632431847728967E-2</v>
      </c>
      <c r="W60" s="23"/>
      <c r="X60" s="23"/>
      <c r="Y60" s="23"/>
      <c r="Z60" s="23"/>
      <c r="AG60" s="24">
        <f>+AG40/AG32</f>
        <v>5.1835506662579051E-2</v>
      </c>
      <c r="AH60" s="24">
        <f t="shared" ref="AH60:AU60" si="153">+AH40/AH32</f>
        <v>5.9313999751336569E-2</v>
      </c>
      <c r="AI60" s="24">
        <f t="shared" si="153"/>
        <v>5.2954097509269465E-2</v>
      </c>
      <c r="AJ60" s="24">
        <f t="shared" si="153"/>
        <v>2.3829581912242232E-2</v>
      </c>
      <c r="AK60" s="24">
        <f t="shared" si="153"/>
        <v>6.4114407996033296E-2</v>
      </c>
      <c r="AL60" s="24">
        <f>+AL40/AL32</f>
        <v>6.8239212030935803E-2</v>
      </c>
      <c r="AM60" s="24">
        <f t="shared" si="153"/>
        <v>7.0384508938108908E-2</v>
      </c>
      <c r="AN60" s="24">
        <f t="shared" si="153"/>
        <v>7.0384508938109047E-2</v>
      </c>
      <c r="AO60" s="24">
        <f t="shared" si="153"/>
        <v>7.0384508938108881E-2</v>
      </c>
      <c r="AP60" s="24">
        <f t="shared" si="153"/>
        <v>7.038450893810895E-2</v>
      </c>
      <c r="AQ60" s="24">
        <f t="shared" si="153"/>
        <v>7.0384508938108784E-2</v>
      </c>
      <c r="AR60" s="24">
        <f t="shared" si="153"/>
        <v>7.0384508938108895E-2</v>
      </c>
      <c r="AS60" s="24">
        <f t="shared" si="153"/>
        <v>7.0384508938108853E-2</v>
      </c>
      <c r="AT60" s="24">
        <f t="shared" si="153"/>
        <v>7.0384508938108895E-2</v>
      </c>
      <c r="AU60" s="24">
        <f t="shared" si="153"/>
        <v>7.0384508938108825E-2</v>
      </c>
      <c r="AZ60" s="37"/>
      <c r="BA60" s="34"/>
      <c r="BB60" s="55"/>
      <c r="BC60" s="55"/>
      <c r="BD60" s="55"/>
      <c r="BE60" s="55"/>
      <c r="BF60" s="55"/>
      <c r="BG60" s="62"/>
      <c r="BH60" s="55"/>
      <c r="BI60" s="56"/>
    </row>
    <row r="61" spans="2:61" s="6" customFormat="1" x14ac:dyDescent="0.2">
      <c r="B61" s="16" t="s">
        <v>116</v>
      </c>
      <c r="C61" s="24">
        <f t="shared" ref="C61:M61" si="154">+C33/C32</f>
        <v>0.58655834172719079</v>
      </c>
      <c r="D61" s="24">
        <f t="shared" si="154"/>
        <v>0.59227100953752021</v>
      </c>
      <c r="E61" s="24">
        <f t="shared" si="154"/>
        <v>0.59395704404805238</v>
      </c>
      <c r="F61" s="24">
        <f t="shared" si="154"/>
        <v>0.63146828083310103</v>
      </c>
      <c r="G61" s="24">
        <f t="shared" si="154"/>
        <v>0.5750474575646437</v>
      </c>
      <c r="H61" s="24">
        <f t="shared" si="154"/>
        <v>0.56752741422002118</v>
      </c>
      <c r="I61" s="24">
        <f t="shared" si="154"/>
        <v>0.56789878352525003</v>
      </c>
      <c r="J61" s="24">
        <f t="shared" si="154"/>
        <v>0.60282216982505166</v>
      </c>
      <c r="K61" s="24">
        <f t="shared" si="154"/>
        <v>0.57108137817319915</v>
      </c>
      <c r="L61" s="24">
        <f t="shared" si="154"/>
        <v>0.54789910421168975</v>
      </c>
      <c r="M61" s="24">
        <f t="shared" si="154"/>
        <v>0.55285166914501072</v>
      </c>
      <c r="N61" s="24">
        <f t="shared" ref="N61:V61" si="155">+J61</f>
        <v>0.60282216982505166</v>
      </c>
      <c r="O61" s="24">
        <f t="shared" si="155"/>
        <v>0.57108137817319915</v>
      </c>
      <c r="P61" s="24">
        <f t="shared" si="155"/>
        <v>0.54789910421168975</v>
      </c>
      <c r="Q61" s="24">
        <f t="shared" si="155"/>
        <v>0.55285166914501072</v>
      </c>
      <c r="R61" s="24">
        <f t="shared" si="155"/>
        <v>0.60282216982505166</v>
      </c>
      <c r="S61" s="24">
        <f t="shared" si="155"/>
        <v>0.57108137817319915</v>
      </c>
      <c r="T61" s="24">
        <f t="shared" si="155"/>
        <v>0.54789910421168975</v>
      </c>
      <c r="U61" s="24">
        <f t="shared" si="155"/>
        <v>0.55285166914501072</v>
      </c>
      <c r="V61" s="24">
        <f t="shared" si="155"/>
        <v>0.60282216982505166</v>
      </c>
      <c r="W61" s="24"/>
      <c r="X61" s="24"/>
      <c r="Y61" s="24"/>
      <c r="Z61" s="24"/>
      <c r="AG61" s="24">
        <f>+AG33/AG32</f>
        <v>0.59009988521399392</v>
      </c>
      <c r="AH61" s="24">
        <f>+AH33/AH32</f>
        <v>0.60432208131294296</v>
      </c>
      <c r="AI61" s="24">
        <f>+AI33/AI32</f>
        <v>0.57967485558360399</v>
      </c>
      <c r="AJ61" s="28">
        <f>+AJ33/AJ32</f>
        <v>0.56194660134673713</v>
      </c>
      <c r="AK61" s="28">
        <v>0.57008747832909901</v>
      </c>
      <c r="AL61" s="28">
        <v>0.57008747832909901</v>
      </c>
      <c r="AM61" s="28">
        <v>0.57008747832909901</v>
      </c>
      <c r="AN61" s="28">
        <v>0.57008747832909901</v>
      </c>
      <c r="AO61" s="28">
        <v>0.57008747832909901</v>
      </c>
      <c r="AP61" s="28">
        <v>0.57008747832909901</v>
      </c>
      <c r="AQ61" s="28">
        <v>0.57008747832909901</v>
      </c>
      <c r="AR61" s="28">
        <v>0.57008747832909901</v>
      </c>
      <c r="AS61" s="28">
        <v>0.57008747832909901</v>
      </c>
      <c r="AT61" s="28">
        <v>0.57008747832909901</v>
      </c>
      <c r="AU61" s="28">
        <v>0.57008747832909901</v>
      </c>
      <c r="AZ61" s="38" t="s">
        <v>128</v>
      </c>
      <c r="BA61" s="34">
        <f>SUM(BA58:BA59)</f>
        <v>1547080.3803263837</v>
      </c>
      <c r="BB61" s="55">
        <f t="shared" ref="BB61:BI61" si="156">SUM(BB58:BB59)</f>
        <v>1280454.4320585642</v>
      </c>
      <c r="BC61" s="55">
        <f t="shared" ref="BC61:BH61" si="157">SUM(BC58:BC59)</f>
        <v>1180322.7323920084</v>
      </c>
      <c r="BD61" s="55">
        <f t="shared" si="157"/>
        <v>1092686.5947395698</v>
      </c>
      <c r="BE61" s="55">
        <f t="shared" si="157"/>
        <v>1015398.8431114901</v>
      </c>
      <c r="BF61" s="55">
        <f t="shared" si="157"/>
        <v>946771.21341661818</v>
      </c>
      <c r="BG61" s="62">
        <f t="shared" si="157"/>
        <v>885459.78734812769</v>
      </c>
      <c r="BH61" s="55">
        <f t="shared" si="157"/>
        <v>830382.48842439579</v>
      </c>
      <c r="BI61" s="56">
        <f t="shared" si="156"/>
        <v>780658.86097471183</v>
      </c>
    </row>
    <row r="62" spans="2:61" s="6" customFormat="1" x14ac:dyDescent="0.2">
      <c r="B62" s="16" t="s">
        <v>117</v>
      </c>
      <c r="C62" s="24">
        <f t="shared" ref="C62:M62" si="158">+C34/C32</f>
        <v>0.15282563749138525</v>
      </c>
      <c r="D62" s="24">
        <f t="shared" si="158"/>
        <v>0.15527712794673384</v>
      </c>
      <c r="E62" s="24">
        <f t="shared" si="158"/>
        <v>0.15294607103853555</v>
      </c>
      <c r="F62" s="24">
        <f t="shared" si="158"/>
        <v>0.1471387041535582</v>
      </c>
      <c r="G62" s="24">
        <f t="shared" si="158"/>
        <v>0.15232495991448422</v>
      </c>
      <c r="H62" s="24">
        <f t="shared" si="158"/>
        <v>0.15597806862398303</v>
      </c>
      <c r="I62" s="24">
        <f t="shared" si="158"/>
        <v>0.16693137927300292</v>
      </c>
      <c r="J62" s="24">
        <f t="shared" si="158"/>
        <v>0.16334090181352429</v>
      </c>
      <c r="K62" s="24">
        <f t="shared" si="158"/>
        <v>0.17408367970870117</v>
      </c>
      <c r="L62" s="24">
        <f t="shared" si="158"/>
        <v>0.1677912136859297</v>
      </c>
      <c r="M62" s="24">
        <f t="shared" si="158"/>
        <v>0.16194207756036538</v>
      </c>
      <c r="N62" s="24">
        <f t="shared" ref="N62:V65" si="159">+J62</f>
        <v>0.16334090181352429</v>
      </c>
      <c r="O62" s="24">
        <f t="shared" si="159"/>
        <v>0.17408367970870117</v>
      </c>
      <c r="P62" s="24">
        <f t="shared" si="159"/>
        <v>0.1677912136859297</v>
      </c>
      <c r="Q62" s="24">
        <f t="shared" si="159"/>
        <v>0.16194207756036538</v>
      </c>
      <c r="R62" s="24">
        <f t="shared" si="159"/>
        <v>0.16334090181352429</v>
      </c>
      <c r="S62" s="24">
        <f t="shared" si="159"/>
        <v>0.17408367970870117</v>
      </c>
      <c r="T62" s="24">
        <f t="shared" si="159"/>
        <v>0.1677912136859297</v>
      </c>
      <c r="U62" s="24">
        <f t="shared" si="159"/>
        <v>0.16194207756036538</v>
      </c>
      <c r="V62" s="24">
        <f t="shared" si="159"/>
        <v>0.16334090181352429</v>
      </c>
      <c r="W62" s="24"/>
      <c r="X62" s="24"/>
      <c r="Y62" s="24"/>
      <c r="Z62" s="24"/>
      <c r="AG62" s="24">
        <f>+AG34/AG32</f>
        <v>0.14341834152045116</v>
      </c>
      <c r="AH62" s="24">
        <f>+AH34/AH32</f>
        <v>0.15157331426913673</v>
      </c>
      <c r="AI62" s="24">
        <f>+AI34/AI32</f>
        <v>0.15987118525739535</v>
      </c>
      <c r="AJ62" s="28">
        <f>+AJ34/AJ32</f>
        <v>0.16401126107283703</v>
      </c>
      <c r="AK62" s="28">
        <v>0.16</v>
      </c>
      <c r="AL62" s="28">
        <f>+AK62-0.001</f>
        <v>0.159</v>
      </c>
      <c r="AM62" s="28">
        <f t="shared" ref="AM62:AU62" si="160">+AL62-0.001</f>
        <v>0.158</v>
      </c>
      <c r="AN62" s="28">
        <f t="shared" si="160"/>
        <v>0.157</v>
      </c>
      <c r="AO62" s="28">
        <f t="shared" si="160"/>
        <v>0.156</v>
      </c>
      <c r="AP62" s="28">
        <f t="shared" si="160"/>
        <v>0.155</v>
      </c>
      <c r="AQ62" s="28">
        <f t="shared" si="160"/>
        <v>0.154</v>
      </c>
      <c r="AR62" s="28">
        <f t="shared" si="160"/>
        <v>0.153</v>
      </c>
      <c r="AS62" s="28">
        <f t="shared" si="160"/>
        <v>0.152</v>
      </c>
      <c r="AT62" s="28">
        <f t="shared" si="160"/>
        <v>0.151</v>
      </c>
      <c r="AU62" s="28">
        <f t="shared" si="160"/>
        <v>0.15</v>
      </c>
      <c r="AZ62" s="36" t="s">
        <v>46</v>
      </c>
      <c r="BA62" s="34">
        <f>+BA61/Main!$M$8</f>
        <v>148.93844145943018</v>
      </c>
      <c r="BB62" s="55">
        <f>+BB61/Main!$M$8</f>
        <v>123.27018679558782</v>
      </c>
      <c r="BC62" s="55">
        <f>+BC61/Main!$M$8</f>
        <v>113.63044248839526</v>
      </c>
      <c r="BD62" s="55">
        <f>+BD61/Main!$M$8</f>
        <v>105.19365412014987</v>
      </c>
      <c r="BE62" s="55">
        <f>+BE61/Main!$M$8</f>
        <v>97.753111652045362</v>
      </c>
      <c r="BF62" s="55">
        <f>+BF61/Main!$M$8</f>
        <v>91.146284794314312</v>
      </c>
      <c r="BG62" s="62">
        <f>+BG61/Main!$M$8</f>
        <v>85.243793651372158</v>
      </c>
      <c r="BH62" s="55">
        <f>+BH61/Main!$M$8</f>
        <v>79.941466011637502</v>
      </c>
      <c r="BI62" s="56">
        <f>+BI61/Main!$M$8</f>
        <v>75.154539831045071</v>
      </c>
    </row>
    <row r="63" spans="2:61" s="6" customFormat="1" x14ac:dyDescent="0.2">
      <c r="B63" s="16" t="s">
        <v>118</v>
      </c>
      <c r="C63" s="24">
        <f t="shared" ref="C63:M63" si="161">+C35/C32</f>
        <v>0.12358850660022266</v>
      </c>
      <c r="D63" s="24">
        <f t="shared" si="161"/>
        <v>0.11683462299802051</v>
      </c>
      <c r="E63" s="24">
        <f t="shared" si="161"/>
        <v>0.11416090280305788</v>
      </c>
      <c r="F63" s="24">
        <f t="shared" si="161"/>
        <v>9.5965911353590061E-2</v>
      </c>
      <c r="G63" s="24">
        <f t="shared" si="161"/>
        <v>0.11507768296503806</v>
      </c>
      <c r="H63" s="24">
        <f t="shared" si="161"/>
        <v>0.12266536964980544</v>
      </c>
      <c r="I63" s="24">
        <f t="shared" si="161"/>
        <v>0.12976933906075155</v>
      </c>
      <c r="J63" s="24">
        <f t="shared" si="161"/>
        <v>0.11143859342706605</v>
      </c>
      <c r="K63" s="24">
        <f t="shared" si="161"/>
        <v>0.12746041015423723</v>
      </c>
      <c r="L63" s="24">
        <f t="shared" si="161"/>
        <v>0.14906709338964316</v>
      </c>
      <c r="M63" s="24">
        <f t="shared" si="161"/>
        <v>0.15330327849505512</v>
      </c>
      <c r="N63" s="24">
        <f t="shared" si="159"/>
        <v>0.11143859342706605</v>
      </c>
      <c r="O63" s="24">
        <f t="shared" si="159"/>
        <v>0.12746041015423723</v>
      </c>
      <c r="P63" s="24">
        <f t="shared" si="159"/>
        <v>0.14906709338964316</v>
      </c>
      <c r="Q63" s="24">
        <f t="shared" si="159"/>
        <v>0.15330327849505512</v>
      </c>
      <c r="R63" s="24">
        <f t="shared" si="159"/>
        <v>0.11143859342706605</v>
      </c>
      <c r="S63" s="24">
        <f t="shared" si="159"/>
        <v>0.12746041015423723</v>
      </c>
      <c r="T63" s="24">
        <f t="shared" si="159"/>
        <v>0.14906709338964316</v>
      </c>
      <c r="U63" s="24">
        <f t="shared" si="159"/>
        <v>0.15330327849505512</v>
      </c>
      <c r="V63" s="24">
        <f t="shared" si="159"/>
        <v>0.11143859342706605</v>
      </c>
      <c r="W63" s="24"/>
      <c r="X63" s="24"/>
      <c r="Y63" s="24"/>
      <c r="Z63" s="24"/>
      <c r="AG63" s="24">
        <f>+AG35/AG32</f>
        <v>0.12808621070718162</v>
      </c>
      <c r="AH63" s="24">
        <f>+AH35/AH32</f>
        <v>0.11070703303079282</v>
      </c>
      <c r="AI63" s="24">
        <f>+AI35/AI32</f>
        <v>0.11930475797216818</v>
      </c>
      <c r="AJ63" s="28">
        <f>+AJ35/AJ32</f>
        <v>0.14244245432241923</v>
      </c>
      <c r="AK63" s="28">
        <f>+AJ63-0.001</f>
        <v>0.14144245432241923</v>
      </c>
      <c r="AL63" s="28">
        <f>+AK63-0.001</f>
        <v>0.14044245432241922</v>
      </c>
      <c r="AM63" s="28">
        <f t="shared" ref="AM63:AU63" si="162">+AL63-0.001</f>
        <v>0.13944245432241922</v>
      </c>
      <c r="AN63" s="28">
        <f t="shared" si="162"/>
        <v>0.13844245432241922</v>
      </c>
      <c r="AO63" s="28">
        <f t="shared" si="162"/>
        <v>0.13744245432241922</v>
      </c>
      <c r="AP63" s="28">
        <f t="shared" si="162"/>
        <v>0.13644245432241922</v>
      </c>
      <c r="AQ63" s="28">
        <f t="shared" si="162"/>
        <v>0.13544245432241922</v>
      </c>
      <c r="AR63" s="28">
        <f t="shared" si="162"/>
        <v>0.13444245432241922</v>
      </c>
      <c r="AS63" s="28">
        <f t="shared" si="162"/>
        <v>0.13344245432241922</v>
      </c>
      <c r="AT63" s="28">
        <f t="shared" si="162"/>
        <v>0.13244245432241922</v>
      </c>
      <c r="AU63" s="28">
        <f t="shared" si="162"/>
        <v>0.13144245432241922</v>
      </c>
      <c r="AZ63" s="36" t="s">
        <v>47</v>
      </c>
      <c r="BA63" s="34">
        <f>+Main!M7</f>
        <v>173.54</v>
      </c>
      <c r="BB63" s="57">
        <f>+BA63</f>
        <v>173.54</v>
      </c>
      <c r="BC63" s="57">
        <f t="shared" ref="BC63:BI63" si="163">+BB63</f>
        <v>173.54</v>
      </c>
      <c r="BD63" s="57">
        <f t="shared" si="163"/>
        <v>173.54</v>
      </c>
      <c r="BE63" s="57">
        <f t="shared" si="163"/>
        <v>173.54</v>
      </c>
      <c r="BF63" s="57">
        <f t="shared" si="163"/>
        <v>173.54</v>
      </c>
      <c r="BG63" s="63">
        <f t="shared" si="163"/>
        <v>173.54</v>
      </c>
      <c r="BH63" s="57">
        <f t="shared" si="163"/>
        <v>173.54</v>
      </c>
      <c r="BI63" s="58">
        <f t="shared" si="163"/>
        <v>173.54</v>
      </c>
    </row>
    <row r="64" spans="2:61" s="6" customFormat="1" ht="16" thickBot="1" x14ac:dyDescent="0.25">
      <c r="B64" s="16" t="s">
        <v>119</v>
      </c>
      <c r="C64" s="24">
        <f t="shared" ref="C64:M64" si="164">+C36/C32</f>
        <v>6.3987700789906163E-2</v>
      </c>
      <c r="D64" s="24">
        <f t="shared" si="164"/>
        <v>4.8868544178513586E-2</v>
      </c>
      <c r="E64" s="24">
        <f t="shared" si="164"/>
        <v>5.6518799729575124E-2</v>
      </c>
      <c r="F64" s="24">
        <f t="shared" si="164"/>
        <v>5.8962207797379637E-2</v>
      </c>
      <c r="G64" s="24">
        <f t="shared" si="164"/>
        <v>5.7197884221972389E-2</v>
      </c>
      <c r="H64" s="24">
        <f t="shared" si="164"/>
        <v>6.6536964980544747E-2</v>
      </c>
      <c r="I64" s="24">
        <f t="shared" si="164"/>
        <v>7.2284590116593869E-2</v>
      </c>
      <c r="J64" s="24">
        <f t="shared" si="164"/>
        <v>7.8668529677175206E-2</v>
      </c>
      <c r="K64" s="24">
        <f t="shared" si="164"/>
        <v>7.1450654391810656E-2</v>
      </c>
      <c r="L64" s="24">
        <f t="shared" si="164"/>
        <v>8.3194483395747074E-2</v>
      </c>
      <c r="M64" s="24">
        <f t="shared" si="164"/>
        <v>8.6655494449296225E-2</v>
      </c>
      <c r="N64" s="24">
        <f t="shared" si="159"/>
        <v>7.8668529677175206E-2</v>
      </c>
      <c r="O64" s="24">
        <f t="shared" si="159"/>
        <v>7.1450654391810656E-2</v>
      </c>
      <c r="P64" s="24">
        <f t="shared" si="159"/>
        <v>8.3194483395747074E-2</v>
      </c>
      <c r="Q64" s="24">
        <f t="shared" si="159"/>
        <v>8.6655494449296225E-2</v>
      </c>
      <c r="R64" s="24">
        <f t="shared" si="159"/>
        <v>7.8668529677175206E-2</v>
      </c>
      <c r="S64" s="24">
        <f t="shared" si="159"/>
        <v>7.1450654391810656E-2</v>
      </c>
      <c r="T64" s="24">
        <f t="shared" si="159"/>
        <v>8.3194483395747074E-2</v>
      </c>
      <c r="U64" s="24">
        <f t="shared" si="159"/>
        <v>8.6655494449296225E-2</v>
      </c>
      <c r="V64" s="24">
        <f t="shared" si="159"/>
        <v>7.8668529677175206E-2</v>
      </c>
      <c r="W64" s="24"/>
      <c r="X64" s="24"/>
      <c r="Y64" s="24"/>
      <c r="Z64" s="24"/>
      <c r="AG64" s="24">
        <f>+AG36/AG32</f>
        <v>6.7295969656568824E-2</v>
      </c>
      <c r="AH64" s="24">
        <f>+AH36/AH32</f>
        <v>5.7006092254134028E-2</v>
      </c>
      <c r="AI64" s="24">
        <f>+AI36/AI32</f>
        <v>6.9283686161993263E-2</v>
      </c>
      <c r="AJ64" s="28">
        <f>+AJ36/AJ32</f>
        <v>8.2177815219569517E-2</v>
      </c>
      <c r="AK64" s="28">
        <v>7.0000000000000007E-2</v>
      </c>
      <c r="AL64" s="28">
        <f>+AK64-0.001</f>
        <v>6.9000000000000006E-2</v>
      </c>
      <c r="AM64" s="28">
        <f t="shared" ref="AM64:AU64" si="165">+AL64-0.001</f>
        <v>6.8000000000000005E-2</v>
      </c>
      <c r="AN64" s="28">
        <f t="shared" si="165"/>
        <v>6.7000000000000004E-2</v>
      </c>
      <c r="AO64" s="28">
        <f t="shared" si="165"/>
        <v>6.6000000000000003E-2</v>
      </c>
      <c r="AP64" s="28">
        <f t="shared" si="165"/>
        <v>6.5000000000000002E-2</v>
      </c>
      <c r="AQ64" s="28">
        <f t="shared" si="165"/>
        <v>6.4000000000000001E-2</v>
      </c>
      <c r="AR64" s="28">
        <f t="shared" si="165"/>
        <v>6.3E-2</v>
      </c>
      <c r="AS64" s="28">
        <f t="shared" si="165"/>
        <v>6.2E-2</v>
      </c>
      <c r="AT64" s="28">
        <f t="shared" si="165"/>
        <v>6.0999999999999999E-2</v>
      </c>
      <c r="AU64" s="28">
        <f t="shared" si="165"/>
        <v>0.06</v>
      </c>
      <c r="AZ64" s="39" t="s">
        <v>122</v>
      </c>
      <c r="BA64" s="40">
        <f>+BA62/BA63-1</f>
        <v>-0.14176304333623269</v>
      </c>
      <c r="BB64" s="59">
        <f>+BB62/BB63-1</f>
        <v>-0.28967277402565506</v>
      </c>
      <c r="BC64" s="59">
        <f t="shared" ref="BC64:BI64" si="166">+BC62/BC63-1</f>
        <v>-0.34522045356462339</v>
      </c>
      <c r="BD64" s="59">
        <f t="shared" si="166"/>
        <v>-0.39383626760314694</v>
      </c>
      <c r="BE64" s="59">
        <f t="shared" si="166"/>
        <v>-0.43671135385475757</v>
      </c>
      <c r="BF64" s="59">
        <f t="shared" si="166"/>
        <v>-0.47478227040270649</v>
      </c>
      <c r="BG64" s="64">
        <f t="shared" si="166"/>
        <v>-0.50879455081611069</v>
      </c>
      <c r="BH64" s="59">
        <f t="shared" si="166"/>
        <v>-0.5393484729074709</v>
      </c>
      <c r="BI64" s="60">
        <f t="shared" si="166"/>
        <v>-0.56693246611129955</v>
      </c>
    </row>
    <row r="65" spans="2:59" s="6" customFormat="1" ht="16" thickBot="1" x14ac:dyDescent="0.25">
      <c r="B65" s="16" t="s">
        <v>120</v>
      </c>
      <c r="C65" s="24">
        <f t="shared" ref="C65:M65" si="167">+C37/C32</f>
        <v>1.924402268992207E-2</v>
      </c>
      <c r="D65" s="24">
        <f t="shared" si="167"/>
        <v>1.7770379701277667E-2</v>
      </c>
      <c r="E65" s="24">
        <f t="shared" si="167"/>
        <v>1.7348796089240209E-2</v>
      </c>
      <c r="F65" s="24">
        <f t="shared" si="167"/>
        <v>1.5674405638963003E-2</v>
      </c>
      <c r="G65" s="24">
        <f t="shared" si="167"/>
        <v>1.8310326397464015E-2</v>
      </c>
      <c r="H65" s="24">
        <f t="shared" si="167"/>
        <v>1.9083834453484258E-2</v>
      </c>
      <c r="I65" s="24">
        <f t="shared" si="167"/>
        <v>1.9429303685521423E-2</v>
      </c>
      <c r="J65" s="24">
        <f t="shared" si="167"/>
        <v>1.8375396617471545E-2</v>
      </c>
      <c r="K65" s="24">
        <f t="shared" si="167"/>
        <v>2.2276802583215967E-2</v>
      </c>
      <c r="L65" s="24">
        <f t="shared" si="167"/>
        <v>2.3945427850273027E-2</v>
      </c>
      <c r="M65" s="24">
        <f t="shared" si="167"/>
        <v>2.4083209416133625E-2</v>
      </c>
      <c r="N65" s="24">
        <f t="shared" si="159"/>
        <v>1.8375396617471545E-2</v>
      </c>
      <c r="O65" s="24">
        <f t="shared" si="159"/>
        <v>2.2276802583215967E-2</v>
      </c>
      <c r="P65" s="24">
        <f t="shared" si="159"/>
        <v>2.3945427850273027E-2</v>
      </c>
      <c r="Q65" s="24">
        <f t="shared" si="159"/>
        <v>2.4083209416133625E-2</v>
      </c>
      <c r="R65" s="24">
        <f t="shared" si="159"/>
        <v>1.8375396617471545E-2</v>
      </c>
      <c r="S65" s="24">
        <f t="shared" si="159"/>
        <v>2.2276802583215967E-2</v>
      </c>
      <c r="T65" s="24">
        <f t="shared" si="159"/>
        <v>2.3945427850273027E-2</v>
      </c>
      <c r="U65" s="24">
        <f t="shared" si="159"/>
        <v>2.4083209416133625E-2</v>
      </c>
      <c r="V65" s="24">
        <f t="shared" si="159"/>
        <v>1.8375396617471545E-2</v>
      </c>
      <c r="W65" s="24"/>
      <c r="X65" s="24"/>
      <c r="Y65" s="24"/>
      <c r="Z65" s="24"/>
      <c r="AG65" s="24">
        <f>+AG37/AG32</f>
        <v>1.8547564896870834E-2</v>
      </c>
      <c r="AH65" s="24">
        <f>+AH37/AH32</f>
        <v>1.7271747689502258E-2</v>
      </c>
      <c r="AI65" s="24">
        <f>+AI37/AI32</f>
        <v>1.8779452643767215E-2</v>
      </c>
      <c r="AJ65" s="28">
        <f>+AJ37/AJ32</f>
        <v>2.3135006410717866E-2</v>
      </c>
      <c r="AK65" s="28">
        <v>2.2010299051950399E-2</v>
      </c>
      <c r="AL65" s="28">
        <f>+AK65-0.002</f>
        <v>2.0010299051950398E-2</v>
      </c>
      <c r="AM65" s="28">
        <f t="shared" ref="AM65" si="168">+AL65-0.002</f>
        <v>1.8010299051950396E-2</v>
      </c>
      <c r="AN65" s="28">
        <f>+AM65</f>
        <v>1.8010299051950396E-2</v>
      </c>
      <c r="AO65" s="28">
        <f t="shared" ref="AO65:AU65" si="169">+AN65</f>
        <v>1.8010299051950396E-2</v>
      </c>
      <c r="AP65" s="28">
        <f t="shared" si="169"/>
        <v>1.8010299051950396E-2</v>
      </c>
      <c r="AQ65" s="28">
        <f t="shared" si="169"/>
        <v>1.8010299051950396E-2</v>
      </c>
      <c r="AR65" s="28">
        <f t="shared" si="169"/>
        <v>1.8010299051950396E-2</v>
      </c>
      <c r="AS65" s="28">
        <f t="shared" si="169"/>
        <v>1.8010299051950396E-2</v>
      </c>
      <c r="AT65" s="28">
        <f t="shared" si="169"/>
        <v>1.8010299051950396E-2</v>
      </c>
      <c r="AU65" s="28">
        <f t="shared" si="169"/>
        <v>1.8010299051950396E-2</v>
      </c>
    </row>
    <row r="66" spans="2:59" s="6" customFormat="1" x14ac:dyDescent="0.2">
      <c r="B66" s="16"/>
      <c r="BA66" s="27"/>
      <c r="BE66" s="2"/>
      <c r="BF66" s="42" t="s">
        <v>130</v>
      </c>
      <c r="BG66" s="43">
        <f>AVERAGE(BA62:BI62)</f>
        <v>102.25243564488639</v>
      </c>
    </row>
    <row r="67" spans="2:59" ht="16" thickBot="1" x14ac:dyDescent="0.25">
      <c r="BE67" s="5"/>
      <c r="BF67" s="44" t="s">
        <v>122</v>
      </c>
      <c r="BG67" s="45">
        <f>+BG66/BA63-1</f>
        <v>-0.41078462806911142</v>
      </c>
    </row>
    <row r="68" spans="2:59" s="5" customFormat="1" x14ac:dyDescent="0.2">
      <c r="B68" s="13" t="s">
        <v>73</v>
      </c>
      <c r="F68" s="5">
        <f t="shared" ref="F68:R68" si="170">+SUM(F69:F70)-F85</f>
        <v>52580</v>
      </c>
      <c r="G68" s="5">
        <f t="shared" si="170"/>
        <v>41402</v>
      </c>
      <c r="H68" s="5">
        <f t="shared" si="170"/>
        <v>39615</v>
      </c>
      <c r="I68" s="5">
        <f t="shared" si="170"/>
        <v>28933</v>
      </c>
      <c r="J68" s="5">
        <f t="shared" si="170"/>
        <v>47305</v>
      </c>
      <c r="K68" s="5">
        <f t="shared" si="170"/>
        <v>18829</v>
      </c>
      <c r="L68" s="5">
        <f t="shared" si="170"/>
        <v>2657</v>
      </c>
      <c r="M68" s="5">
        <f t="shared" si="170"/>
        <v>47305</v>
      </c>
      <c r="N68" s="5">
        <f t="shared" si="170"/>
        <v>0</v>
      </c>
      <c r="O68" s="5">
        <f t="shared" si="170"/>
        <v>0</v>
      </c>
      <c r="P68" s="5">
        <f t="shared" si="170"/>
        <v>0</v>
      </c>
      <c r="Q68" s="5">
        <f t="shared" si="170"/>
        <v>0</v>
      </c>
      <c r="R68" s="5">
        <f t="shared" si="170"/>
        <v>0</v>
      </c>
      <c r="AK68" s="5">
        <f>+Main!M10-Main!M11</f>
        <v>-45624</v>
      </c>
      <c r="AL68" s="5">
        <f t="shared" ref="AL68:AU68" si="171">+AK68+AL48</f>
        <v>-10650.683903724181</v>
      </c>
      <c r="AM68" s="5">
        <f t="shared" si="171"/>
        <v>25975.383592652004</v>
      </c>
      <c r="AN68" s="5">
        <f t="shared" si="171"/>
        <v>66709.725717817288</v>
      </c>
      <c r="AO68" s="5">
        <f t="shared" si="171"/>
        <v>111984.16332407299</v>
      </c>
      <c r="AP68" s="5">
        <f t="shared" si="171"/>
        <v>162276.29130145951</v>
      </c>
      <c r="AQ68" s="5">
        <f t="shared" si="171"/>
        <v>218114.41770629928</v>
      </c>
      <c r="AR68" s="5">
        <f t="shared" si="171"/>
        <v>280083.04648840113</v>
      </c>
      <c r="AS68" s="5">
        <f t="shared" si="171"/>
        <v>348828.96488052013</v>
      </c>
      <c r="AT68" s="5">
        <f t="shared" si="171"/>
        <v>425068.00351358578</v>
      </c>
      <c r="AU68" s="5">
        <f t="shared" si="171"/>
        <v>509592.54513926397</v>
      </c>
    </row>
    <row r="69" spans="2:59" x14ac:dyDescent="0.2">
      <c r="B69" s="10" t="s">
        <v>4</v>
      </c>
      <c r="F69" s="2">
        <v>42122</v>
      </c>
      <c r="G69" s="2">
        <v>33834</v>
      </c>
      <c r="H69" s="2">
        <v>40380</v>
      </c>
      <c r="I69" s="2">
        <v>29944</v>
      </c>
      <c r="J69" s="2">
        <v>36220</v>
      </c>
      <c r="K69" s="2">
        <v>36393</v>
      </c>
      <c r="L69" s="2">
        <v>37478</v>
      </c>
      <c r="M69" s="2">
        <v>36220</v>
      </c>
    </row>
    <row r="70" spans="2:59" x14ac:dyDescent="0.2">
      <c r="B70" s="10" t="s">
        <v>51</v>
      </c>
      <c r="F70" s="2">
        <v>42274</v>
      </c>
      <c r="G70" s="2">
        <v>39436</v>
      </c>
      <c r="H70" s="2">
        <v>49514</v>
      </c>
      <c r="I70" s="2">
        <v>49044</v>
      </c>
      <c r="J70" s="2">
        <v>59829</v>
      </c>
      <c r="K70" s="2">
        <v>29992</v>
      </c>
      <c r="L70" s="2">
        <v>23232</v>
      </c>
      <c r="M70" s="2">
        <v>59829</v>
      </c>
    </row>
    <row r="71" spans="2:59" x14ac:dyDescent="0.2">
      <c r="B71" s="10" t="s">
        <v>52</v>
      </c>
      <c r="F71" s="2">
        <v>23795</v>
      </c>
      <c r="G71" s="2">
        <v>23849</v>
      </c>
      <c r="H71" s="2">
        <v>24119</v>
      </c>
      <c r="I71" s="2">
        <v>30933</v>
      </c>
      <c r="J71" s="2">
        <v>32640</v>
      </c>
      <c r="K71" s="2">
        <v>34987</v>
      </c>
      <c r="L71" s="5">
        <v>38153</v>
      </c>
      <c r="M71" s="2">
        <v>32640</v>
      </c>
      <c r="AZ71" s="5" t="s">
        <v>172</v>
      </c>
    </row>
    <row r="72" spans="2:59" x14ac:dyDescent="0.2">
      <c r="B72" s="10" t="s">
        <v>53</v>
      </c>
      <c r="F72" s="2">
        <v>24542</v>
      </c>
      <c r="G72" s="2">
        <v>24289</v>
      </c>
      <c r="H72" s="2">
        <v>26835</v>
      </c>
      <c r="I72" s="2">
        <v>28610</v>
      </c>
      <c r="J72" s="2">
        <v>32891</v>
      </c>
      <c r="K72" s="2">
        <v>32504</v>
      </c>
      <c r="L72" s="2">
        <v>34804</v>
      </c>
      <c r="M72" s="2">
        <v>32891</v>
      </c>
    </row>
    <row r="73" spans="2:59" s="5" customFormat="1" x14ac:dyDescent="0.2">
      <c r="B73" s="13" t="s">
        <v>54</v>
      </c>
      <c r="F73" s="5">
        <f t="shared" ref="F73:L73" si="172">+SUM(F69:F72)</f>
        <v>132733</v>
      </c>
      <c r="G73" s="5">
        <f t="shared" si="172"/>
        <v>121408</v>
      </c>
      <c r="H73" s="5">
        <f t="shared" si="172"/>
        <v>140848</v>
      </c>
      <c r="I73" s="5">
        <f t="shared" si="172"/>
        <v>138531</v>
      </c>
      <c r="J73" s="5">
        <f t="shared" si="172"/>
        <v>161580</v>
      </c>
      <c r="K73" s="5">
        <f t="shared" si="172"/>
        <v>133876</v>
      </c>
      <c r="L73" s="5">
        <f t="shared" si="172"/>
        <v>133667</v>
      </c>
      <c r="M73" s="5">
        <f t="shared" ref="M73" si="173">+SUM(M69:M72)</f>
        <v>161580</v>
      </c>
    </row>
    <row r="74" spans="2:59" x14ac:dyDescent="0.2">
      <c r="B74" s="10" t="s">
        <v>55</v>
      </c>
      <c r="F74" s="2">
        <v>113114</v>
      </c>
      <c r="G74" s="2">
        <v>121461</v>
      </c>
      <c r="H74" s="2">
        <v>133502</v>
      </c>
      <c r="I74" s="2">
        <v>147152</v>
      </c>
      <c r="J74" s="2">
        <v>160281</v>
      </c>
      <c r="K74" s="2">
        <v>168468</v>
      </c>
      <c r="L74" s="2">
        <v>173706</v>
      </c>
      <c r="M74" s="2">
        <v>160281</v>
      </c>
    </row>
    <row r="75" spans="2:59" x14ac:dyDescent="0.2">
      <c r="B75" s="10" t="s">
        <v>56</v>
      </c>
      <c r="F75" s="2">
        <v>37553</v>
      </c>
      <c r="G75" s="2">
        <v>39328</v>
      </c>
      <c r="H75" s="2">
        <v>43346</v>
      </c>
      <c r="I75" s="2">
        <v>52151</v>
      </c>
      <c r="J75" s="2">
        <v>56082</v>
      </c>
      <c r="K75" s="2">
        <v>56161</v>
      </c>
      <c r="L75" s="2">
        <v>58430</v>
      </c>
      <c r="M75" s="2">
        <v>56082</v>
      </c>
    </row>
    <row r="76" spans="2:59" x14ac:dyDescent="0.2">
      <c r="B76" s="10" t="s">
        <v>57</v>
      </c>
      <c r="F76" s="2">
        <v>15017</v>
      </c>
      <c r="G76" s="2">
        <v>15220</v>
      </c>
      <c r="H76" s="2">
        <v>15350</v>
      </c>
      <c r="I76" s="2">
        <v>15345</v>
      </c>
      <c r="J76" s="2">
        <v>15371</v>
      </c>
      <c r="K76" s="2">
        <v>20229</v>
      </c>
      <c r="L76" s="2">
        <v>20195</v>
      </c>
      <c r="M76" s="2">
        <v>15371</v>
      </c>
    </row>
    <row r="77" spans="2:59" x14ac:dyDescent="0.2">
      <c r="B77" s="10" t="s">
        <v>58</v>
      </c>
      <c r="F77" s="2">
        <v>22778</v>
      </c>
      <c r="G77" s="2">
        <v>25660</v>
      </c>
      <c r="H77" s="2">
        <v>27273</v>
      </c>
      <c r="I77" s="2">
        <v>29227</v>
      </c>
      <c r="J77" s="2">
        <v>27235</v>
      </c>
      <c r="K77" s="2">
        <v>32033</v>
      </c>
      <c r="L77" s="2">
        <v>33730</v>
      </c>
      <c r="M77" s="2">
        <v>27235</v>
      </c>
    </row>
    <row r="78" spans="2:59" s="5" customFormat="1" x14ac:dyDescent="0.2">
      <c r="B78" s="13" t="s">
        <v>59</v>
      </c>
      <c r="F78" s="5">
        <f t="shared" ref="F78:L78" si="174">+SUM(F73:F77)</f>
        <v>321195</v>
      </c>
      <c r="G78" s="5">
        <f t="shared" si="174"/>
        <v>323077</v>
      </c>
      <c r="H78" s="5">
        <f t="shared" si="174"/>
        <v>360319</v>
      </c>
      <c r="I78" s="5">
        <f t="shared" si="174"/>
        <v>382406</v>
      </c>
      <c r="J78" s="5">
        <f t="shared" si="174"/>
        <v>420549</v>
      </c>
      <c r="K78" s="5">
        <f t="shared" si="174"/>
        <v>410767</v>
      </c>
      <c r="L78" s="5">
        <f t="shared" si="174"/>
        <v>419728</v>
      </c>
      <c r="M78" s="5">
        <f t="shared" ref="M78" si="175">+SUM(M73:M77)</f>
        <v>420549</v>
      </c>
    </row>
    <row r="80" spans="2:59" x14ac:dyDescent="0.2">
      <c r="B80" s="10" t="s">
        <v>60</v>
      </c>
      <c r="F80" s="2">
        <v>72539</v>
      </c>
      <c r="G80" s="2">
        <v>63926</v>
      </c>
      <c r="H80" s="2">
        <v>66090</v>
      </c>
      <c r="I80" s="2">
        <v>71474</v>
      </c>
      <c r="J80" s="2">
        <v>78664</v>
      </c>
      <c r="K80" s="2">
        <v>68547</v>
      </c>
      <c r="L80" s="2">
        <v>71219</v>
      </c>
      <c r="M80" s="2">
        <v>78664</v>
      </c>
    </row>
    <row r="81" spans="2:13" x14ac:dyDescent="0.2">
      <c r="B81" s="10" t="s">
        <v>61</v>
      </c>
      <c r="F81" s="2">
        <v>44138</v>
      </c>
      <c r="G81" s="2">
        <v>40939</v>
      </c>
      <c r="H81" s="2">
        <v>41007</v>
      </c>
      <c r="I81" s="2">
        <v>41546</v>
      </c>
      <c r="J81" s="2">
        <v>51775</v>
      </c>
      <c r="K81" s="2">
        <v>58141</v>
      </c>
      <c r="L81" s="2">
        <v>56254</v>
      </c>
      <c r="M81" s="2">
        <v>51775</v>
      </c>
    </row>
    <row r="82" spans="2:13" x14ac:dyDescent="0.2">
      <c r="B82" s="10" t="s">
        <v>62</v>
      </c>
      <c r="F82" s="2">
        <v>9708</v>
      </c>
      <c r="G82" s="2">
        <v>10539</v>
      </c>
      <c r="H82" s="2">
        <v>10695</v>
      </c>
      <c r="I82" s="2">
        <v>10974</v>
      </c>
      <c r="J82" s="2">
        <v>11827</v>
      </c>
      <c r="K82" s="2">
        <v>12820</v>
      </c>
      <c r="L82" s="2">
        <v>12818</v>
      </c>
      <c r="M82" s="2">
        <v>11827</v>
      </c>
    </row>
    <row r="83" spans="2:13" s="5" customFormat="1" x14ac:dyDescent="0.2">
      <c r="B83" s="13" t="s">
        <v>63</v>
      </c>
      <c r="F83" s="5">
        <f t="shared" ref="F83:L83" si="176">+SUM(F80:F82)</f>
        <v>126385</v>
      </c>
      <c r="G83" s="5">
        <f t="shared" si="176"/>
        <v>115404</v>
      </c>
      <c r="H83" s="5">
        <f t="shared" si="176"/>
        <v>117792</v>
      </c>
      <c r="I83" s="5">
        <f t="shared" si="176"/>
        <v>123994</v>
      </c>
      <c r="J83" s="5">
        <f t="shared" si="176"/>
        <v>142266</v>
      </c>
      <c r="K83" s="5">
        <f t="shared" si="176"/>
        <v>139508</v>
      </c>
      <c r="L83" s="5">
        <f t="shared" si="176"/>
        <v>140291</v>
      </c>
      <c r="M83" s="5">
        <f t="shared" ref="M83" si="177">+SUM(M80:M82)</f>
        <v>142266</v>
      </c>
    </row>
    <row r="84" spans="2:13" x14ac:dyDescent="0.2">
      <c r="B84" s="10" t="s">
        <v>64</v>
      </c>
      <c r="F84" s="2">
        <v>52573</v>
      </c>
      <c r="G84" s="2">
        <v>53067</v>
      </c>
      <c r="H84" s="2">
        <v>56297</v>
      </c>
      <c r="I84" s="2">
        <v>63848</v>
      </c>
      <c r="J84" s="2">
        <v>67651</v>
      </c>
      <c r="K84" s="2">
        <v>65731</v>
      </c>
      <c r="L84" s="2">
        <v>66524</v>
      </c>
      <c r="M84" s="2">
        <v>67651</v>
      </c>
    </row>
    <row r="85" spans="2:13" x14ac:dyDescent="0.2">
      <c r="B85" s="10" t="s">
        <v>65</v>
      </c>
      <c r="F85" s="2">
        <v>31816</v>
      </c>
      <c r="G85" s="2">
        <v>31868</v>
      </c>
      <c r="H85" s="2">
        <v>50279</v>
      </c>
      <c r="I85" s="2">
        <v>50055</v>
      </c>
      <c r="J85" s="2">
        <v>48744</v>
      </c>
      <c r="K85" s="2">
        <v>47556</v>
      </c>
      <c r="L85" s="2">
        <v>58053</v>
      </c>
      <c r="M85" s="2">
        <v>48744</v>
      </c>
    </row>
    <row r="86" spans="2:13" x14ac:dyDescent="0.2">
      <c r="B86" s="10" t="s">
        <v>66</v>
      </c>
      <c r="F86" s="2">
        <v>17017</v>
      </c>
      <c r="G86" s="2">
        <v>19418</v>
      </c>
      <c r="H86" s="2">
        <v>21148</v>
      </c>
      <c r="I86" s="2">
        <v>23945</v>
      </c>
      <c r="J86" s="2">
        <v>23643</v>
      </c>
      <c r="K86" s="2">
        <v>23971</v>
      </c>
      <c r="L86" s="2">
        <v>23458</v>
      </c>
      <c r="M86" s="2">
        <v>23643</v>
      </c>
    </row>
    <row r="87" spans="2:13" s="5" customFormat="1" x14ac:dyDescent="0.2">
      <c r="B87" s="13" t="s">
        <v>48</v>
      </c>
      <c r="F87" s="5">
        <f t="shared" ref="F87:L87" si="178">+SUM(F83:F86)</f>
        <v>227791</v>
      </c>
      <c r="G87" s="5">
        <f t="shared" si="178"/>
        <v>219757</v>
      </c>
      <c r="H87" s="5">
        <f t="shared" si="178"/>
        <v>245516</v>
      </c>
      <c r="I87" s="5">
        <f t="shared" si="178"/>
        <v>261842</v>
      </c>
      <c r="J87" s="5">
        <f t="shared" si="178"/>
        <v>282304</v>
      </c>
      <c r="K87" s="5">
        <f t="shared" si="178"/>
        <v>276766</v>
      </c>
      <c r="L87" s="5">
        <f t="shared" si="178"/>
        <v>288326</v>
      </c>
      <c r="M87" s="5">
        <f t="shared" ref="M87" si="179">+SUM(M83:M86)</f>
        <v>282304</v>
      </c>
    </row>
    <row r="88" spans="2:13" x14ac:dyDescent="0.2">
      <c r="B88" s="10" t="s">
        <v>67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</row>
    <row r="89" spans="2:13" x14ac:dyDescent="0.2">
      <c r="B89" s="10" t="s">
        <v>68</v>
      </c>
      <c r="F89" s="2">
        <v>5</v>
      </c>
      <c r="G89" s="2">
        <v>5</v>
      </c>
      <c r="H89" s="2">
        <v>5</v>
      </c>
      <c r="I89" s="2">
        <v>5</v>
      </c>
      <c r="J89" s="2">
        <v>106</v>
      </c>
      <c r="K89" s="2">
        <v>5</v>
      </c>
      <c r="L89" s="2">
        <v>107</v>
      </c>
      <c r="M89" s="2">
        <v>106</v>
      </c>
    </row>
    <row r="90" spans="2:13" x14ac:dyDescent="0.2">
      <c r="B90" s="10" t="s">
        <v>69</v>
      </c>
      <c r="F90" s="2">
        <v>-1837</v>
      </c>
      <c r="G90" s="2">
        <v>-1837</v>
      </c>
      <c r="H90" s="2">
        <v>-1837</v>
      </c>
      <c r="I90" s="2">
        <v>-1837</v>
      </c>
      <c r="J90" s="2">
        <v>-1837</v>
      </c>
      <c r="K90" s="2">
        <v>-4503</v>
      </c>
      <c r="L90" s="2">
        <v>-7837</v>
      </c>
      <c r="M90" s="2">
        <v>-1837</v>
      </c>
    </row>
    <row r="91" spans="2:13" x14ac:dyDescent="0.2">
      <c r="B91" s="10" t="s">
        <v>70</v>
      </c>
      <c r="F91" s="2">
        <v>42865</v>
      </c>
      <c r="G91" s="2">
        <v>45160</v>
      </c>
      <c r="H91" s="2">
        <v>48724</v>
      </c>
      <c r="I91" s="2">
        <v>51879</v>
      </c>
      <c r="J91" s="2">
        <v>55437</v>
      </c>
      <c r="K91" s="2">
        <v>58793</v>
      </c>
      <c r="L91" s="2">
        <v>63871</v>
      </c>
      <c r="M91" s="2">
        <v>55437</v>
      </c>
    </row>
    <row r="92" spans="2:13" x14ac:dyDescent="0.2">
      <c r="B92" s="10" t="s">
        <v>71</v>
      </c>
      <c r="F92" s="2">
        <v>-180</v>
      </c>
      <c r="G92" s="2">
        <v>-666</v>
      </c>
      <c r="H92" s="2">
        <v>-525</v>
      </c>
      <c r="I92" s="2">
        <v>-1075</v>
      </c>
      <c r="J92" s="2">
        <v>-1376</v>
      </c>
      <c r="K92" s="2">
        <v>-2365</v>
      </c>
      <c r="L92" s="2">
        <v>-4782</v>
      </c>
      <c r="M92" s="2">
        <v>-1376</v>
      </c>
    </row>
    <row r="93" spans="2:13" x14ac:dyDescent="0.2">
      <c r="B93" s="10" t="s">
        <v>72</v>
      </c>
      <c r="F93" s="2">
        <v>52551</v>
      </c>
      <c r="G93" s="2">
        <v>60658</v>
      </c>
      <c r="H93" s="2">
        <v>68436</v>
      </c>
      <c r="I93" s="2">
        <v>71592</v>
      </c>
      <c r="J93" s="2">
        <v>85915</v>
      </c>
      <c r="K93" s="2">
        <v>82071</v>
      </c>
      <c r="L93" s="2">
        <v>80043</v>
      </c>
      <c r="M93" s="2">
        <v>85915</v>
      </c>
    </row>
    <row r="94" spans="2:13" x14ac:dyDescent="0.2">
      <c r="B94" s="10" t="s">
        <v>50</v>
      </c>
      <c r="F94" s="2">
        <f t="shared" ref="F94:M94" si="180">+SUM(F88:F93)</f>
        <v>93404</v>
      </c>
      <c r="G94" s="2">
        <f t="shared" si="180"/>
        <v>103320</v>
      </c>
      <c r="H94" s="2">
        <f t="shared" si="180"/>
        <v>114803</v>
      </c>
      <c r="I94" s="2">
        <f t="shared" si="180"/>
        <v>120564</v>
      </c>
      <c r="J94" s="2">
        <f t="shared" si="180"/>
        <v>138245</v>
      </c>
      <c r="K94" s="2">
        <f t="shared" si="180"/>
        <v>134001</v>
      </c>
      <c r="L94" s="2">
        <f t="shared" si="180"/>
        <v>131402</v>
      </c>
      <c r="M94" s="2">
        <f t="shared" si="180"/>
        <v>138245</v>
      </c>
    </row>
    <row r="95" spans="2:13" s="5" customFormat="1" x14ac:dyDescent="0.2">
      <c r="B95" s="13" t="s">
        <v>49</v>
      </c>
      <c r="F95" s="5">
        <f t="shared" ref="F95:L95" si="181">+F87+F94</f>
        <v>321195</v>
      </c>
      <c r="G95" s="5">
        <f t="shared" si="181"/>
        <v>323077</v>
      </c>
      <c r="H95" s="5">
        <f t="shared" si="181"/>
        <v>360319</v>
      </c>
      <c r="I95" s="5">
        <f t="shared" si="181"/>
        <v>382406</v>
      </c>
      <c r="J95" s="5">
        <f t="shared" si="181"/>
        <v>420549</v>
      </c>
      <c r="K95" s="5">
        <f t="shared" si="181"/>
        <v>410767</v>
      </c>
      <c r="L95" s="5">
        <f t="shared" si="181"/>
        <v>419728</v>
      </c>
      <c r="M95" s="5">
        <f t="shared" ref="M95" si="182">+M87+M94</f>
        <v>420549</v>
      </c>
    </row>
    <row r="96" spans="2:13" x14ac:dyDescent="0.2">
      <c r="F96" s="19" t="str">
        <f t="shared" ref="F96:L96" si="183">IF(F78=F95,"OK","N")</f>
        <v>OK</v>
      </c>
      <c r="G96" s="19" t="str">
        <f t="shared" si="183"/>
        <v>OK</v>
      </c>
      <c r="H96" s="19" t="str">
        <f t="shared" si="183"/>
        <v>OK</v>
      </c>
      <c r="I96" s="19" t="str">
        <f t="shared" si="183"/>
        <v>OK</v>
      </c>
      <c r="J96" s="19" t="str">
        <f t="shared" si="183"/>
        <v>OK</v>
      </c>
      <c r="K96" s="19" t="str">
        <f t="shared" si="183"/>
        <v>OK</v>
      </c>
      <c r="L96" s="19" t="str">
        <f t="shared" si="183"/>
        <v>OK</v>
      </c>
      <c r="M96" s="19" t="str">
        <f>IF(M78=M95,"OK","N")</f>
        <v>OK</v>
      </c>
    </row>
    <row r="97" spans="2:13" x14ac:dyDescent="0.2">
      <c r="F97" s="19"/>
      <c r="G97" s="19"/>
      <c r="H97" s="19"/>
      <c r="I97" s="19"/>
      <c r="J97" s="19"/>
      <c r="K97" s="19"/>
      <c r="L97" s="19"/>
      <c r="M97" s="19"/>
    </row>
    <row r="98" spans="2:13" s="6" customFormat="1" x14ac:dyDescent="0.2">
      <c r="B98" s="16" t="s">
        <v>148</v>
      </c>
      <c r="F98" s="46">
        <f t="shared" ref="F98:M98" si="184">SUM(C48:F48)/F94</f>
        <v>0.22837351719412444</v>
      </c>
      <c r="G98" s="46">
        <f t="shared" si="184"/>
        <v>0.26038521099496709</v>
      </c>
      <c r="H98" s="46">
        <f t="shared" si="184"/>
        <v>0.25642187050861043</v>
      </c>
      <c r="I98" s="46">
        <f t="shared" si="184"/>
        <v>0.21783451113101754</v>
      </c>
      <c r="J98" s="46">
        <f t="shared" si="184"/>
        <v>0.2413396506202756</v>
      </c>
      <c r="K98" s="46">
        <f t="shared" si="184"/>
        <v>0.15979731494541086</v>
      </c>
      <c r="L98" s="46">
        <f t="shared" si="184"/>
        <v>8.8331988858617067E-2</v>
      </c>
      <c r="M98" s="46">
        <f t="shared" si="184"/>
        <v>8.1905313031212706E-2</v>
      </c>
    </row>
    <row r="99" spans="2:13" x14ac:dyDescent="0.2">
      <c r="B99" s="10" t="s">
        <v>149</v>
      </c>
      <c r="F99" s="19">
        <f>F73-F83</f>
        <v>6348</v>
      </c>
      <c r="G99" s="19">
        <f t="shared" ref="G99:M99" si="185">G73-G83</f>
        <v>6004</v>
      </c>
      <c r="H99" s="19">
        <f t="shared" si="185"/>
        <v>23056</v>
      </c>
      <c r="I99" s="19">
        <f t="shared" si="185"/>
        <v>14537</v>
      </c>
      <c r="J99" s="19">
        <f t="shared" si="185"/>
        <v>19314</v>
      </c>
      <c r="K99" s="19">
        <f t="shared" si="185"/>
        <v>-5632</v>
      </c>
      <c r="L99" s="19">
        <f t="shared" si="185"/>
        <v>-6624</v>
      </c>
      <c r="M99" s="19">
        <f t="shared" si="185"/>
        <v>19314</v>
      </c>
    </row>
    <row r="100" spans="2:13" x14ac:dyDescent="0.2">
      <c r="F100" s="19"/>
      <c r="G100" s="19"/>
      <c r="H100" s="19"/>
      <c r="I100" s="19"/>
      <c r="J100" s="19"/>
      <c r="K100" s="19"/>
      <c r="L100" s="19"/>
      <c r="M100" s="19"/>
    </row>
    <row r="102" spans="2:13" x14ac:dyDescent="0.2">
      <c r="B102" s="10" t="s">
        <v>74</v>
      </c>
      <c r="G102" s="6">
        <f t="shared" ref="G102:K102" si="186">+G69/F69-1</f>
        <v>-0.19676178718959214</v>
      </c>
      <c r="H102" s="6">
        <f t="shared" si="186"/>
        <v>0.19347402021635052</v>
      </c>
      <c r="I102" s="6">
        <f t="shared" si="186"/>
        <v>-0.25844477464091131</v>
      </c>
      <c r="J102" s="6">
        <f t="shared" si="186"/>
        <v>0.20959123697568804</v>
      </c>
      <c r="K102" s="6">
        <f t="shared" si="186"/>
        <v>4.7763666482605327E-3</v>
      </c>
      <c r="L102" s="6">
        <f>+L69/K69-1</f>
        <v>2.9813425658780535E-2</v>
      </c>
      <c r="M102" s="6">
        <f>+M69/L69-1</f>
        <v>-3.3566358930572582E-2</v>
      </c>
    </row>
    <row r="103" spans="2:13" x14ac:dyDescent="0.2">
      <c r="B103" s="10" t="s">
        <v>5</v>
      </c>
      <c r="F103" s="2">
        <f>+F85</f>
        <v>31816</v>
      </c>
      <c r="G103" s="2">
        <f t="shared" ref="G103:M103" si="187">+G85</f>
        <v>31868</v>
      </c>
      <c r="H103" s="2">
        <f t="shared" si="187"/>
        <v>50279</v>
      </c>
      <c r="I103" s="2">
        <f t="shared" si="187"/>
        <v>50055</v>
      </c>
      <c r="J103" s="2">
        <f t="shared" si="187"/>
        <v>48744</v>
      </c>
      <c r="K103" s="2">
        <f t="shared" si="187"/>
        <v>47556</v>
      </c>
      <c r="L103" s="2">
        <f t="shared" si="187"/>
        <v>58053</v>
      </c>
      <c r="M103" s="2">
        <f t="shared" si="187"/>
        <v>48744</v>
      </c>
    </row>
    <row r="104" spans="2:13" x14ac:dyDescent="0.2">
      <c r="B104" s="10" t="s">
        <v>141</v>
      </c>
      <c r="G104" s="2">
        <f t="shared" ref="G104:K104" si="188">+G103-F103</f>
        <v>52</v>
      </c>
      <c r="H104" s="2">
        <f t="shared" si="188"/>
        <v>18411</v>
      </c>
      <c r="I104" s="2">
        <f t="shared" si="188"/>
        <v>-224</v>
      </c>
      <c r="J104" s="2">
        <f t="shared" si="188"/>
        <v>-1311</v>
      </c>
      <c r="K104" s="2">
        <f t="shared" si="188"/>
        <v>-1188</v>
      </c>
      <c r="L104" s="5">
        <f>+L103-K103</f>
        <v>10497</v>
      </c>
      <c r="M104" s="2">
        <f>+M103-L103</f>
        <v>-9309</v>
      </c>
    </row>
    <row r="105" spans="2:13" x14ac:dyDescent="0.2">
      <c r="B105" s="10" t="s">
        <v>142</v>
      </c>
      <c r="G105" s="6"/>
      <c r="H105" s="6"/>
      <c r="I105" s="6"/>
      <c r="J105" s="6"/>
      <c r="K105" s="6"/>
      <c r="L105" s="6"/>
      <c r="M105" s="6"/>
    </row>
    <row r="106" spans="2:13" x14ac:dyDescent="0.2">
      <c r="G106" s="6"/>
      <c r="H106" s="6"/>
      <c r="I106" s="6"/>
      <c r="J106" s="6"/>
      <c r="K106" s="6"/>
      <c r="L106" s="6"/>
      <c r="M106" s="6"/>
    </row>
    <row r="107" spans="2:13" x14ac:dyDescent="0.2">
      <c r="B107" s="10" t="s">
        <v>143</v>
      </c>
      <c r="G107" s="2">
        <f t="shared" ref="G107:K107" si="189">SUM(G138)</f>
        <v>1926</v>
      </c>
      <c r="H107" s="2">
        <f t="shared" si="189"/>
        <v>1176</v>
      </c>
      <c r="I107" s="2">
        <f t="shared" si="189"/>
        <v>2187</v>
      </c>
      <c r="J107" s="2">
        <f t="shared" si="189"/>
        <v>2667</v>
      </c>
      <c r="K107" s="2">
        <f t="shared" si="189"/>
        <v>13743</v>
      </c>
      <c r="L107" s="2">
        <f>SUM(L138)</f>
        <v>4865</v>
      </c>
    </row>
    <row r="108" spans="2:13" x14ac:dyDescent="0.2">
      <c r="B108" s="10" t="s">
        <v>144</v>
      </c>
      <c r="G108" s="2">
        <f t="shared" ref="G108:K108" si="190">G140</f>
        <v>111</v>
      </c>
      <c r="H108" s="2">
        <f t="shared" si="190"/>
        <v>18516</v>
      </c>
      <c r="I108" s="2">
        <f t="shared" si="190"/>
        <v>176</v>
      </c>
      <c r="J108" s="2">
        <f t="shared" si="190"/>
        <v>200</v>
      </c>
      <c r="K108" s="2">
        <f t="shared" si="190"/>
        <v>0</v>
      </c>
      <c r="L108" s="2">
        <f>L140</f>
        <v>12824</v>
      </c>
    </row>
    <row r="109" spans="2:13" x14ac:dyDescent="0.2">
      <c r="G109" s="6"/>
      <c r="H109" s="6"/>
      <c r="I109" s="6"/>
      <c r="J109" s="6"/>
      <c r="K109" s="6"/>
      <c r="L109" s="6"/>
      <c r="M109" s="6"/>
    </row>
    <row r="110" spans="2:13" x14ac:dyDescent="0.2">
      <c r="B110" s="10" t="s">
        <v>145</v>
      </c>
      <c r="G110" s="2">
        <f t="shared" ref="G110:K110" si="191">+G139</f>
        <v>-2001</v>
      </c>
      <c r="H110" s="2">
        <f t="shared" si="191"/>
        <v>-1176</v>
      </c>
      <c r="I110" s="2">
        <f t="shared" si="191"/>
        <v>-1917</v>
      </c>
      <c r="J110" s="2">
        <f t="shared" si="191"/>
        <v>-2659</v>
      </c>
      <c r="K110" s="2">
        <f t="shared" si="191"/>
        <v>-6231</v>
      </c>
      <c r="L110" s="2">
        <f>+L139</f>
        <v>-7610</v>
      </c>
    </row>
    <row r="111" spans="2:13" x14ac:dyDescent="0.2">
      <c r="B111" s="10" t="s">
        <v>146</v>
      </c>
      <c r="G111" s="2">
        <f t="shared" ref="G111:K111" si="192">+G141</f>
        <v>-39</v>
      </c>
      <c r="H111" s="2">
        <f t="shared" si="192"/>
        <v>-41</v>
      </c>
      <c r="I111" s="2">
        <f t="shared" si="192"/>
        <v>-509</v>
      </c>
      <c r="J111" s="2">
        <f t="shared" si="192"/>
        <v>-1001</v>
      </c>
      <c r="K111" s="2">
        <f t="shared" si="192"/>
        <v>0</v>
      </c>
      <c r="L111" s="2">
        <f>+L141</f>
        <v>-1</v>
      </c>
    </row>
    <row r="113" spans="2:13" s="5" customFormat="1" x14ac:dyDescent="0.2">
      <c r="B113" s="13" t="s">
        <v>147</v>
      </c>
      <c r="G113" s="5">
        <f t="shared" ref="G113:K113" si="193">SUM(G107:G108,G110:G111)</f>
        <v>-3</v>
      </c>
      <c r="H113" s="5">
        <f t="shared" si="193"/>
        <v>18475</v>
      </c>
      <c r="I113" s="5">
        <f t="shared" si="193"/>
        <v>-63</v>
      </c>
      <c r="J113" s="5">
        <f t="shared" si="193"/>
        <v>-793</v>
      </c>
      <c r="K113" s="5">
        <f t="shared" si="193"/>
        <v>7512</v>
      </c>
      <c r="L113" s="5">
        <f>SUM(L107:L108,L110:L111)</f>
        <v>10078</v>
      </c>
    </row>
    <row r="114" spans="2:13" x14ac:dyDescent="0.2">
      <c r="G114" s="6"/>
      <c r="H114" s="6"/>
      <c r="I114" s="6"/>
      <c r="J114" s="6"/>
      <c r="K114" s="6"/>
      <c r="L114" s="46"/>
      <c r="M114" s="6"/>
    </row>
    <row r="116" spans="2:13" x14ac:dyDescent="0.2">
      <c r="B116" s="10" t="s">
        <v>75</v>
      </c>
      <c r="C116" s="2">
        <v>36410</v>
      </c>
      <c r="D116" s="2">
        <v>27505</v>
      </c>
      <c r="E116" s="2">
        <v>37842</v>
      </c>
      <c r="F116" s="2">
        <v>30202</v>
      </c>
      <c r="G116" s="2">
        <v>42377</v>
      </c>
      <c r="H116" s="2">
        <v>34155</v>
      </c>
      <c r="I116" s="2">
        <v>40667</v>
      </c>
      <c r="J116" s="2">
        <v>30177</v>
      </c>
      <c r="K116" s="2">
        <v>36477</v>
      </c>
      <c r="L116" s="2">
        <v>36599</v>
      </c>
      <c r="M116" s="2">
        <v>37700</v>
      </c>
    </row>
    <row r="117" spans="2:13" x14ac:dyDescent="0.2">
      <c r="B117" s="10" t="s">
        <v>76</v>
      </c>
      <c r="C117" s="2">
        <v>2535</v>
      </c>
      <c r="D117" s="2">
        <v>5243</v>
      </c>
      <c r="E117" s="2">
        <v>6331</v>
      </c>
      <c r="F117" s="2">
        <v>7222</v>
      </c>
      <c r="G117" s="2">
        <v>8107</v>
      </c>
      <c r="H117" s="2">
        <f>+H48</f>
        <v>7778</v>
      </c>
      <c r="I117" s="2">
        <v>3156</v>
      </c>
      <c r="J117" s="2">
        <v>14323</v>
      </c>
      <c r="K117" s="2">
        <v>-3844</v>
      </c>
      <c r="L117" s="2">
        <f>+L48</f>
        <v>-2028</v>
      </c>
      <c r="M117" s="2">
        <v>2872</v>
      </c>
    </row>
    <row r="118" spans="2:13" x14ac:dyDescent="0.2">
      <c r="B118" s="10" t="s">
        <v>77</v>
      </c>
      <c r="C118" s="2">
        <v>5362</v>
      </c>
      <c r="D118" s="2">
        <v>5748</v>
      </c>
      <c r="E118" s="2">
        <v>6523</v>
      </c>
      <c r="F118" s="2">
        <v>7618</v>
      </c>
      <c r="G118" s="2">
        <v>7508</v>
      </c>
      <c r="H118" s="2">
        <v>8038</v>
      </c>
      <c r="I118" s="2">
        <v>8948</v>
      </c>
      <c r="J118" s="2">
        <v>9802</v>
      </c>
      <c r="K118" s="2">
        <v>8978</v>
      </c>
      <c r="L118" s="2">
        <v>9594</v>
      </c>
      <c r="M118" s="2">
        <v>10204</v>
      </c>
    </row>
    <row r="119" spans="2:13" x14ac:dyDescent="0.2">
      <c r="B119" s="10" t="s">
        <v>78</v>
      </c>
      <c r="C119" s="2">
        <v>1757</v>
      </c>
      <c r="D119" s="2">
        <v>2601</v>
      </c>
      <c r="E119" s="2">
        <v>2288</v>
      </c>
      <c r="F119" s="2">
        <v>2562</v>
      </c>
      <c r="G119" s="2">
        <v>2306</v>
      </c>
      <c r="H119" s="2">
        <v>3591</v>
      </c>
      <c r="I119" s="2">
        <v>3180</v>
      </c>
      <c r="J119" s="2">
        <v>3680</v>
      </c>
      <c r="K119" s="2">
        <v>3250</v>
      </c>
      <c r="L119" s="2">
        <v>5209</v>
      </c>
      <c r="M119" s="2">
        <v>5556</v>
      </c>
    </row>
    <row r="120" spans="2:13" x14ac:dyDescent="0.2">
      <c r="B120" s="10" t="s">
        <v>79</v>
      </c>
      <c r="C120" s="2">
        <v>67</v>
      </c>
      <c r="D120" s="2">
        <v>282</v>
      </c>
      <c r="E120" s="2">
        <v>67</v>
      </c>
      <c r="F120" s="2">
        <v>-487</v>
      </c>
      <c r="G120" s="2">
        <v>30</v>
      </c>
      <c r="H120" s="2">
        <v>18</v>
      </c>
      <c r="I120" s="2">
        <v>24</v>
      </c>
      <c r="J120" s="2">
        <v>65</v>
      </c>
      <c r="K120" s="2">
        <v>215</v>
      </c>
      <c r="L120" s="2">
        <v>122</v>
      </c>
      <c r="M120" s="2">
        <v>123</v>
      </c>
    </row>
    <row r="121" spans="2:13" x14ac:dyDescent="0.2">
      <c r="B121" s="10" t="s">
        <v>80</v>
      </c>
      <c r="C121" s="2">
        <v>565</v>
      </c>
      <c r="D121" s="2">
        <v>-769</v>
      </c>
      <c r="E121" s="2">
        <v>-1051</v>
      </c>
      <c r="F121" s="2">
        <v>-1327</v>
      </c>
      <c r="G121" s="2">
        <v>-1456</v>
      </c>
      <c r="H121" s="2">
        <v>-1258</v>
      </c>
      <c r="I121" s="2">
        <v>340</v>
      </c>
      <c r="J121" s="2">
        <v>-11932</v>
      </c>
      <c r="K121" s="2">
        <v>8689</v>
      </c>
      <c r="L121" s="2">
        <v>6104</v>
      </c>
      <c r="M121" s="2">
        <f>+-1272</f>
        <v>-1272</v>
      </c>
    </row>
    <row r="122" spans="2:13" x14ac:dyDescent="0.2">
      <c r="B122" s="10" t="s">
        <v>81</v>
      </c>
      <c r="C122" s="2">
        <v>322</v>
      </c>
      <c r="D122" s="2">
        <v>465</v>
      </c>
      <c r="E122" s="2">
        <v>295</v>
      </c>
      <c r="F122" s="2">
        <v>-1636</v>
      </c>
      <c r="G122" s="2">
        <v>1703</v>
      </c>
      <c r="H122" s="2">
        <v>701</v>
      </c>
      <c r="I122" s="2">
        <v>909</v>
      </c>
      <c r="J122" s="2">
        <v>-3623</v>
      </c>
      <c r="K122" s="2">
        <v>-2001</v>
      </c>
      <c r="L122" s="2">
        <v>-1955</v>
      </c>
      <c r="M122" s="2">
        <v>-825</v>
      </c>
    </row>
    <row r="123" spans="2:13" x14ac:dyDescent="0.2">
      <c r="B123" s="10" t="s">
        <v>52</v>
      </c>
      <c r="C123" s="2">
        <v>1392</v>
      </c>
      <c r="D123" s="2">
        <v>-672</v>
      </c>
      <c r="E123" s="2">
        <v>-3899</v>
      </c>
      <c r="F123" s="2">
        <v>329</v>
      </c>
      <c r="G123" s="2">
        <v>-304</v>
      </c>
      <c r="H123" s="2">
        <v>-209</v>
      </c>
      <c r="I123" s="2">
        <v>-7059</v>
      </c>
      <c r="J123" s="2">
        <v>-1915</v>
      </c>
      <c r="K123" s="2">
        <v>-2614</v>
      </c>
      <c r="L123" s="2">
        <v>-3890</v>
      </c>
      <c r="M123" s="2">
        <v>732</v>
      </c>
    </row>
    <row r="124" spans="2:13" x14ac:dyDescent="0.2">
      <c r="B124" s="10" t="s">
        <v>53</v>
      </c>
      <c r="C124" s="2">
        <v>1262</v>
      </c>
      <c r="D124" s="2">
        <v>-2854</v>
      </c>
      <c r="E124" s="2">
        <v>-2016</v>
      </c>
      <c r="F124" s="2">
        <v>-4560</v>
      </c>
      <c r="G124" s="2">
        <v>-2255</v>
      </c>
      <c r="H124" s="2">
        <v>-4462</v>
      </c>
      <c r="I124" s="2">
        <v>-4890</v>
      </c>
      <c r="J124" s="2">
        <v>-6556</v>
      </c>
      <c r="K124" s="2">
        <v>-1516</v>
      </c>
      <c r="L124" s="2">
        <v>-6799</v>
      </c>
      <c r="M124" s="2">
        <f>+-4794</f>
        <v>-4794</v>
      </c>
    </row>
    <row r="125" spans="2:13" x14ac:dyDescent="0.2">
      <c r="B125" s="10" t="s">
        <v>60</v>
      </c>
      <c r="C125" s="2">
        <v>-8044</v>
      </c>
      <c r="D125" s="2">
        <v>8616</v>
      </c>
      <c r="E125" s="2">
        <v>3658</v>
      </c>
      <c r="F125" s="2">
        <v>13249</v>
      </c>
      <c r="G125" s="2">
        <v>-8266</v>
      </c>
      <c r="H125" s="2">
        <v>47</v>
      </c>
      <c r="I125" s="2">
        <v>3832</v>
      </c>
      <c r="J125" s="2">
        <v>7989</v>
      </c>
      <c r="K125" s="2">
        <v>-9380</v>
      </c>
      <c r="L125" s="2">
        <v>3699</v>
      </c>
      <c r="M125" s="2">
        <v>-1226</v>
      </c>
    </row>
    <row r="126" spans="2:13" x14ac:dyDescent="0.2">
      <c r="B126" s="10" t="s">
        <v>61</v>
      </c>
      <c r="C126" s="2">
        <v>-2761</v>
      </c>
      <c r="D126" s="2">
        <v>1699</v>
      </c>
      <c r="E126" s="2">
        <v>-310</v>
      </c>
      <c r="F126" s="2">
        <v>7127</v>
      </c>
      <c r="G126" s="2">
        <v>-4060</v>
      </c>
      <c r="H126" s="2">
        <v>-1685</v>
      </c>
      <c r="I126" s="2">
        <v>-1465</v>
      </c>
      <c r="J126" s="2">
        <v>9333</v>
      </c>
      <c r="K126" s="2">
        <v>-5903</v>
      </c>
      <c r="L126" s="2">
        <v>-1412</v>
      </c>
      <c r="M126" s="2">
        <v>-20</v>
      </c>
    </row>
    <row r="127" spans="2:13" x14ac:dyDescent="0.2">
      <c r="B127" s="10" t="s">
        <v>82</v>
      </c>
      <c r="C127" s="2">
        <v>607</v>
      </c>
      <c r="D127" s="2">
        <v>247</v>
      </c>
      <c r="E127" s="2">
        <v>78</v>
      </c>
      <c r="F127" s="2">
        <v>333</v>
      </c>
      <c r="G127" s="2">
        <v>900</v>
      </c>
      <c r="H127" s="2">
        <v>156</v>
      </c>
      <c r="I127" s="2">
        <v>338</v>
      </c>
      <c r="J127" s="2">
        <v>920</v>
      </c>
      <c r="K127" s="2">
        <v>1336</v>
      </c>
      <c r="L127" s="2">
        <v>321</v>
      </c>
      <c r="M127" s="2">
        <v>54</v>
      </c>
    </row>
    <row r="128" spans="2:13" s="5" customFormat="1" x14ac:dyDescent="0.2">
      <c r="B128" s="13" t="s">
        <v>83</v>
      </c>
      <c r="C128" s="5">
        <f t="shared" ref="C128:M128" si="194">+SUM(C117:C127)</f>
        <v>3064</v>
      </c>
      <c r="D128" s="5">
        <f t="shared" si="194"/>
        <v>20606</v>
      </c>
      <c r="E128" s="5">
        <f t="shared" si="194"/>
        <v>11964</v>
      </c>
      <c r="F128" s="5">
        <f t="shared" si="194"/>
        <v>30430</v>
      </c>
      <c r="G128" s="5">
        <f t="shared" si="194"/>
        <v>4213</v>
      </c>
      <c r="H128" s="5">
        <f t="shared" si="194"/>
        <v>12715</v>
      </c>
      <c r="I128" s="5">
        <f t="shared" si="194"/>
        <v>7313</v>
      </c>
      <c r="J128" s="5">
        <f t="shared" si="194"/>
        <v>22086</v>
      </c>
      <c r="K128" s="5">
        <f t="shared" si="194"/>
        <v>-2790</v>
      </c>
      <c r="L128" s="5">
        <f t="shared" si="194"/>
        <v>8965</v>
      </c>
      <c r="M128" s="5">
        <f t="shared" si="194"/>
        <v>11404</v>
      </c>
    </row>
    <row r="130" spans="2:13" x14ac:dyDescent="0.2">
      <c r="B130" s="10" t="s">
        <v>55</v>
      </c>
      <c r="C130" s="2">
        <v>-6795</v>
      </c>
      <c r="D130" s="2">
        <v>-7459</v>
      </c>
      <c r="E130" s="2">
        <v>-11063</v>
      </c>
      <c r="F130" s="2">
        <v>-14824</v>
      </c>
      <c r="G130" s="2">
        <v>-12082</v>
      </c>
      <c r="H130" s="2">
        <v>-14288</v>
      </c>
      <c r="I130" s="2">
        <v>-15748</v>
      </c>
      <c r="J130" s="2">
        <v>-18935</v>
      </c>
      <c r="K130" s="2">
        <v>-14951</v>
      </c>
      <c r="L130" s="2">
        <v>-15724</v>
      </c>
      <c r="M130" s="2">
        <v>-16378</v>
      </c>
    </row>
    <row r="131" spans="2:13" x14ac:dyDescent="0.2">
      <c r="B131" s="10" t="s">
        <v>84</v>
      </c>
      <c r="C131" s="2">
        <v>1367</v>
      </c>
      <c r="D131" s="2">
        <v>844</v>
      </c>
      <c r="E131" s="2">
        <v>1255</v>
      </c>
      <c r="F131" s="2">
        <v>1629</v>
      </c>
      <c r="G131" s="2">
        <v>895</v>
      </c>
      <c r="H131" s="2">
        <v>1300</v>
      </c>
      <c r="I131" s="2">
        <v>997</v>
      </c>
      <c r="J131" s="2">
        <v>2465</v>
      </c>
      <c r="K131" s="2">
        <v>1209</v>
      </c>
      <c r="L131" s="2">
        <v>1626</v>
      </c>
      <c r="M131" s="2">
        <v>1337</v>
      </c>
    </row>
    <row r="132" spans="2:13" x14ac:dyDescent="0.2">
      <c r="B132" s="10" t="s">
        <v>85</v>
      </c>
      <c r="C132" s="2">
        <v>-91</v>
      </c>
      <c r="D132" s="2">
        <v>-118</v>
      </c>
      <c r="E132" s="2">
        <v>-1735</v>
      </c>
      <c r="F132" s="2">
        <v>-380</v>
      </c>
      <c r="G132" s="2">
        <v>-630</v>
      </c>
      <c r="H132" s="2">
        <v>-320</v>
      </c>
      <c r="I132" s="2">
        <v>-654</v>
      </c>
      <c r="J132" s="2">
        <v>-381</v>
      </c>
      <c r="K132" s="2">
        <v>-6341</v>
      </c>
      <c r="L132" s="2">
        <v>-259</v>
      </c>
      <c r="M132" s="2">
        <v>-885</v>
      </c>
    </row>
    <row r="133" spans="2:13" x14ac:dyDescent="0.2">
      <c r="B133" s="10" t="s">
        <v>137</v>
      </c>
      <c r="C133" s="2">
        <v>11626</v>
      </c>
      <c r="D133" s="2">
        <v>8138</v>
      </c>
      <c r="E133" s="2">
        <v>13135</v>
      </c>
      <c r="F133" s="2">
        <v>17338</v>
      </c>
      <c r="G133" s="2">
        <v>17826</v>
      </c>
      <c r="H133" s="2">
        <v>13213</v>
      </c>
      <c r="I133" s="2">
        <v>15808</v>
      </c>
      <c r="J133" s="2">
        <v>12537</v>
      </c>
      <c r="K133" s="2">
        <v>22753</v>
      </c>
      <c r="L133" s="2">
        <v>2608</v>
      </c>
      <c r="M133" s="2">
        <v>557</v>
      </c>
    </row>
    <row r="134" spans="2:13" x14ac:dyDescent="0.2">
      <c r="B134" s="10" t="s">
        <v>86</v>
      </c>
      <c r="C134" s="2">
        <v>-15001</v>
      </c>
      <c r="D134" s="2">
        <v>-19209</v>
      </c>
      <c r="E134" s="2">
        <v>-17468</v>
      </c>
      <c r="F134" s="2">
        <v>-20801</v>
      </c>
      <c r="G134" s="2">
        <v>-14675</v>
      </c>
      <c r="H134" s="2">
        <v>-21985</v>
      </c>
      <c r="I134" s="2">
        <v>-15231</v>
      </c>
      <c r="J134" s="2">
        <v>-8266</v>
      </c>
      <c r="K134" s="2">
        <v>-1764</v>
      </c>
      <c r="L134" s="2">
        <v>-329</v>
      </c>
      <c r="M134" s="2">
        <v>-239</v>
      </c>
    </row>
    <row r="135" spans="2:13" s="5" customFormat="1" x14ac:dyDescent="0.2">
      <c r="B135" s="13" t="s">
        <v>87</v>
      </c>
      <c r="C135" s="5">
        <f t="shared" ref="C135:M135" si="195">+SUM(C130:C134)</f>
        <v>-8894</v>
      </c>
      <c r="D135" s="5">
        <f t="shared" si="195"/>
        <v>-17804</v>
      </c>
      <c r="E135" s="5">
        <f t="shared" si="195"/>
        <v>-15876</v>
      </c>
      <c r="F135" s="5">
        <f t="shared" si="195"/>
        <v>-17038</v>
      </c>
      <c r="G135" s="5">
        <f t="shared" si="195"/>
        <v>-8666</v>
      </c>
      <c r="H135" s="5">
        <f t="shared" si="195"/>
        <v>-22080</v>
      </c>
      <c r="I135" s="5">
        <f t="shared" si="195"/>
        <v>-14828</v>
      </c>
      <c r="J135" s="5">
        <f t="shared" si="195"/>
        <v>-12580</v>
      </c>
      <c r="K135" s="5">
        <f t="shared" si="195"/>
        <v>906</v>
      </c>
      <c r="L135" s="5">
        <f t="shared" si="195"/>
        <v>-12078</v>
      </c>
      <c r="M135" s="5">
        <f t="shared" si="195"/>
        <v>-15608</v>
      </c>
    </row>
    <row r="137" spans="2:13" x14ac:dyDescent="0.2">
      <c r="B137" s="10" t="s">
        <v>88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-2666</v>
      </c>
      <c r="L137" s="2">
        <v>-3334</v>
      </c>
      <c r="M137" s="2">
        <v>0</v>
      </c>
    </row>
    <row r="138" spans="2:13" x14ac:dyDescent="0.2">
      <c r="B138" s="10" t="s">
        <v>89</v>
      </c>
      <c r="C138" s="2">
        <v>617</v>
      </c>
      <c r="D138" s="2">
        <v>2433</v>
      </c>
      <c r="E138" s="2">
        <v>1311</v>
      </c>
      <c r="F138" s="2">
        <v>2434</v>
      </c>
      <c r="G138" s="2">
        <v>1926</v>
      </c>
      <c r="H138" s="2">
        <v>1176</v>
      </c>
      <c r="I138" s="2">
        <v>2187</v>
      </c>
      <c r="J138" s="2">
        <v>2667</v>
      </c>
      <c r="K138" s="2">
        <v>13743</v>
      </c>
      <c r="L138" s="2">
        <v>4865</v>
      </c>
      <c r="M138" s="2">
        <v>12338</v>
      </c>
    </row>
    <row r="139" spans="2:13" x14ac:dyDescent="0.2">
      <c r="B139" s="10" t="s">
        <v>90</v>
      </c>
      <c r="C139" s="2">
        <v>-631</v>
      </c>
      <c r="D139" s="2">
        <v>-1906</v>
      </c>
      <c r="E139" s="2">
        <v>-1349</v>
      </c>
      <c r="F139" s="2">
        <v>-2291</v>
      </c>
      <c r="G139" s="2">
        <v>-2001</v>
      </c>
      <c r="H139" s="2">
        <v>-1176</v>
      </c>
      <c r="I139" s="2">
        <v>-1917</v>
      </c>
      <c r="J139" s="2">
        <v>-2659</v>
      </c>
      <c r="K139" s="2">
        <v>-6231</v>
      </c>
      <c r="L139" s="2">
        <v>-7610</v>
      </c>
      <c r="M139" s="2">
        <v>-7916</v>
      </c>
    </row>
    <row r="140" spans="2:13" x14ac:dyDescent="0.2">
      <c r="B140" s="10" t="s">
        <v>91</v>
      </c>
      <c r="C140" s="2">
        <v>76</v>
      </c>
      <c r="D140" s="2">
        <v>9918</v>
      </c>
      <c r="E140" s="2">
        <v>0</v>
      </c>
      <c r="F140" s="2">
        <v>531</v>
      </c>
      <c r="G140" s="2">
        <v>111</v>
      </c>
      <c r="H140" s="2">
        <v>18516</v>
      </c>
      <c r="I140" s="2">
        <v>176</v>
      </c>
      <c r="J140" s="2">
        <v>200</v>
      </c>
      <c r="K140" s="2">
        <v>0</v>
      </c>
      <c r="L140" s="2">
        <v>12824</v>
      </c>
      <c r="M140" s="2">
        <v>107</v>
      </c>
    </row>
    <row r="141" spans="2:13" x14ac:dyDescent="0.2">
      <c r="B141" s="10" t="s">
        <v>92</v>
      </c>
      <c r="C141" s="2">
        <v>-36</v>
      </c>
      <c r="D141" s="2">
        <v>-205</v>
      </c>
      <c r="E141" s="2">
        <v>-1198</v>
      </c>
      <c r="F141" s="2">
        <v>-113</v>
      </c>
      <c r="G141" s="2">
        <v>-39</v>
      </c>
      <c r="H141" s="2">
        <v>-41</v>
      </c>
      <c r="I141" s="2">
        <v>-509</v>
      </c>
      <c r="J141" s="2">
        <v>-1001</v>
      </c>
      <c r="K141" s="2">
        <v>0</v>
      </c>
      <c r="L141" s="2">
        <v>-1</v>
      </c>
      <c r="M141" s="2">
        <v>0</v>
      </c>
    </row>
    <row r="142" spans="2:13" x14ac:dyDescent="0.2">
      <c r="B142" s="10" t="s">
        <v>93</v>
      </c>
      <c r="C142" s="2">
        <v>-2600</v>
      </c>
      <c r="D142" s="2">
        <v>-2817</v>
      </c>
      <c r="E142" s="2">
        <v>-2857</v>
      </c>
      <c r="F142" s="2">
        <v>-2368</v>
      </c>
      <c r="G142" s="2">
        <v>-3406</v>
      </c>
      <c r="H142" s="2">
        <v>-2804</v>
      </c>
      <c r="I142" s="2">
        <v>-2693</v>
      </c>
      <c r="J142" s="2">
        <v>-2260</v>
      </c>
      <c r="K142" s="2">
        <v>-2777</v>
      </c>
      <c r="L142" s="2">
        <v>-2059</v>
      </c>
      <c r="M142" s="2">
        <v>-1465</v>
      </c>
    </row>
    <row r="143" spans="2:13" x14ac:dyDescent="0.2">
      <c r="B143" s="10" t="s">
        <v>94</v>
      </c>
      <c r="C143" s="2">
        <v>-17</v>
      </c>
      <c r="D143" s="2">
        <v>-15</v>
      </c>
      <c r="E143" s="2">
        <v>-12</v>
      </c>
      <c r="F143" s="2">
        <v>-9</v>
      </c>
      <c r="G143" s="2">
        <v>-67</v>
      </c>
      <c r="H143" s="2">
        <v>-28</v>
      </c>
      <c r="I143" s="2">
        <v>-20</v>
      </c>
      <c r="J143" s="2">
        <v>-47</v>
      </c>
      <c r="K143" s="2">
        <v>-79</v>
      </c>
      <c r="L143" s="2">
        <v>-59</v>
      </c>
      <c r="M143" s="2">
        <v>-48</v>
      </c>
    </row>
    <row r="144" spans="2:13" s="5" customFormat="1" x14ac:dyDescent="0.2">
      <c r="B144" s="13" t="s">
        <v>95</v>
      </c>
      <c r="C144" s="5">
        <f t="shared" ref="C144:M144" si="196">+SUM(C137:C143)</f>
        <v>-2591</v>
      </c>
      <c r="D144" s="5">
        <f t="shared" si="196"/>
        <v>7408</v>
      </c>
      <c r="E144" s="5">
        <f t="shared" si="196"/>
        <v>-4105</v>
      </c>
      <c r="F144" s="5">
        <f t="shared" si="196"/>
        <v>-1816</v>
      </c>
      <c r="G144" s="5">
        <f t="shared" si="196"/>
        <v>-3476</v>
      </c>
      <c r="H144" s="5">
        <f t="shared" si="196"/>
        <v>15643</v>
      </c>
      <c r="I144" s="5">
        <f t="shared" si="196"/>
        <v>-2776</v>
      </c>
      <c r="J144" s="5">
        <f t="shared" si="196"/>
        <v>-3100</v>
      </c>
      <c r="K144" s="5">
        <f t="shared" si="196"/>
        <v>1990</v>
      </c>
      <c r="L144" s="5">
        <f t="shared" si="196"/>
        <v>4626</v>
      </c>
      <c r="M144" s="5">
        <f t="shared" si="196"/>
        <v>3016</v>
      </c>
    </row>
    <row r="145" spans="2:18" x14ac:dyDescent="0.2">
      <c r="B145" s="10" t="s">
        <v>96</v>
      </c>
      <c r="C145" s="2">
        <v>-484</v>
      </c>
      <c r="D145" s="2">
        <v>127</v>
      </c>
      <c r="E145" s="2">
        <v>377</v>
      </c>
      <c r="F145" s="2">
        <v>599</v>
      </c>
      <c r="G145" s="2">
        <v>-293</v>
      </c>
      <c r="H145" s="2">
        <v>234</v>
      </c>
      <c r="I145" s="2">
        <v>-199</v>
      </c>
      <c r="J145" s="2">
        <v>-106</v>
      </c>
      <c r="K145" s="2">
        <v>16</v>
      </c>
      <c r="L145" s="2">
        <v>-412</v>
      </c>
      <c r="M145" s="2">
        <v>-1334</v>
      </c>
    </row>
    <row r="146" spans="2:18" x14ac:dyDescent="0.2">
      <c r="B146" s="10" t="s">
        <v>97</v>
      </c>
      <c r="C146" s="2">
        <f t="shared" ref="C146:M146" si="197">+C128+C135+C144+C145</f>
        <v>-8905</v>
      </c>
      <c r="D146" s="2">
        <f t="shared" si="197"/>
        <v>10337</v>
      </c>
      <c r="E146" s="2">
        <f t="shared" si="197"/>
        <v>-7640</v>
      </c>
      <c r="F146" s="2">
        <f t="shared" si="197"/>
        <v>12175</v>
      </c>
      <c r="G146" s="2">
        <f t="shared" si="197"/>
        <v>-8222</v>
      </c>
      <c r="H146" s="2">
        <f t="shared" si="197"/>
        <v>6512</v>
      </c>
      <c r="I146" s="2">
        <f t="shared" si="197"/>
        <v>-10490</v>
      </c>
      <c r="J146" s="2">
        <f t="shared" si="197"/>
        <v>6300</v>
      </c>
      <c r="K146" s="2">
        <f t="shared" si="197"/>
        <v>122</v>
      </c>
      <c r="L146" s="2">
        <f t="shared" si="197"/>
        <v>1101</v>
      </c>
      <c r="M146" s="2">
        <f t="shared" si="197"/>
        <v>-2522</v>
      </c>
    </row>
    <row r="147" spans="2:18" s="5" customFormat="1" x14ac:dyDescent="0.2">
      <c r="B147" s="13" t="s">
        <v>98</v>
      </c>
      <c r="C147" s="5">
        <f t="shared" ref="C147:M147" si="198">+C116+C146</f>
        <v>27505</v>
      </c>
      <c r="D147" s="5">
        <f t="shared" si="198"/>
        <v>37842</v>
      </c>
      <c r="E147" s="5">
        <f t="shared" si="198"/>
        <v>30202</v>
      </c>
      <c r="F147" s="5">
        <f t="shared" si="198"/>
        <v>42377</v>
      </c>
      <c r="G147" s="5">
        <f t="shared" si="198"/>
        <v>34155</v>
      </c>
      <c r="H147" s="5">
        <f t="shared" si="198"/>
        <v>40667</v>
      </c>
      <c r="I147" s="5">
        <f t="shared" si="198"/>
        <v>30177</v>
      </c>
      <c r="J147" s="5">
        <f t="shared" si="198"/>
        <v>36477</v>
      </c>
      <c r="K147" s="5">
        <f t="shared" si="198"/>
        <v>36599</v>
      </c>
      <c r="L147" s="5">
        <f t="shared" si="198"/>
        <v>37700</v>
      </c>
      <c r="M147" s="5">
        <f t="shared" si="198"/>
        <v>35178</v>
      </c>
    </row>
    <row r="149" spans="2:18" x14ac:dyDescent="0.2">
      <c r="B149" s="10" t="s">
        <v>99</v>
      </c>
      <c r="C149" s="2">
        <f t="shared" ref="C149:K149" si="199">+C128+C130</f>
        <v>-3731</v>
      </c>
      <c r="D149" s="2">
        <f t="shared" si="199"/>
        <v>13147</v>
      </c>
      <c r="E149" s="2">
        <f t="shared" si="199"/>
        <v>901</v>
      </c>
      <c r="F149" s="2">
        <f t="shared" si="199"/>
        <v>15606</v>
      </c>
      <c r="G149" s="2">
        <f t="shared" si="199"/>
        <v>-7869</v>
      </c>
      <c r="H149" s="2">
        <f t="shared" si="199"/>
        <v>-1573</v>
      </c>
      <c r="I149" s="2">
        <f t="shared" si="199"/>
        <v>-8435</v>
      </c>
      <c r="J149" s="2">
        <f t="shared" si="199"/>
        <v>3151</v>
      </c>
      <c r="K149" s="2">
        <f t="shared" si="199"/>
        <v>-17741</v>
      </c>
      <c r="L149" s="2">
        <f>+L128+L130</f>
        <v>-6759</v>
      </c>
      <c r="M149" s="2">
        <f>+M128+M130</f>
        <v>-4974</v>
      </c>
    </row>
    <row r="150" spans="2:18" x14ac:dyDescent="0.2">
      <c r="B150" s="10" t="s">
        <v>135</v>
      </c>
      <c r="C150" s="2">
        <f t="shared" ref="C150:M150" si="200">+C48</f>
        <v>2535</v>
      </c>
      <c r="D150" s="2">
        <f t="shared" si="200"/>
        <v>5243</v>
      </c>
      <c r="E150" s="2">
        <f t="shared" si="200"/>
        <v>6331</v>
      </c>
      <c r="F150" s="2">
        <f t="shared" si="200"/>
        <v>7222</v>
      </c>
      <c r="G150" s="2">
        <f t="shared" si="200"/>
        <v>8107</v>
      </c>
      <c r="H150" s="2">
        <f t="shared" si="200"/>
        <v>7778</v>
      </c>
      <c r="I150" s="2">
        <f t="shared" si="200"/>
        <v>3156</v>
      </c>
      <c r="J150" s="2">
        <f t="shared" si="200"/>
        <v>14323</v>
      </c>
      <c r="K150" s="2">
        <f t="shared" si="200"/>
        <v>-3844</v>
      </c>
      <c r="L150" s="2">
        <f t="shared" si="200"/>
        <v>-2028</v>
      </c>
      <c r="M150" s="2">
        <f t="shared" si="200"/>
        <v>2872</v>
      </c>
    </row>
    <row r="152" spans="2:18" x14ac:dyDescent="0.2">
      <c r="B152" s="10" t="s">
        <v>136</v>
      </c>
      <c r="C152" s="2">
        <f>+C130</f>
        <v>-6795</v>
      </c>
      <c r="D152" s="2">
        <f t="shared" ref="D152:M152" si="201">+D130</f>
        <v>-7459</v>
      </c>
      <c r="E152" s="2">
        <f t="shared" si="201"/>
        <v>-11063</v>
      </c>
      <c r="F152" s="2">
        <f t="shared" si="201"/>
        <v>-14824</v>
      </c>
      <c r="G152" s="2">
        <f t="shared" si="201"/>
        <v>-12082</v>
      </c>
      <c r="H152" s="2">
        <f t="shared" si="201"/>
        <v>-14288</v>
      </c>
      <c r="I152" s="2">
        <f t="shared" si="201"/>
        <v>-15748</v>
      </c>
      <c r="J152" s="2">
        <f t="shared" si="201"/>
        <v>-18935</v>
      </c>
      <c r="K152" s="2">
        <f t="shared" si="201"/>
        <v>-14951</v>
      </c>
      <c r="L152" s="2">
        <f t="shared" si="201"/>
        <v>-15724</v>
      </c>
      <c r="M152" s="2">
        <f t="shared" si="201"/>
        <v>-16378</v>
      </c>
    </row>
    <row r="153" spans="2:18" x14ac:dyDescent="0.2">
      <c r="B153" s="10" t="s">
        <v>138</v>
      </c>
      <c r="M153" s="5">
        <f>AVERAGE(C152:M152)</f>
        <v>-13477</v>
      </c>
    </row>
    <row r="154" spans="2:18" x14ac:dyDescent="0.2">
      <c r="B154" s="10" t="s">
        <v>139</v>
      </c>
      <c r="M154" s="24">
        <f>_xlfn.RRI(11,C147,M147)</f>
        <v>2.2620511756484163E-2</v>
      </c>
    </row>
    <row r="160" spans="2:18" x14ac:dyDescent="0.2">
      <c r="B160" s="10" t="s">
        <v>51</v>
      </c>
      <c r="G160" s="2">
        <v>-76</v>
      </c>
      <c r="H160" s="2">
        <v>157</v>
      </c>
      <c r="I160" s="2">
        <v>-129</v>
      </c>
      <c r="K160" s="2">
        <v>-8245</v>
      </c>
      <c r="L160" s="2">
        <v>-4322</v>
      </c>
      <c r="M160" s="2">
        <v>1039</v>
      </c>
      <c r="N160" s="2">
        <f>+-13870-SUM(K160:M160)</f>
        <v>-2342</v>
      </c>
      <c r="O160" s="2">
        <v>-480</v>
      </c>
      <c r="P160" s="2">
        <v>299</v>
      </c>
      <c r="Q160" s="2">
        <v>1196</v>
      </c>
      <c r="R160" s="2">
        <f>984-SUM(O160:Q160)</f>
        <v>-31</v>
      </c>
    </row>
    <row r="161" spans="2:18" x14ac:dyDescent="0.2">
      <c r="B161" s="10" t="s">
        <v>165</v>
      </c>
      <c r="G161" s="2">
        <v>305</v>
      </c>
      <c r="H161" s="2">
        <v>939</v>
      </c>
      <c r="I161" s="2">
        <v>-50</v>
      </c>
      <c r="K161" s="2">
        <v>-312</v>
      </c>
      <c r="L161" s="2">
        <v>-1124</v>
      </c>
      <c r="M161" s="2">
        <v>-170</v>
      </c>
      <c r="N161" s="2">
        <f>+-2132-SUM(K161:M161)</f>
        <v>-526</v>
      </c>
      <c r="O161" s="2">
        <v>59</v>
      </c>
      <c r="P161" s="2">
        <v>-220</v>
      </c>
      <c r="Q161" s="2">
        <v>-27</v>
      </c>
      <c r="R161" s="2">
        <f>26-SUM(O161:Q161)</f>
        <v>214</v>
      </c>
    </row>
    <row r="162" spans="2:18" x14ac:dyDescent="0.2">
      <c r="B162" s="10" t="s">
        <v>166</v>
      </c>
      <c r="G162" s="2">
        <v>1475</v>
      </c>
      <c r="H162" s="2">
        <v>31</v>
      </c>
      <c r="I162" s="2">
        <v>155</v>
      </c>
      <c r="K162" s="2">
        <v>7</v>
      </c>
      <c r="L162" s="2">
        <v>58</v>
      </c>
      <c r="M162" s="2">
        <v>11</v>
      </c>
      <c r="N162" s="2">
        <f>76-SUM(K162:M162)</f>
        <v>0</v>
      </c>
      <c r="O162" s="2">
        <v>16</v>
      </c>
      <c r="P162" s="2">
        <v>10</v>
      </c>
      <c r="Q162" s="2">
        <v>7</v>
      </c>
      <c r="R162" s="2">
        <f>40-SUM(O162:Q162)</f>
        <v>7</v>
      </c>
    </row>
    <row r="163" spans="2:18" x14ac:dyDescent="0.2">
      <c r="B163" s="10" t="s">
        <v>167</v>
      </c>
      <c r="G163" s="2">
        <v>-31</v>
      </c>
      <c r="H163" s="2">
        <v>110</v>
      </c>
      <c r="I163" s="2">
        <v>-107</v>
      </c>
      <c r="K163" s="2">
        <v>14</v>
      </c>
      <c r="L163" s="2">
        <v>-117</v>
      </c>
      <c r="M163" s="2">
        <v>-103</v>
      </c>
      <c r="N163" s="2">
        <f>+-340-SUM(K163:M163)</f>
        <v>-134</v>
      </c>
      <c r="O163" s="2">
        <v>70</v>
      </c>
      <c r="P163" s="2">
        <v>9</v>
      </c>
      <c r="Q163" s="2">
        <v>-94</v>
      </c>
      <c r="R163" s="2">
        <f>65-SUM(O163:Q163)</f>
        <v>80</v>
      </c>
    </row>
    <row r="164" spans="2:18" x14ac:dyDescent="0.2">
      <c r="B164" s="10" t="s">
        <v>168</v>
      </c>
      <c r="G164" s="2">
        <v>24</v>
      </c>
      <c r="H164" s="2">
        <v>24</v>
      </c>
      <c r="I164" s="2">
        <v>-32</v>
      </c>
      <c r="K164" s="2">
        <v>-34</v>
      </c>
      <c r="L164" s="2">
        <v>-40</v>
      </c>
      <c r="M164" s="2">
        <v>-18</v>
      </c>
      <c r="N164" s="2">
        <f>+-540-SUM(K164:M164)</f>
        <v>-448</v>
      </c>
      <c r="O164" s="2">
        <v>-108</v>
      </c>
      <c r="P164" s="2">
        <v>-37</v>
      </c>
      <c r="Q164" s="2">
        <v>-51</v>
      </c>
      <c r="R164" s="2">
        <f>+-177-SUM(O164:Q164)</f>
        <v>19</v>
      </c>
    </row>
    <row r="165" spans="2:18" s="5" customFormat="1" x14ac:dyDescent="0.2">
      <c r="B165" s="13" t="s">
        <v>177</v>
      </c>
      <c r="G165" s="5">
        <f>+SUM(G160:G164)</f>
        <v>1697</v>
      </c>
      <c r="H165" s="5">
        <f>+SUM(H160:H164)</f>
        <v>1261</v>
      </c>
      <c r="I165" s="5">
        <f>+SUM(I160:I164)</f>
        <v>-163</v>
      </c>
      <c r="K165" s="5">
        <f>+SUM(K160:K164)</f>
        <v>-8570</v>
      </c>
      <c r="L165" s="5">
        <f>+SUM(L160:L164)</f>
        <v>-5545</v>
      </c>
      <c r="M165" s="5">
        <f>+SUM(M160:M164)</f>
        <v>759</v>
      </c>
      <c r="N165" s="5">
        <f t="shared" ref="N165:R165" si="202">+SUM(N160:N164)</f>
        <v>-3450</v>
      </c>
      <c r="O165" s="5">
        <f>+SUM(O160:O164)</f>
        <v>-443</v>
      </c>
      <c r="P165" s="5">
        <f t="shared" si="202"/>
        <v>61</v>
      </c>
      <c r="Q165" s="5">
        <f t="shared" si="202"/>
        <v>1031</v>
      </c>
      <c r="R165" s="5">
        <f t="shared" si="202"/>
        <v>289</v>
      </c>
    </row>
    <row r="166" spans="2:18" s="5" customFormat="1" x14ac:dyDescent="0.2">
      <c r="B166" s="13"/>
    </row>
    <row r="167" spans="2:18" x14ac:dyDescent="0.2">
      <c r="B167" s="10" t="s">
        <v>175</v>
      </c>
      <c r="G167" s="2">
        <v>158</v>
      </c>
      <c r="H167" s="2">
        <v>158</v>
      </c>
      <c r="I167" s="2">
        <v>158</v>
      </c>
      <c r="J167" s="2">
        <v>158</v>
      </c>
      <c r="K167" s="2">
        <v>158</v>
      </c>
      <c r="L167" s="2">
        <v>158</v>
      </c>
      <c r="M167" s="2">
        <v>158</v>
      </c>
      <c r="N167" s="2">
        <v>158</v>
      </c>
      <c r="O167" s="2">
        <v>158</v>
      </c>
      <c r="P167" s="2">
        <v>158</v>
      </c>
      <c r="Q167" s="2">
        <v>158</v>
      </c>
      <c r="R167" s="2">
        <v>158</v>
      </c>
    </row>
    <row r="168" spans="2:18" x14ac:dyDescent="0.2">
      <c r="B168" s="10" t="s">
        <v>176</v>
      </c>
      <c r="K168" s="2">
        <v>-7600</v>
      </c>
      <c r="L168" s="2">
        <f>(3.7*1000)-K168</f>
        <v>11300</v>
      </c>
      <c r="M168" s="2">
        <f>+(1.1*1000)-SUM(K168:L168)</f>
        <v>-2600</v>
      </c>
      <c r="N168" s="2">
        <f>+(12.7*1000)-SUM(K168:M168)</f>
        <v>11600</v>
      </c>
      <c r="O168" s="2">
        <v>-467</v>
      </c>
      <c r="P168" s="2">
        <f>187-SUM(O168)</f>
        <v>654</v>
      </c>
      <c r="Q168" s="2">
        <f>+(1.2*1000)-SUM(O168:P168)</f>
        <v>1013</v>
      </c>
      <c r="R168" s="2">
        <f>797-SUM(O169:Q169)</f>
        <v>797</v>
      </c>
    </row>
    <row r="169" spans="2:18" x14ac:dyDescent="0.2">
      <c r="B169" s="10" t="s">
        <v>169</v>
      </c>
      <c r="G169" s="2">
        <v>0</v>
      </c>
      <c r="H169" s="2">
        <v>0</v>
      </c>
      <c r="I169" s="2">
        <v>0</v>
      </c>
      <c r="K169" s="2">
        <v>55</v>
      </c>
      <c r="L169" s="2">
        <v>95</v>
      </c>
      <c r="M169" s="2">
        <v>459</v>
      </c>
    </row>
    <row r="170" spans="2:18" x14ac:dyDescent="0.2">
      <c r="B170" s="10" t="s">
        <v>170</v>
      </c>
      <c r="G170" s="2">
        <v>0</v>
      </c>
      <c r="H170" s="2">
        <v>0</v>
      </c>
      <c r="I170" s="2">
        <v>0</v>
      </c>
      <c r="K170" s="2">
        <v>-465</v>
      </c>
      <c r="L170" s="2">
        <v>-502</v>
      </c>
      <c r="M170" s="2">
        <v>-1206</v>
      </c>
    </row>
    <row r="171" spans="2:18" x14ac:dyDescent="0.2">
      <c r="B171" s="10" t="s">
        <v>28</v>
      </c>
      <c r="G171" s="2">
        <v>-1021</v>
      </c>
      <c r="I171" s="2">
        <v>-990</v>
      </c>
      <c r="K171" s="2">
        <v>-4220</v>
      </c>
      <c r="L171" s="2">
        <v>-1579</v>
      </c>
      <c r="M171" s="2">
        <v>-3287</v>
      </c>
    </row>
    <row r="172" spans="2:18" x14ac:dyDescent="0.2">
      <c r="B172" s="10" t="s">
        <v>76</v>
      </c>
      <c r="G172" s="2">
        <v>-1018</v>
      </c>
      <c r="I172" s="2">
        <v>-994</v>
      </c>
      <c r="K172" s="2">
        <v>-4688</v>
      </c>
      <c r="L172" s="2">
        <v>-1593</v>
      </c>
      <c r="M172" s="2">
        <v>-3305</v>
      </c>
    </row>
  </sheetData>
  <mergeCells count="1">
    <mergeCell ref="BB56:BI56"/>
  </mergeCells>
  <conditionalFormatting sqref="C149:M149">
    <cfRule type="cellIs" dxfId="2" priority="6" operator="greaterThan">
      <formula>0</formula>
    </cfRule>
  </conditionalFormatting>
  <conditionalFormatting sqref="M16:R16 C16:M21">
    <cfRule type="cellIs" dxfId="1" priority="7" operator="equal">
      <formula>"n"</formula>
    </cfRule>
  </conditionalFormatting>
  <conditionalFormatting sqref="N18:R21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/>
  <ignoredErrors>
    <ignoredError sqref="AL39:AL46 AL48:AL49" formula="1"/>
    <ignoredError sqref="AL47" formula="1" formulaRange="1"/>
    <ignoredError sqref="AF3:AK4 AH17:AK21 AH5:AK16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jameel</cp:lastModifiedBy>
  <dcterms:created xsi:type="dcterms:W3CDTF">2022-08-07T02:51:15Z</dcterms:created>
  <dcterms:modified xsi:type="dcterms:W3CDTF">2024-02-28T04:08:02Z</dcterms:modified>
</cp:coreProperties>
</file>