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jameelbrannon/Library/CloudStorage/Dropbox/Models/"/>
    </mc:Choice>
  </mc:AlternateContent>
  <xr:revisionPtr revIDLastSave="0" documentId="13_ncr:1_{79F91D4D-2C3E-8F42-A811-77376F058382}" xr6:coauthVersionLast="47" xr6:coauthVersionMax="47" xr10:uidLastSave="{00000000-0000-0000-0000-000000000000}"/>
  <bookViews>
    <workbookView xWindow="5920" yWindow="500" windowWidth="38880" windowHeight="24700" xr2:uid="{0250130F-CCC8-D44C-89E8-4FE2EC4C8A08}"/>
  </bookViews>
  <sheets>
    <sheet name="O" sheetId="1" r:id="rId1"/>
    <sheet name="OLPX" sheetId="2" r:id="rId2"/>
    <sheet name="historical_p"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X7" i="2" l="1"/>
  <c r="Y7" i="2" s="1"/>
  <c r="Z7" i="2" s="1"/>
  <c r="AA7" i="2" s="1"/>
  <c r="AB7" i="2" s="1"/>
  <c r="AC7" i="2" s="1"/>
  <c r="AD7" i="2" s="1"/>
  <c r="AE7" i="2" s="1"/>
  <c r="AF7" i="2" s="1"/>
  <c r="X6" i="2"/>
  <c r="Y6" i="2" s="1"/>
  <c r="Z6" i="2" s="1"/>
  <c r="AA6" i="2" s="1"/>
  <c r="AB6" i="2" s="1"/>
  <c r="AC6" i="2" s="1"/>
  <c r="AD6" i="2" s="1"/>
  <c r="AE6" i="2" s="1"/>
  <c r="AF6" i="2" s="1"/>
  <c r="W8" i="2"/>
  <c r="X8" i="2" s="1"/>
  <c r="Y8" i="2" s="1"/>
  <c r="Z8" i="2" s="1"/>
  <c r="AA8" i="2" s="1"/>
  <c r="AB8" i="2" s="1"/>
  <c r="AC8" i="2" s="1"/>
  <c r="AD8" i="2" s="1"/>
  <c r="AE8" i="2" s="1"/>
  <c r="AF8" i="2" s="1"/>
  <c r="W7" i="2"/>
  <c r="W6" i="2"/>
  <c r="N6" i="2" s="1"/>
  <c r="N8" i="2"/>
  <c r="N7" i="2"/>
  <c r="V18" i="2"/>
  <c r="V16" i="2"/>
  <c r="V12" i="2"/>
  <c r="V9" i="2"/>
  <c r="O37" i="2"/>
  <c r="O33" i="2"/>
  <c r="O29" i="2"/>
  <c r="O28" i="2"/>
  <c r="O27" i="2"/>
  <c r="O16" i="2"/>
  <c r="O18" i="2"/>
  <c r="O9" i="2"/>
  <c r="O12" i="2"/>
  <c r="H10" i="1"/>
  <c r="F268" i="3"/>
  <c r="F267" i="3"/>
  <c r="B582" i="3"/>
  <c r="B583" i="3"/>
  <c r="M71" i="2"/>
  <c r="M74" i="2" s="1"/>
  <c r="M61" i="2"/>
  <c r="M66" i="2" s="1"/>
  <c r="M48" i="2"/>
  <c r="M27" i="2"/>
  <c r="L119" i="2"/>
  <c r="L124" i="2"/>
  <c r="L116" i="2"/>
  <c r="L120" i="2"/>
  <c r="L122" i="2"/>
  <c r="L111" i="2"/>
  <c r="L108" i="2"/>
  <c r="L107" i="2"/>
  <c r="L104" i="2"/>
  <c r="L103" i="2"/>
  <c r="L102" i="2"/>
  <c r="L101" i="2"/>
  <c r="L100" i="2"/>
  <c r="L99" i="2"/>
  <c r="L98" i="2"/>
  <c r="L97" i="2"/>
  <c r="L96" i="2"/>
  <c r="L95" i="2"/>
  <c r="L94" i="2"/>
  <c r="L93" i="2"/>
  <c r="L91" i="2"/>
  <c r="L90" i="2"/>
  <c r="L89" i="2"/>
  <c r="L88" i="2"/>
  <c r="L71" i="2"/>
  <c r="L74" i="2" s="1"/>
  <c r="L61" i="2"/>
  <c r="L66" i="2" s="1"/>
  <c r="L68" i="2" s="1"/>
  <c r="L48" i="2"/>
  <c r="L54" i="2" s="1"/>
  <c r="I9" i="1"/>
  <c r="I10" i="1" s="1"/>
  <c r="AI36" i="2"/>
  <c r="E27" i="1"/>
  <c r="AI34" i="2"/>
  <c r="AI31" i="2"/>
  <c r="H121" i="2"/>
  <c r="I121" i="2" s="1"/>
  <c r="J121" i="2" s="1"/>
  <c r="F118" i="2"/>
  <c r="F117" i="2"/>
  <c r="F114" i="2"/>
  <c r="F109" i="2"/>
  <c r="F95" i="2"/>
  <c r="F92" i="2"/>
  <c r="J118" i="2"/>
  <c r="J117" i="2"/>
  <c r="J115" i="2"/>
  <c r="J114" i="2"/>
  <c r="J110" i="2"/>
  <c r="J109" i="2"/>
  <c r="J95" i="2"/>
  <c r="J92" i="2"/>
  <c r="U125" i="2"/>
  <c r="T125" i="2"/>
  <c r="S125" i="2"/>
  <c r="T112" i="2"/>
  <c r="S112" i="2"/>
  <c r="U128" i="2"/>
  <c r="U112" i="2"/>
  <c r="C125" i="2"/>
  <c r="C112" i="2"/>
  <c r="C105" i="2"/>
  <c r="C132" i="2" s="1"/>
  <c r="K125" i="2"/>
  <c r="G125" i="2"/>
  <c r="K112" i="2"/>
  <c r="G112" i="2"/>
  <c r="D122" i="2"/>
  <c r="D121" i="2"/>
  <c r="E121" i="2" s="1"/>
  <c r="D120" i="2"/>
  <c r="D119" i="2"/>
  <c r="E119" i="2" s="1"/>
  <c r="D116" i="2"/>
  <c r="E116" i="2" s="1"/>
  <c r="D115" i="2"/>
  <c r="F115" i="2" s="1"/>
  <c r="D108" i="2"/>
  <c r="E108" i="2" s="1"/>
  <c r="D107" i="2"/>
  <c r="D103" i="2"/>
  <c r="E103" i="2" s="1"/>
  <c r="D102" i="2"/>
  <c r="E102" i="2" s="1"/>
  <c r="D101" i="2"/>
  <c r="E101" i="2" s="1"/>
  <c r="D100" i="2"/>
  <c r="E100" i="2" s="1"/>
  <c r="D99" i="2"/>
  <c r="E99" i="2" s="1"/>
  <c r="D97" i="2"/>
  <c r="E97" i="2" s="1"/>
  <c r="D96" i="2"/>
  <c r="E96" i="2" s="1"/>
  <c r="D94" i="2"/>
  <c r="E94" i="2" s="1"/>
  <c r="D93" i="2"/>
  <c r="E93" i="2" s="1"/>
  <c r="D91" i="2"/>
  <c r="E91" i="2" s="1"/>
  <c r="D90" i="2"/>
  <c r="E90" i="2" s="1"/>
  <c r="D89" i="2"/>
  <c r="E89" i="2" s="1"/>
  <c r="D88" i="2"/>
  <c r="E88" i="2" s="1"/>
  <c r="D87" i="2"/>
  <c r="E87" i="2" s="1"/>
  <c r="D104" i="2"/>
  <c r="E104" i="2" s="1"/>
  <c r="D98" i="2"/>
  <c r="E98" i="2" s="1"/>
  <c r="H122" i="2"/>
  <c r="I122" i="2" s="1"/>
  <c r="H120" i="2"/>
  <c r="I120" i="2" s="1"/>
  <c r="H119" i="2"/>
  <c r="I119" i="2" s="1"/>
  <c r="J119" i="2" s="1"/>
  <c r="H116" i="2"/>
  <c r="I116" i="2" s="1"/>
  <c r="H108" i="2"/>
  <c r="I108" i="2" s="1"/>
  <c r="H107" i="2"/>
  <c r="H104" i="2"/>
  <c r="I104" i="2" s="1"/>
  <c r="H103" i="2"/>
  <c r="I103" i="2" s="1"/>
  <c r="H102" i="2"/>
  <c r="I102" i="2" s="1"/>
  <c r="H101" i="2"/>
  <c r="I101" i="2" s="1"/>
  <c r="H100" i="2"/>
  <c r="I100" i="2" s="1"/>
  <c r="H99" i="2"/>
  <c r="I99" i="2" s="1"/>
  <c r="H98" i="2"/>
  <c r="I98" i="2" s="1"/>
  <c r="H97" i="2"/>
  <c r="I97" i="2" s="1"/>
  <c r="H96" i="2"/>
  <c r="I96" i="2" s="1"/>
  <c r="H94" i="2"/>
  <c r="I94" i="2" s="1"/>
  <c r="H93" i="2"/>
  <c r="I93" i="2" s="1"/>
  <c r="H91" i="2"/>
  <c r="I91" i="2" s="1"/>
  <c r="H90" i="2"/>
  <c r="I90" i="2" s="1"/>
  <c r="H89" i="2"/>
  <c r="I89" i="2" s="1"/>
  <c r="H88" i="2"/>
  <c r="H87" i="2"/>
  <c r="I87" i="2" s="1"/>
  <c r="E110" i="2"/>
  <c r="F110" i="2" s="1"/>
  <c r="G105" i="2"/>
  <c r="G132" i="2" s="1"/>
  <c r="L37" i="2"/>
  <c r="T37" i="2"/>
  <c r="U37" i="2"/>
  <c r="L28" i="2"/>
  <c r="L27" i="2"/>
  <c r="L29" i="2"/>
  <c r="K37" i="2"/>
  <c r="I37" i="2"/>
  <c r="H37" i="2"/>
  <c r="G37" i="2"/>
  <c r="J71" i="2"/>
  <c r="J72" i="2" s="1"/>
  <c r="I71" i="2"/>
  <c r="I74" i="2" s="1"/>
  <c r="H71" i="2"/>
  <c r="H74" i="2" s="1"/>
  <c r="G71" i="2"/>
  <c r="G72" i="2" s="1"/>
  <c r="G73" i="2" s="1"/>
  <c r="F71" i="2"/>
  <c r="F72" i="2" s="1"/>
  <c r="E71" i="2"/>
  <c r="E74" i="2" s="1"/>
  <c r="K71" i="2"/>
  <c r="K74" i="2" s="1"/>
  <c r="O13" i="2" l="1"/>
  <c r="V13" i="2"/>
  <c r="V17" i="2" s="1"/>
  <c r="V20" i="2" s="1"/>
  <c r="V22" i="2" s="1"/>
  <c r="V24" i="2" s="1"/>
  <c r="O17" i="2"/>
  <c r="L125" i="2"/>
  <c r="M68" i="2"/>
  <c r="M72" i="2"/>
  <c r="M73" i="2" s="1"/>
  <c r="M77" i="2"/>
  <c r="M54" i="2"/>
  <c r="M75" i="2"/>
  <c r="M76" i="2"/>
  <c r="L112" i="2"/>
  <c r="L75" i="2"/>
  <c r="L77" i="2"/>
  <c r="L76" i="2"/>
  <c r="L72" i="2"/>
  <c r="L73" i="2" s="1"/>
  <c r="L69" i="2"/>
  <c r="F119" i="2"/>
  <c r="J120" i="2"/>
  <c r="F121" i="2"/>
  <c r="J91" i="2"/>
  <c r="F93" i="2"/>
  <c r="F108" i="2"/>
  <c r="F90" i="2"/>
  <c r="J96" i="2"/>
  <c r="J103" i="2"/>
  <c r="F102" i="2"/>
  <c r="J89" i="2"/>
  <c r="F91" i="2"/>
  <c r="F98" i="2"/>
  <c r="J116" i="2"/>
  <c r="J104" i="2"/>
  <c r="J90" i="2"/>
  <c r="F99" i="2"/>
  <c r="F89" i="2"/>
  <c r="F97" i="2"/>
  <c r="J97" i="2"/>
  <c r="F101" i="2"/>
  <c r="J100" i="2"/>
  <c r="J122" i="2"/>
  <c r="F94" i="2"/>
  <c r="J108" i="2"/>
  <c r="F100" i="2"/>
  <c r="J93" i="2"/>
  <c r="J101" i="2"/>
  <c r="F103" i="2"/>
  <c r="F116" i="2"/>
  <c r="J98" i="2"/>
  <c r="J99" i="2"/>
  <c r="C127" i="2"/>
  <c r="C129" i="2" s="1"/>
  <c r="D128" i="2" s="1"/>
  <c r="J94" i="2"/>
  <c r="J102" i="2"/>
  <c r="F88" i="2"/>
  <c r="F96" i="2"/>
  <c r="F104" i="2"/>
  <c r="D112" i="2"/>
  <c r="H112" i="2"/>
  <c r="H105" i="2"/>
  <c r="H132" i="2" s="1"/>
  <c r="I107" i="2"/>
  <c r="I112" i="2" s="1"/>
  <c r="I125" i="2"/>
  <c r="I88" i="2"/>
  <c r="H125" i="2"/>
  <c r="D125" i="2"/>
  <c r="E122" i="2"/>
  <c r="F122" i="2" s="1"/>
  <c r="E107" i="2"/>
  <c r="D105" i="2"/>
  <c r="E105" i="2"/>
  <c r="E120" i="2"/>
  <c r="F120" i="2" s="1"/>
  <c r="F74" i="2"/>
  <c r="G127" i="2"/>
  <c r="M37" i="2"/>
  <c r="K72" i="2"/>
  <c r="K73" i="2" s="1"/>
  <c r="L9" i="2"/>
  <c r="I72" i="2"/>
  <c r="I73" i="2" s="1"/>
  <c r="H72" i="2"/>
  <c r="H73" i="2" s="1"/>
  <c r="E72" i="2"/>
  <c r="E73" i="2" s="1"/>
  <c r="J74" i="2"/>
  <c r="G74" i="2"/>
  <c r="O39" i="2" l="1"/>
  <c r="O20" i="2"/>
  <c r="O40" i="2"/>
  <c r="M69" i="2"/>
  <c r="J125" i="2"/>
  <c r="F125" i="2"/>
  <c r="I105" i="2"/>
  <c r="I127" i="2" s="1"/>
  <c r="J88" i="2"/>
  <c r="D127" i="2"/>
  <c r="J107" i="2"/>
  <c r="J112" i="2" s="1"/>
  <c r="E112" i="2"/>
  <c r="F107" i="2"/>
  <c r="F112" i="2" s="1"/>
  <c r="H127" i="2"/>
  <c r="E125" i="2"/>
  <c r="E132" i="2"/>
  <c r="D132" i="2"/>
  <c r="I132" i="2"/>
  <c r="N23" i="2"/>
  <c r="O22" i="2" l="1"/>
  <c r="E127" i="2"/>
  <c r="O24" i="2" l="1"/>
  <c r="O41" i="2"/>
  <c r="E61" i="2"/>
  <c r="E66" i="2" s="1"/>
  <c r="E68" i="2" s="1"/>
  <c r="E48" i="2"/>
  <c r="G61" i="2"/>
  <c r="G66" i="2" s="1"/>
  <c r="G68" i="2" s="1"/>
  <c r="G48" i="2"/>
  <c r="H61" i="2"/>
  <c r="H66" i="2" s="1"/>
  <c r="H68" i="2" s="1"/>
  <c r="H48" i="2"/>
  <c r="F61" i="2"/>
  <c r="F66" i="2" s="1"/>
  <c r="F68" i="2" s="1"/>
  <c r="F48" i="2"/>
  <c r="I61" i="2"/>
  <c r="I66" i="2" s="1"/>
  <c r="I68" i="2" s="1"/>
  <c r="I48" i="2"/>
  <c r="J61" i="2"/>
  <c r="J66" i="2" s="1"/>
  <c r="J68" i="2" s="1"/>
  <c r="J48" i="2"/>
  <c r="K61" i="2"/>
  <c r="K66" i="2" s="1"/>
  <c r="K68" i="2" s="1"/>
  <c r="K48" i="2"/>
  <c r="T33" i="2"/>
  <c r="U33" i="2"/>
  <c r="T29" i="2"/>
  <c r="T28" i="2"/>
  <c r="T27" i="2"/>
  <c r="U29" i="2"/>
  <c r="U28" i="2"/>
  <c r="U27" i="2"/>
  <c r="I33" i="2"/>
  <c r="H33" i="2"/>
  <c r="G33" i="2"/>
  <c r="K33" i="2"/>
  <c r="S9" i="2"/>
  <c r="S16" i="2"/>
  <c r="C9" i="2"/>
  <c r="D9" i="2"/>
  <c r="H9" i="2"/>
  <c r="H16" i="2"/>
  <c r="H12" i="2"/>
  <c r="F8" i="2"/>
  <c r="F7" i="2"/>
  <c r="F6" i="2"/>
  <c r="J8" i="2"/>
  <c r="J7" i="2"/>
  <c r="J6" i="2"/>
  <c r="E9" i="2"/>
  <c r="I9" i="2"/>
  <c r="T9" i="2"/>
  <c r="U9" i="2"/>
  <c r="K29" i="2"/>
  <c r="I29" i="2"/>
  <c r="H29" i="2"/>
  <c r="G29" i="2"/>
  <c r="K28" i="2"/>
  <c r="I28" i="2"/>
  <c r="H28" i="2"/>
  <c r="G28" i="2"/>
  <c r="K27" i="2"/>
  <c r="I27" i="2"/>
  <c r="H27" i="2"/>
  <c r="G27" i="2"/>
  <c r="G9" i="2"/>
  <c r="K9" i="2"/>
  <c r="O30" i="2" s="1"/>
  <c r="J2" i="2"/>
  <c r="T2" i="2"/>
  <c r="F2" i="2" s="1"/>
  <c r="C16" i="2"/>
  <c r="C12" i="2"/>
  <c r="F21" i="2"/>
  <c r="F19" i="2"/>
  <c r="F18" i="2"/>
  <c r="F14" i="2"/>
  <c r="F11" i="2"/>
  <c r="F10" i="2"/>
  <c r="J21" i="2"/>
  <c r="J19" i="2"/>
  <c r="J18" i="2"/>
  <c r="J14" i="2"/>
  <c r="J11" i="2"/>
  <c r="J10" i="2"/>
  <c r="D16" i="2"/>
  <c r="D12" i="2"/>
  <c r="E16" i="2"/>
  <c r="E12" i="2"/>
  <c r="I16" i="2"/>
  <c r="I12" i="2"/>
  <c r="S12" i="2"/>
  <c r="T16" i="2"/>
  <c r="T12" i="2"/>
  <c r="U16" i="2"/>
  <c r="U12" i="2"/>
  <c r="T3" i="2"/>
  <c r="U3" i="2" s="1"/>
  <c r="V3" i="2" s="1"/>
  <c r="W3" i="2" s="1"/>
  <c r="X3" i="2" s="1"/>
  <c r="Y3" i="2" s="1"/>
  <c r="Z3" i="2" s="1"/>
  <c r="AA3" i="2" s="1"/>
  <c r="AB3" i="2" s="1"/>
  <c r="AC3" i="2" s="1"/>
  <c r="AD3" i="2" s="1"/>
  <c r="AE3" i="2" s="1"/>
  <c r="AF3" i="2" s="1"/>
  <c r="AG3" i="2" s="1"/>
  <c r="AH3" i="2" s="1"/>
  <c r="AI3" i="2" s="1"/>
  <c r="AJ3" i="2" s="1"/>
  <c r="AK3" i="2" s="1"/>
  <c r="AL3" i="2" s="1"/>
  <c r="AM3" i="2" s="1"/>
  <c r="AN3" i="2" s="1"/>
  <c r="AO3" i="2" s="1"/>
  <c r="AP3" i="2" s="1"/>
  <c r="AQ3" i="2" s="1"/>
  <c r="AR3" i="2" s="1"/>
  <c r="AS3" i="2" s="1"/>
  <c r="AT3" i="2" s="1"/>
  <c r="AU3" i="2" s="1"/>
  <c r="AV3" i="2" s="1"/>
  <c r="AW3" i="2" s="1"/>
  <c r="AX3" i="2" s="1"/>
  <c r="AY3" i="2" s="1"/>
  <c r="AZ3" i="2" s="1"/>
  <c r="BA3" i="2" s="1"/>
  <c r="BB3" i="2" s="1"/>
  <c r="BC3" i="2" s="1"/>
  <c r="BD3" i="2" s="1"/>
  <c r="BE3" i="2" s="1"/>
  <c r="BF3" i="2" s="1"/>
  <c r="BG3" i="2" s="1"/>
  <c r="BH3" i="2" s="1"/>
  <c r="BI3" i="2" s="1"/>
  <c r="BJ3" i="2" s="1"/>
  <c r="BK3" i="2" s="1"/>
  <c r="BL3" i="2" s="1"/>
  <c r="BM3" i="2" s="1"/>
  <c r="BN3" i="2" s="1"/>
  <c r="BO3" i="2" s="1"/>
  <c r="BP3" i="2" s="1"/>
  <c r="BQ3" i="2" s="1"/>
  <c r="BR3" i="2" s="1"/>
  <c r="BS3" i="2" s="1"/>
  <c r="BT3" i="2" s="1"/>
  <c r="BU3" i="2" s="1"/>
  <c r="BV3" i="2" s="1"/>
  <c r="BW3" i="2" s="1"/>
  <c r="BX3" i="2" s="1"/>
  <c r="BY3" i="2" s="1"/>
  <c r="BZ3" i="2" s="1"/>
  <c r="CA3" i="2" s="1"/>
  <c r="CB3" i="2" s="1"/>
  <c r="CC3" i="2" s="1"/>
  <c r="CD3" i="2" s="1"/>
  <c r="CE3" i="2" s="1"/>
  <c r="CF3" i="2" s="1"/>
  <c r="CG3" i="2" s="1"/>
  <c r="CH3" i="2" s="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ER3" i="2" s="1"/>
  <c r="ES3" i="2" s="1"/>
  <c r="ET3" i="2" s="1"/>
  <c r="EU3" i="2" s="1"/>
  <c r="EV3" i="2" s="1"/>
  <c r="EW3" i="2" s="1"/>
  <c r="EX3" i="2" s="1"/>
  <c r="EY3" i="2" s="1"/>
  <c r="EZ3" i="2" s="1"/>
  <c r="FA3" i="2" s="1"/>
  <c r="FB3" i="2" s="1"/>
  <c r="FC3" i="2" s="1"/>
  <c r="FD3" i="2" s="1"/>
  <c r="FE3" i="2" s="1"/>
  <c r="FF3" i="2" s="1"/>
  <c r="FG3" i="2" s="1"/>
  <c r="FH3" i="2" s="1"/>
  <c r="FI3" i="2" s="1"/>
  <c r="FJ3" i="2" s="1"/>
  <c r="FK3" i="2" s="1"/>
  <c r="FL3" i="2" s="1"/>
  <c r="FM3" i="2" s="1"/>
  <c r="FN3" i="2" s="1"/>
  <c r="FO3" i="2" s="1"/>
  <c r="FP3" i="2" s="1"/>
  <c r="FQ3" i="2" s="1"/>
  <c r="FR3" i="2" s="1"/>
  <c r="FS3" i="2" s="1"/>
  <c r="FT3" i="2" s="1"/>
  <c r="FU3" i="2" s="1"/>
  <c r="FV3" i="2" s="1"/>
  <c r="FW3" i="2" s="1"/>
  <c r="FX3" i="2" s="1"/>
  <c r="FY3" i="2" s="1"/>
  <c r="FZ3" i="2" s="1"/>
  <c r="GA3" i="2" s="1"/>
  <c r="GB3" i="2" s="1"/>
  <c r="GC3" i="2" s="1"/>
  <c r="GD3" i="2" s="1"/>
  <c r="GE3" i="2" s="1"/>
  <c r="GF3" i="2" s="1"/>
  <c r="GG3" i="2" s="1"/>
  <c r="GH3" i="2" s="1"/>
  <c r="GI3" i="2" s="1"/>
  <c r="GJ3" i="2" s="1"/>
  <c r="GK3" i="2" s="1"/>
  <c r="GL3" i="2" s="1"/>
  <c r="GM3" i="2" s="1"/>
  <c r="GN3" i="2" s="1"/>
  <c r="GO3" i="2" s="1"/>
  <c r="GP3" i="2" s="1"/>
  <c r="GQ3" i="2" s="1"/>
  <c r="GR3" i="2" s="1"/>
  <c r="GS3" i="2" s="1"/>
  <c r="GT3" i="2" s="1"/>
  <c r="GU3" i="2" s="1"/>
  <c r="GV3" i="2" s="1"/>
  <c r="GW3" i="2" s="1"/>
  <c r="GX3" i="2" s="1"/>
  <c r="GY3" i="2" s="1"/>
  <c r="GZ3" i="2" s="1"/>
  <c r="HA3" i="2" s="1"/>
  <c r="HB3" i="2" s="1"/>
  <c r="HC3" i="2" s="1"/>
  <c r="HD3" i="2" s="1"/>
  <c r="HE3" i="2" s="1"/>
  <c r="HF3" i="2" s="1"/>
  <c r="HG3" i="2" s="1"/>
  <c r="HH3" i="2" s="1"/>
  <c r="HI3" i="2" s="1"/>
  <c r="HJ3" i="2" s="1"/>
  <c r="HK3" i="2" s="1"/>
  <c r="HL3" i="2" s="1"/>
  <c r="HM3" i="2" s="1"/>
  <c r="HN3" i="2" s="1"/>
  <c r="HO3" i="2" s="1"/>
  <c r="HP3" i="2" s="1"/>
  <c r="HQ3" i="2" s="1"/>
  <c r="HR3" i="2" s="1"/>
  <c r="HS3" i="2" s="1"/>
  <c r="HT3" i="2" s="1"/>
  <c r="HU3" i="2" s="1"/>
  <c r="HV3" i="2" s="1"/>
  <c r="HW3" i="2" s="1"/>
  <c r="HX3" i="2" s="1"/>
  <c r="G16" i="2"/>
  <c r="G12" i="2"/>
  <c r="K16" i="2"/>
  <c r="K12" i="2"/>
  <c r="O31" i="2" s="1"/>
  <c r="AI32" i="2"/>
  <c r="H8" i="1"/>
  <c r="H11" i="1" s="1"/>
  <c r="L80" i="2" l="1"/>
  <c r="M80" i="2"/>
  <c r="U31" i="2"/>
  <c r="N27" i="2"/>
  <c r="N9" i="2"/>
  <c r="L30" i="2"/>
  <c r="N28" i="2"/>
  <c r="N29" i="2"/>
  <c r="K30" i="2"/>
  <c r="F80" i="2"/>
  <c r="I80" i="2"/>
  <c r="H80" i="2"/>
  <c r="G80" i="2"/>
  <c r="F54" i="2"/>
  <c r="F69" i="2" s="1"/>
  <c r="F75" i="2"/>
  <c r="F76" i="2"/>
  <c r="F77" i="2"/>
  <c r="H30" i="2"/>
  <c r="E13" i="2"/>
  <c r="E39" i="2" s="1"/>
  <c r="K54" i="2"/>
  <c r="K69" i="2" s="1"/>
  <c r="K77" i="2"/>
  <c r="K75" i="2"/>
  <c r="K76" i="2"/>
  <c r="G30" i="2"/>
  <c r="G54" i="2"/>
  <c r="G69" i="2" s="1"/>
  <c r="G75" i="2"/>
  <c r="G76" i="2"/>
  <c r="G77" i="2"/>
  <c r="H13" i="2"/>
  <c r="H39" i="2" s="1"/>
  <c r="K80" i="2"/>
  <c r="J80" i="2"/>
  <c r="H54" i="2"/>
  <c r="H69" i="2" s="1"/>
  <c r="H76" i="2"/>
  <c r="H77" i="2"/>
  <c r="H75" i="2"/>
  <c r="J54" i="2"/>
  <c r="J69" i="2" s="1"/>
  <c r="J75" i="2"/>
  <c r="J76" i="2"/>
  <c r="J77" i="2"/>
  <c r="E54" i="2"/>
  <c r="E69" i="2" s="1"/>
  <c r="E75" i="2"/>
  <c r="E76" i="2"/>
  <c r="E77" i="2"/>
  <c r="G31" i="2"/>
  <c r="I31" i="2"/>
  <c r="F9" i="2"/>
  <c r="I81" i="2" s="1"/>
  <c r="I54" i="2"/>
  <c r="I69" i="2" s="1"/>
  <c r="I75" i="2"/>
  <c r="I76" i="2"/>
  <c r="I77" i="2"/>
  <c r="J33" i="2"/>
  <c r="K13" i="2"/>
  <c r="H31" i="2"/>
  <c r="K31" i="2"/>
  <c r="T30" i="2"/>
  <c r="T13" i="2"/>
  <c r="T31" i="2"/>
  <c r="S13" i="2"/>
  <c r="C13" i="2"/>
  <c r="C39" i="2" s="1"/>
  <c r="J28" i="2"/>
  <c r="D13" i="2"/>
  <c r="J29" i="2"/>
  <c r="J27" i="2"/>
  <c r="I30" i="2"/>
  <c r="I13" i="2"/>
  <c r="I17" i="2" s="1"/>
  <c r="U30" i="2"/>
  <c r="J9" i="2"/>
  <c r="U13" i="2"/>
  <c r="U39" i="2" s="1"/>
  <c r="J16" i="2"/>
  <c r="J12" i="2"/>
  <c r="F16" i="2"/>
  <c r="G13" i="2"/>
  <c r="F12" i="2"/>
  <c r="G82" i="2" s="1"/>
  <c r="G83" i="2" s="1"/>
  <c r="S2" i="2"/>
  <c r="C17" i="2"/>
  <c r="K39" i="2" l="1"/>
  <c r="O32" i="2"/>
  <c r="AF27" i="2"/>
  <c r="J82" i="2"/>
  <c r="J83" i="2" s="1"/>
  <c r="K81" i="2"/>
  <c r="L81" i="2"/>
  <c r="V27" i="2"/>
  <c r="H82" i="2"/>
  <c r="H83" i="2" s="1"/>
  <c r="S17" i="2"/>
  <c r="S39" i="2"/>
  <c r="T17" i="2"/>
  <c r="T40" i="2" s="1"/>
  <c r="T39" i="2"/>
  <c r="L12" i="2"/>
  <c r="L82" i="2" s="1"/>
  <c r="L83" i="2" s="1"/>
  <c r="H81" i="2"/>
  <c r="M29" i="2"/>
  <c r="AF29" i="2"/>
  <c r="L16" i="2"/>
  <c r="L33" i="2"/>
  <c r="M28" i="2"/>
  <c r="M9" i="2"/>
  <c r="M81" i="2" s="1"/>
  <c r="AF28" i="2"/>
  <c r="N30" i="2"/>
  <c r="K17" i="2"/>
  <c r="J81" i="2"/>
  <c r="K32" i="2"/>
  <c r="H17" i="2"/>
  <c r="H40" i="2" s="1"/>
  <c r="F82" i="2"/>
  <c r="F83" i="2" s="1"/>
  <c r="H84" i="2"/>
  <c r="F81" i="2"/>
  <c r="K82" i="2"/>
  <c r="K83" i="2" s="1"/>
  <c r="J84" i="2"/>
  <c r="G81" i="2"/>
  <c r="K84" i="2"/>
  <c r="E17" i="2"/>
  <c r="I34" i="2" s="1"/>
  <c r="J30" i="2"/>
  <c r="F13" i="2"/>
  <c r="F17" i="2" s="1"/>
  <c r="I84" i="2"/>
  <c r="I82" i="2"/>
  <c r="I83" i="2" s="1"/>
  <c r="G84" i="2"/>
  <c r="F84" i="2"/>
  <c r="I20" i="2"/>
  <c r="I40" i="2"/>
  <c r="I32" i="2"/>
  <c r="I39" i="2"/>
  <c r="T32" i="2"/>
  <c r="U17" i="2"/>
  <c r="U40" i="2" s="1"/>
  <c r="U32" i="2"/>
  <c r="G17" i="2"/>
  <c r="G32" i="2"/>
  <c r="G39" i="2"/>
  <c r="J31" i="2"/>
  <c r="D17" i="2"/>
  <c r="D39" i="2"/>
  <c r="C20" i="2"/>
  <c r="C22" i="2" s="1"/>
  <c r="C133" i="2" s="1"/>
  <c r="C40" i="2"/>
  <c r="H32" i="2"/>
  <c r="J13" i="2"/>
  <c r="K20" i="2" l="1"/>
  <c r="O35" i="2" s="1"/>
  <c r="O34" i="2"/>
  <c r="AF9" i="2"/>
  <c r="L84" i="2"/>
  <c r="V28" i="2"/>
  <c r="W28" i="2"/>
  <c r="X28" i="2" s="1"/>
  <c r="Y28" i="2" s="1"/>
  <c r="Z28" i="2" s="1"/>
  <c r="AA28" i="2" s="1"/>
  <c r="AB28" i="2" s="1"/>
  <c r="AC28" i="2" s="1"/>
  <c r="AD28" i="2" s="1"/>
  <c r="AE28" i="2" s="1"/>
  <c r="V29" i="2"/>
  <c r="W29" i="2" s="1"/>
  <c r="X29" i="2" s="1"/>
  <c r="W27" i="2"/>
  <c r="T20" i="2"/>
  <c r="T22" i="2" s="1"/>
  <c r="T34" i="2"/>
  <c r="K40" i="2"/>
  <c r="M30" i="2"/>
  <c r="H34" i="2"/>
  <c r="L31" i="2"/>
  <c r="L13" i="2"/>
  <c r="S20" i="2"/>
  <c r="S22" i="2" s="1"/>
  <c r="S87" i="2" s="1"/>
  <c r="S105" i="2" s="1"/>
  <c r="S127" i="2" s="1"/>
  <c r="S129" i="2" s="1"/>
  <c r="S40" i="2"/>
  <c r="H20" i="2"/>
  <c r="H22" i="2" s="1"/>
  <c r="H133" i="2" s="1"/>
  <c r="F39" i="2"/>
  <c r="E40" i="2"/>
  <c r="E20" i="2"/>
  <c r="E22" i="2" s="1"/>
  <c r="G20" i="2"/>
  <c r="K35" i="2" s="1"/>
  <c r="G34" i="2"/>
  <c r="G40" i="2"/>
  <c r="F20" i="2"/>
  <c r="F22" i="2" s="1"/>
  <c r="F133" i="2" s="1"/>
  <c r="F40" i="2"/>
  <c r="U20" i="2"/>
  <c r="U34" i="2"/>
  <c r="J17" i="2"/>
  <c r="J39" i="2"/>
  <c r="J32" i="2"/>
  <c r="K34" i="2"/>
  <c r="C24" i="2"/>
  <c r="C41" i="2"/>
  <c r="K22" i="2"/>
  <c r="O36" i="2" s="1"/>
  <c r="D20" i="2"/>
  <c r="D22" i="2" s="1"/>
  <c r="D133" i="2" s="1"/>
  <c r="D40" i="2"/>
  <c r="I22" i="2"/>
  <c r="I133" i="2" s="1"/>
  <c r="W9" i="2" l="1"/>
  <c r="W19" i="2" s="1"/>
  <c r="N19" i="2" s="1"/>
  <c r="X27" i="2"/>
  <c r="X9" i="2"/>
  <c r="K87" i="2"/>
  <c r="K133" i="2"/>
  <c r="Y29" i="2"/>
  <c r="Z29" i="2" s="1"/>
  <c r="AA29" i="2" s="1"/>
  <c r="E24" i="2"/>
  <c r="E133" i="2"/>
  <c r="T35" i="2"/>
  <c r="T41" i="2"/>
  <c r="T87" i="2"/>
  <c r="V30" i="2"/>
  <c r="M33" i="2"/>
  <c r="M16" i="2"/>
  <c r="I35" i="2"/>
  <c r="M12" i="2"/>
  <c r="S24" i="2"/>
  <c r="S41" i="2"/>
  <c r="E41" i="2"/>
  <c r="L32" i="2"/>
  <c r="L39" i="2"/>
  <c r="L17" i="2"/>
  <c r="U22" i="2"/>
  <c r="U35" i="2"/>
  <c r="F41" i="2"/>
  <c r="D24" i="2"/>
  <c r="D41" i="2"/>
  <c r="J20" i="2"/>
  <c r="J40" i="2"/>
  <c r="J34" i="2"/>
  <c r="I24" i="2"/>
  <c r="I41" i="2"/>
  <c r="I36" i="2"/>
  <c r="T24" i="2"/>
  <c r="T36" i="2"/>
  <c r="K24" i="2"/>
  <c r="O38" i="2" s="1"/>
  <c r="K41" i="2"/>
  <c r="H35" i="2"/>
  <c r="G22" i="2"/>
  <c r="G133" i="2" s="1"/>
  <c r="I136" i="2" s="1"/>
  <c r="G35" i="2"/>
  <c r="H24" i="2"/>
  <c r="H41" i="2"/>
  <c r="H36" i="2"/>
  <c r="M82" i="2" l="1"/>
  <c r="M83" i="2" s="1"/>
  <c r="M84" i="2"/>
  <c r="W10" i="2"/>
  <c r="W18" i="2"/>
  <c r="W11" i="2"/>
  <c r="W14" i="2"/>
  <c r="W30" i="2"/>
  <c r="G136" i="2"/>
  <c r="K105" i="2"/>
  <c r="K127" i="2" s="1"/>
  <c r="L87" i="2"/>
  <c r="L105" i="2" s="1"/>
  <c r="I38" i="2"/>
  <c r="F136" i="2"/>
  <c r="T105" i="2"/>
  <c r="T127" i="2" s="1"/>
  <c r="T129" i="2" s="1"/>
  <c r="F87" i="2"/>
  <c r="F105" i="2" s="1"/>
  <c r="AB29" i="2"/>
  <c r="H136" i="2"/>
  <c r="X30" i="2"/>
  <c r="X19" i="2"/>
  <c r="Y27" i="2"/>
  <c r="Y9" i="2"/>
  <c r="U41" i="2"/>
  <c r="U87" i="2"/>
  <c r="V33" i="2"/>
  <c r="F24" i="2"/>
  <c r="F23" i="2" s="1"/>
  <c r="F73" i="2" s="1"/>
  <c r="T38" i="2"/>
  <c r="H38" i="2"/>
  <c r="M31" i="2"/>
  <c r="M13" i="2"/>
  <c r="L34" i="2"/>
  <c r="L40" i="2"/>
  <c r="L20" i="2"/>
  <c r="J22" i="2"/>
  <c r="J133" i="2" s="1"/>
  <c r="J35" i="2"/>
  <c r="G24" i="2"/>
  <c r="G38" i="2" s="1"/>
  <c r="G36" i="2"/>
  <c r="G41" i="2"/>
  <c r="K36" i="2"/>
  <c r="U24" i="2"/>
  <c r="U36" i="2"/>
  <c r="X11" i="2" l="1"/>
  <c r="N11" i="2"/>
  <c r="W16" i="2"/>
  <c r="N14" i="2"/>
  <c r="X18" i="2"/>
  <c r="Y18" i="2" s="1"/>
  <c r="N18" i="2"/>
  <c r="X10" i="2"/>
  <c r="X12" i="2" s="1"/>
  <c r="N10" i="2"/>
  <c r="K136" i="2"/>
  <c r="K132" i="2"/>
  <c r="L132" i="2"/>
  <c r="L127" i="2"/>
  <c r="W12" i="2"/>
  <c r="X14" i="2"/>
  <c r="Y14" i="2" s="1"/>
  <c r="W33" i="2"/>
  <c r="K38" i="2"/>
  <c r="Z27" i="2"/>
  <c r="Z9" i="2"/>
  <c r="AC29" i="2"/>
  <c r="J136" i="2"/>
  <c r="Y30" i="2"/>
  <c r="Y19" i="2"/>
  <c r="Y11" i="2"/>
  <c r="F132" i="2"/>
  <c r="F127" i="2"/>
  <c r="U105" i="2"/>
  <c r="U127" i="2" s="1"/>
  <c r="U129" i="2" s="1"/>
  <c r="J87" i="2"/>
  <c r="J105" i="2" s="1"/>
  <c r="J24" i="2"/>
  <c r="J38" i="2" s="1"/>
  <c r="U38" i="2"/>
  <c r="V31" i="2"/>
  <c r="M32" i="2"/>
  <c r="M39" i="2"/>
  <c r="M17" i="2"/>
  <c r="L35" i="2"/>
  <c r="L22" i="2"/>
  <c r="L133" i="2" s="1"/>
  <c r="L136" i="2" s="1"/>
  <c r="J41" i="2"/>
  <c r="J36" i="2"/>
  <c r="X16" i="2" l="1"/>
  <c r="W31" i="2"/>
  <c r="N12" i="2"/>
  <c r="N31" i="2" s="1"/>
  <c r="Y10" i="2"/>
  <c r="Y12" i="2" s="1"/>
  <c r="Y13" i="2" s="1"/>
  <c r="N16" i="2"/>
  <c r="N33" i="2"/>
  <c r="X33" i="2"/>
  <c r="W13" i="2"/>
  <c r="V39" i="2"/>
  <c r="AD29" i="2"/>
  <c r="AE29" i="2" s="1"/>
  <c r="J132" i="2"/>
  <c r="L135" i="2" s="1"/>
  <c r="L137" i="2" s="1"/>
  <c r="J127" i="2"/>
  <c r="J23" i="2"/>
  <c r="J73" i="2" s="1"/>
  <c r="Y16" i="2"/>
  <c r="Y33" i="2"/>
  <c r="I135" i="2"/>
  <c r="I137" i="2" s="1"/>
  <c r="G135" i="2"/>
  <c r="G137" i="2" s="1"/>
  <c r="F135" i="2"/>
  <c r="F137" i="2" s="1"/>
  <c r="H135" i="2"/>
  <c r="H137" i="2" s="1"/>
  <c r="Z18" i="2"/>
  <c r="Z14" i="2"/>
  <c r="Z19" i="2"/>
  <c r="Z10" i="2"/>
  <c r="Z30" i="2"/>
  <c r="Z11" i="2"/>
  <c r="X31" i="2"/>
  <c r="X13" i="2"/>
  <c r="AA27" i="2"/>
  <c r="AA9" i="2"/>
  <c r="V32" i="2"/>
  <c r="L41" i="2"/>
  <c r="L24" i="2"/>
  <c r="L36" i="2"/>
  <c r="M20" i="2"/>
  <c r="M40" i="2"/>
  <c r="M34" i="2"/>
  <c r="W17" i="2" l="1"/>
  <c r="N13" i="2"/>
  <c r="Y31" i="2"/>
  <c r="W32" i="2"/>
  <c r="W39" i="2"/>
  <c r="Z12" i="2"/>
  <c r="Z31" i="2" s="1"/>
  <c r="W34" i="2"/>
  <c r="W20" i="2"/>
  <c r="W40" i="2"/>
  <c r="AA11" i="2"/>
  <c r="AA19" i="2"/>
  <c r="AA10" i="2"/>
  <c r="AA18" i="2"/>
  <c r="AA30" i="2"/>
  <c r="AA14" i="2"/>
  <c r="AB27" i="2"/>
  <c r="AB9" i="2"/>
  <c r="J135" i="2"/>
  <c r="J137" i="2" s="1"/>
  <c r="K135" i="2"/>
  <c r="K137" i="2" s="1"/>
  <c r="J37" i="2"/>
  <c r="Y39" i="2"/>
  <c r="Y32" i="2"/>
  <c r="Y17" i="2"/>
  <c r="Z33" i="2"/>
  <c r="Z16" i="2"/>
  <c r="N37" i="2"/>
  <c r="X32" i="2"/>
  <c r="X17" i="2"/>
  <c r="X39" i="2"/>
  <c r="L38" i="2"/>
  <c r="W21" i="2"/>
  <c r="M35" i="2"/>
  <c r="V34" i="2"/>
  <c r="V40" i="2"/>
  <c r="X21" i="2" l="1"/>
  <c r="Y21" i="2" s="1"/>
  <c r="Z21" i="2" s="1"/>
  <c r="AA21" i="2" s="1"/>
  <c r="N21" i="2"/>
  <c r="N17" i="2"/>
  <c r="N39" i="2"/>
  <c r="N32" i="2"/>
  <c r="AB21" i="2"/>
  <c r="Z13" i="2"/>
  <c r="Z39" i="2" s="1"/>
  <c r="W35" i="2"/>
  <c r="AB18" i="2"/>
  <c r="AA12" i="2"/>
  <c r="AA31" i="2" s="1"/>
  <c r="AC27" i="2"/>
  <c r="AC9" i="2"/>
  <c r="AB14" i="2"/>
  <c r="AB30" i="2"/>
  <c r="AB10" i="2"/>
  <c r="Y20" i="2"/>
  <c r="Y40" i="2"/>
  <c r="Y34" i="2"/>
  <c r="AB19" i="2"/>
  <c r="AB11" i="2"/>
  <c r="W22" i="2"/>
  <c r="W41" i="2" s="1"/>
  <c r="M22" i="2"/>
  <c r="M41" i="2" s="1"/>
  <c r="AA33" i="2"/>
  <c r="AA16" i="2"/>
  <c r="X34" i="2"/>
  <c r="X40" i="2"/>
  <c r="X20" i="2"/>
  <c r="V35" i="2"/>
  <c r="N34" i="2" l="1"/>
  <c r="N40" i="2"/>
  <c r="N20" i="2"/>
  <c r="Z17" i="2"/>
  <c r="Z40" i="2" s="1"/>
  <c r="Z32" i="2"/>
  <c r="AA13" i="2"/>
  <c r="AA39" i="2" s="1"/>
  <c r="AB12" i="2"/>
  <c r="AB31" i="2" s="1"/>
  <c r="M36" i="2"/>
  <c r="Y35" i="2"/>
  <c r="Y22" i="2"/>
  <c r="X22" i="2"/>
  <c r="X35" i="2"/>
  <c r="AB33" i="2"/>
  <c r="AB16" i="2"/>
  <c r="W36" i="2"/>
  <c r="M24" i="2"/>
  <c r="V38" i="2" s="1"/>
  <c r="AC18" i="2"/>
  <c r="AC11" i="2"/>
  <c r="AC19" i="2"/>
  <c r="AC30" i="2"/>
  <c r="AC14" i="2"/>
  <c r="AC21" i="2"/>
  <c r="AC10" i="2"/>
  <c r="AD27" i="2"/>
  <c r="AD9" i="2"/>
  <c r="V41" i="2"/>
  <c r="V36" i="2"/>
  <c r="N22" i="2" l="1"/>
  <c r="N35" i="2"/>
  <c r="Z34" i="2"/>
  <c r="AA17" i="2"/>
  <c r="AA40" i="2" s="1"/>
  <c r="AA32" i="2"/>
  <c r="Z20" i="2"/>
  <c r="Z22" i="2" s="1"/>
  <c r="AB13" i="2"/>
  <c r="M38" i="2"/>
  <c r="AC16" i="2"/>
  <c r="AC33" i="2"/>
  <c r="AE27" i="2"/>
  <c r="AE9" i="2"/>
  <c r="AF30" i="2" s="1"/>
  <c r="Y36" i="2"/>
  <c r="Y41" i="2"/>
  <c r="X41" i="2"/>
  <c r="X36" i="2"/>
  <c r="AD18" i="2"/>
  <c r="AD30" i="2"/>
  <c r="AD10" i="2"/>
  <c r="AD14" i="2"/>
  <c r="AD11" i="2"/>
  <c r="AC12" i="2"/>
  <c r="AD19" i="2"/>
  <c r="AD21" i="2"/>
  <c r="D129" i="2"/>
  <c r="AA20" i="2" l="1"/>
  <c r="AA34" i="2"/>
  <c r="N41" i="2"/>
  <c r="N36" i="2"/>
  <c r="Z35" i="2"/>
  <c r="AB32" i="2"/>
  <c r="AB17" i="2"/>
  <c r="AB39" i="2"/>
  <c r="AD12" i="2"/>
  <c r="AD31" i="2" s="1"/>
  <c r="Z36" i="2"/>
  <c r="Z41" i="2"/>
  <c r="AD33" i="2"/>
  <c r="AD16" i="2"/>
  <c r="AE21" i="2"/>
  <c r="AF21" i="2" s="1"/>
  <c r="AE18" i="2"/>
  <c r="AF18" i="2" s="1"/>
  <c r="AE11" i="2"/>
  <c r="AF11" i="2" s="1"/>
  <c r="AE10" i="2"/>
  <c r="AF10" i="2" s="1"/>
  <c r="AE30" i="2"/>
  <c r="AE14" i="2"/>
  <c r="AF14" i="2" s="1"/>
  <c r="AE19" i="2"/>
  <c r="AF19" i="2" s="1"/>
  <c r="E128" i="2"/>
  <c r="E129" i="2" s="1"/>
  <c r="F128" i="2" s="1"/>
  <c r="F129" i="2" s="1"/>
  <c r="G128" i="2" s="1"/>
  <c r="G129" i="2" s="1"/>
  <c r="H128" i="2" s="1"/>
  <c r="H129" i="2" s="1"/>
  <c r="I128" i="2" s="1"/>
  <c r="I129" i="2" s="1"/>
  <c r="AA22" i="2"/>
  <c r="AA35" i="2"/>
  <c r="AC31" i="2"/>
  <c r="AC13" i="2"/>
  <c r="V37" i="2"/>
  <c r="W23" i="2"/>
  <c r="AF33" i="2" l="1"/>
  <c r="AF16" i="2"/>
  <c r="AF12" i="2"/>
  <c r="AD13" i="2"/>
  <c r="AD17" i="2" s="1"/>
  <c r="AB40" i="2"/>
  <c r="AB20" i="2"/>
  <c r="AB34" i="2"/>
  <c r="AE12" i="2"/>
  <c r="J128" i="2"/>
  <c r="J129" i="2" s="1"/>
  <c r="K128" i="2" s="1"/>
  <c r="K129" i="2" s="1"/>
  <c r="L128" i="2" s="1"/>
  <c r="L129" i="2" s="1"/>
  <c r="AC17" i="2"/>
  <c r="AC39" i="2"/>
  <c r="AC32" i="2"/>
  <c r="AE33" i="2"/>
  <c r="AE16" i="2"/>
  <c r="AA36" i="2"/>
  <c r="AA41" i="2"/>
  <c r="W37" i="2"/>
  <c r="X23" i="2"/>
  <c r="W24" i="2"/>
  <c r="AD32" i="2" l="1"/>
  <c r="AF31" i="2"/>
  <c r="AF13" i="2"/>
  <c r="W38" i="2"/>
  <c r="N24" i="2"/>
  <c r="N38" i="2" s="1"/>
  <c r="AD39" i="2"/>
  <c r="AB22" i="2"/>
  <c r="AB35" i="2"/>
  <c r="AE31" i="2"/>
  <c r="AE13" i="2"/>
  <c r="AD34" i="2"/>
  <c r="AD40" i="2"/>
  <c r="AD20" i="2"/>
  <c r="AC40" i="2"/>
  <c r="AC34" i="2"/>
  <c r="AC20" i="2"/>
  <c r="Y23" i="2"/>
  <c r="X37" i="2"/>
  <c r="X24" i="2"/>
  <c r="X38" i="2" s="1"/>
  <c r="AF32" i="2" l="1"/>
  <c r="AF39" i="2"/>
  <c r="AF17" i="2"/>
  <c r="AB36" i="2"/>
  <c r="AB41" i="2"/>
  <c r="AE32" i="2"/>
  <c r="AE39" i="2"/>
  <c r="AE17" i="2"/>
  <c r="AD35" i="2"/>
  <c r="AD22" i="2"/>
  <c r="AC22" i="2"/>
  <c r="AC35" i="2"/>
  <c r="Z23" i="2"/>
  <c r="Y37" i="2"/>
  <c r="Y24" i="2"/>
  <c r="Y38" i="2" s="1"/>
  <c r="AF40" i="2" l="1"/>
  <c r="AF20" i="2"/>
  <c r="AF34" i="2"/>
  <c r="AE40" i="2"/>
  <c r="AE34" i="2"/>
  <c r="AE20" i="2"/>
  <c r="AC36" i="2"/>
  <c r="AC41" i="2"/>
  <c r="AD41" i="2"/>
  <c r="AD36" i="2"/>
  <c r="AA23" i="2"/>
  <c r="Z37" i="2"/>
  <c r="Z24" i="2"/>
  <c r="Z38" i="2" s="1"/>
  <c r="AF35" i="2" l="1"/>
  <c r="AF22" i="2"/>
  <c r="AE35" i="2"/>
  <c r="AE22" i="2"/>
  <c r="AB23" i="2"/>
  <c r="AA37" i="2"/>
  <c r="AA24" i="2"/>
  <c r="AA38" i="2" s="1"/>
  <c r="AF41" i="2" l="1"/>
  <c r="AF36" i="2"/>
  <c r="AG22" i="2"/>
  <c r="AH22" i="2" s="1"/>
  <c r="AI22" i="2" s="1"/>
  <c r="AJ22" i="2" s="1"/>
  <c r="AK22" i="2" s="1"/>
  <c r="AL22" i="2" s="1"/>
  <c r="AM22" i="2" s="1"/>
  <c r="AN22" i="2" s="1"/>
  <c r="AO22" i="2" s="1"/>
  <c r="AP22" i="2" s="1"/>
  <c r="AQ22" i="2" s="1"/>
  <c r="AR22" i="2" s="1"/>
  <c r="AS22" i="2" s="1"/>
  <c r="AT22" i="2" s="1"/>
  <c r="AU22" i="2" s="1"/>
  <c r="AV22" i="2" s="1"/>
  <c r="AW22" i="2" s="1"/>
  <c r="AX22" i="2" s="1"/>
  <c r="AY22" i="2" s="1"/>
  <c r="AZ22" i="2" s="1"/>
  <c r="BA22" i="2" s="1"/>
  <c r="BB22" i="2" s="1"/>
  <c r="BC22" i="2" s="1"/>
  <c r="BD22" i="2" s="1"/>
  <c r="BE22" i="2" s="1"/>
  <c r="BF22" i="2" s="1"/>
  <c r="BG22" i="2" s="1"/>
  <c r="BH22" i="2" s="1"/>
  <c r="BI22" i="2" s="1"/>
  <c r="BJ22" i="2" s="1"/>
  <c r="BK22" i="2" s="1"/>
  <c r="BL22" i="2" s="1"/>
  <c r="BM22" i="2" s="1"/>
  <c r="BN22" i="2" s="1"/>
  <c r="BO22" i="2" s="1"/>
  <c r="BP22" i="2" s="1"/>
  <c r="BQ22" i="2" s="1"/>
  <c r="BR22" i="2" s="1"/>
  <c r="BS22" i="2" s="1"/>
  <c r="BT22" i="2" s="1"/>
  <c r="BU22" i="2" s="1"/>
  <c r="BV22" i="2" s="1"/>
  <c r="BW22" i="2" s="1"/>
  <c r="BX22" i="2" s="1"/>
  <c r="BY22" i="2" s="1"/>
  <c r="BZ22" i="2" s="1"/>
  <c r="CA22" i="2" s="1"/>
  <c r="CB22" i="2" s="1"/>
  <c r="CC22" i="2" s="1"/>
  <c r="CD22" i="2" s="1"/>
  <c r="CE22" i="2" s="1"/>
  <c r="CF22" i="2" s="1"/>
  <c r="CG22" i="2" s="1"/>
  <c r="CH22" i="2" s="1"/>
  <c r="CI22" i="2" s="1"/>
  <c r="CJ22" i="2" s="1"/>
  <c r="CK22" i="2" s="1"/>
  <c r="CL22" i="2" s="1"/>
  <c r="CM22" i="2" s="1"/>
  <c r="CN22" i="2" s="1"/>
  <c r="CO22" i="2" s="1"/>
  <c r="CP22" i="2" s="1"/>
  <c r="CQ22" i="2" s="1"/>
  <c r="CR22" i="2" s="1"/>
  <c r="CS22" i="2" s="1"/>
  <c r="CT22" i="2" s="1"/>
  <c r="CU22" i="2" s="1"/>
  <c r="CV22" i="2" s="1"/>
  <c r="CW22" i="2" s="1"/>
  <c r="CX22" i="2" s="1"/>
  <c r="CY22" i="2" s="1"/>
  <c r="CZ22" i="2" s="1"/>
  <c r="DA22" i="2" s="1"/>
  <c r="DB22" i="2" s="1"/>
  <c r="DC22" i="2" s="1"/>
  <c r="DD22" i="2" s="1"/>
  <c r="DE22" i="2" s="1"/>
  <c r="DF22" i="2" s="1"/>
  <c r="DG22" i="2" s="1"/>
  <c r="DH22" i="2" s="1"/>
  <c r="DI22" i="2" s="1"/>
  <c r="DJ22" i="2" s="1"/>
  <c r="DK22" i="2" s="1"/>
  <c r="DL22" i="2" s="1"/>
  <c r="DM22" i="2" s="1"/>
  <c r="DN22" i="2" s="1"/>
  <c r="DO22" i="2" s="1"/>
  <c r="DP22" i="2" s="1"/>
  <c r="DQ22" i="2" s="1"/>
  <c r="DR22" i="2" s="1"/>
  <c r="DS22" i="2" s="1"/>
  <c r="DT22" i="2" s="1"/>
  <c r="DU22" i="2" s="1"/>
  <c r="DV22" i="2" s="1"/>
  <c r="AE41" i="2"/>
  <c r="AE36" i="2"/>
  <c r="AC23" i="2"/>
  <c r="AB37" i="2"/>
  <c r="AB24" i="2"/>
  <c r="AB38" i="2" s="1"/>
  <c r="AI30" i="2" l="1"/>
  <c r="AI33" i="2" s="1"/>
  <c r="AI35" i="2" s="1"/>
  <c r="AI37" i="2" s="1"/>
  <c r="DW22" i="2"/>
  <c r="DX22" i="2" s="1"/>
  <c r="DY22" i="2" s="1"/>
  <c r="DZ22" i="2" s="1"/>
  <c r="EA22" i="2" s="1"/>
  <c r="EB22" i="2" s="1"/>
  <c r="EC22" i="2" s="1"/>
  <c r="ED22" i="2" s="1"/>
  <c r="EE22" i="2" s="1"/>
  <c r="EF22" i="2" s="1"/>
  <c r="EG22" i="2" s="1"/>
  <c r="EH22" i="2" s="1"/>
  <c r="EI22" i="2" s="1"/>
  <c r="EJ22" i="2" s="1"/>
  <c r="EK22" i="2" s="1"/>
  <c r="EL22" i="2" s="1"/>
  <c r="EM22" i="2" s="1"/>
  <c r="EN22" i="2" s="1"/>
  <c r="EO22" i="2" s="1"/>
  <c r="EP22" i="2" s="1"/>
  <c r="EQ22" i="2" s="1"/>
  <c r="ER22" i="2" s="1"/>
  <c r="ES22" i="2" s="1"/>
  <c r="ET22" i="2" s="1"/>
  <c r="EU22" i="2" s="1"/>
  <c r="EV22" i="2" s="1"/>
  <c r="EW22" i="2" s="1"/>
  <c r="EX22" i="2" s="1"/>
  <c r="EY22" i="2" s="1"/>
  <c r="EZ22" i="2" s="1"/>
  <c r="FA22" i="2" s="1"/>
  <c r="FB22" i="2" s="1"/>
  <c r="FC22" i="2" s="1"/>
  <c r="FD22" i="2" s="1"/>
  <c r="FE22" i="2" s="1"/>
  <c r="FF22" i="2" s="1"/>
  <c r="FG22" i="2" s="1"/>
  <c r="FH22" i="2" s="1"/>
  <c r="FI22" i="2" s="1"/>
  <c r="FJ22" i="2" s="1"/>
  <c r="FK22" i="2" s="1"/>
  <c r="FL22" i="2" s="1"/>
  <c r="FM22" i="2" s="1"/>
  <c r="FN22" i="2" s="1"/>
  <c r="FO22" i="2" s="1"/>
  <c r="FP22" i="2" s="1"/>
  <c r="FQ22" i="2" s="1"/>
  <c r="FR22" i="2" s="1"/>
  <c r="FS22" i="2" s="1"/>
  <c r="FT22" i="2" s="1"/>
  <c r="FU22" i="2" s="1"/>
  <c r="FV22" i="2" s="1"/>
  <c r="FW22" i="2" s="1"/>
  <c r="FX22" i="2" s="1"/>
  <c r="FY22" i="2" s="1"/>
  <c r="FZ22" i="2" s="1"/>
  <c r="GA22" i="2" s="1"/>
  <c r="GB22" i="2" s="1"/>
  <c r="GC22" i="2" s="1"/>
  <c r="GD22" i="2" s="1"/>
  <c r="GE22" i="2" s="1"/>
  <c r="GF22" i="2" s="1"/>
  <c r="GG22" i="2" s="1"/>
  <c r="GH22" i="2" s="1"/>
  <c r="GI22" i="2" s="1"/>
  <c r="GJ22" i="2" s="1"/>
  <c r="GK22" i="2" s="1"/>
  <c r="GL22" i="2" s="1"/>
  <c r="GM22" i="2" s="1"/>
  <c r="GN22" i="2" s="1"/>
  <c r="GO22" i="2" s="1"/>
  <c r="GP22" i="2" s="1"/>
  <c r="GQ22" i="2" s="1"/>
  <c r="GR22" i="2" s="1"/>
  <c r="GS22" i="2" s="1"/>
  <c r="GT22" i="2" s="1"/>
  <c r="GU22" i="2" s="1"/>
  <c r="GV22" i="2" s="1"/>
  <c r="GW22" i="2" s="1"/>
  <c r="GX22" i="2" s="1"/>
  <c r="GY22" i="2" s="1"/>
  <c r="GZ22" i="2" s="1"/>
  <c r="HA22" i="2" s="1"/>
  <c r="HB22" i="2" s="1"/>
  <c r="HC22" i="2" s="1"/>
  <c r="HD22" i="2" s="1"/>
  <c r="HE22" i="2" s="1"/>
  <c r="HF22" i="2" s="1"/>
  <c r="HG22" i="2" s="1"/>
  <c r="HH22" i="2" s="1"/>
  <c r="HI22" i="2" s="1"/>
  <c r="HJ22" i="2" s="1"/>
  <c r="HK22" i="2" s="1"/>
  <c r="HL22" i="2" s="1"/>
  <c r="HM22" i="2" s="1"/>
  <c r="HN22" i="2" s="1"/>
  <c r="HO22" i="2" s="1"/>
  <c r="HP22" i="2" s="1"/>
  <c r="HQ22" i="2" s="1"/>
  <c r="HR22" i="2" s="1"/>
  <c r="HS22" i="2" s="1"/>
  <c r="HT22" i="2" s="1"/>
  <c r="HU22" i="2" s="1"/>
  <c r="HV22" i="2" s="1"/>
  <c r="HW22" i="2" s="1"/>
  <c r="HX22" i="2" s="1"/>
  <c r="AD23" i="2"/>
  <c r="AC37" i="2"/>
  <c r="AC24" i="2"/>
  <c r="AC38" i="2" s="1"/>
  <c r="AE23" i="2" l="1"/>
  <c r="AF23" i="2" s="1"/>
  <c r="AD37" i="2"/>
  <c r="AD24" i="2"/>
  <c r="AD38" i="2" s="1"/>
  <c r="AF37" i="2" l="1"/>
  <c r="AF24" i="2"/>
  <c r="AE37" i="2"/>
  <c r="AE24" i="2"/>
  <c r="AE38" i="2" l="1"/>
  <c r="AF3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jameelbrannon</author>
  </authors>
  <commentList>
    <comment ref="B6" authorId="0" shapeId="0" xr:uid="{0D36D12D-3675-5146-8F5C-A9B3F3B09685}">
      <text>
        <r>
          <rPr>
            <b/>
            <sz val="10"/>
            <color rgb="FF000000"/>
            <rFont val="Tahoma"/>
            <family val="2"/>
          </rPr>
          <t>jameelbrannon:</t>
        </r>
        <r>
          <rPr>
            <sz val="10"/>
            <color rgb="FF000000"/>
            <rFont val="Tahoma"/>
            <family val="2"/>
          </rPr>
          <t xml:space="preserve">
</t>
        </r>
        <r>
          <rPr>
            <sz val="10"/>
            <color rgb="FF000000"/>
            <rFont val="Tahoma"/>
            <family val="2"/>
          </rPr>
          <t>can only be bought by prof hair stylists @ salons</t>
        </r>
      </text>
    </comment>
    <comment ref="K9" authorId="0" shapeId="0" xr:uid="{4BA71AB3-BE7A-0A43-A800-789620077783}">
      <text>
        <r>
          <rPr>
            <b/>
            <sz val="10"/>
            <color rgb="FF000000"/>
            <rFont val="Tahoma"/>
            <family val="2"/>
          </rPr>
          <t>jameelbrannon:</t>
        </r>
        <r>
          <rPr>
            <sz val="10"/>
            <color rgb="FF000000"/>
            <rFont val="Tahoma"/>
            <family val="2"/>
          </rPr>
          <t xml:space="preserve">
</t>
        </r>
        <r>
          <rPr>
            <sz val="10"/>
            <color rgb="FF000000"/>
            <rFont val="Tahoma"/>
            <family val="2"/>
          </rPr>
          <t xml:space="preserve">lower demand
</t>
        </r>
        <r>
          <rPr>
            <sz val="10"/>
            <color rgb="FF000000"/>
            <rFont val="Tahoma"/>
            <family val="2"/>
          </rPr>
          <t xml:space="preserve">
</t>
        </r>
        <r>
          <rPr>
            <sz val="10"/>
            <color rgb="FF000000"/>
            <rFont val="Tahoma"/>
            <family val="2"/>
          </rPr>
          <t xml:space="preserve">
</t>
        </r>
        <r>
          <rPr>
            <sz val="10"/>
            <color rgb="FF000000"/>
            <rFont val="Tahoma"/>
            <family val="2"/>
          </rPr>
          <t xml:space="preserve">mgmt doesn't believe price increase is a drvier for demand lsos ... company think sits macro environment / higher level of discountng in industry and misinformation about the brand.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2023 "reset year"  </t>
        </r>
      </text>
    </comment>
    <comment ref="L9" authorId="0" shapeId="0" xr:uid="{2FF26F23-64CF-5640-BD7D-02F584619F55}">
      <text>
        <r>
          <rPr>
            <b/>
            <sz val="10"/>
            <color rgb="FF000000"/>
            <rFont val="Tahoma"/>
            <family val="2"/>
          </rPr>
          <t>jameelbrannon:</t>
        </r>
        <r>
          <rPr>
            <sz val="10"/>
            <color rgb="FF000000"/>
            <rFont val="Tahoma"/>
            <family val="2"/>
          </rPr>
          <t xml:space="preserve">
</t>
        </r>
        <r>
          <rPr>
            <sz val="10"/>
            <color rgb="FF000000"/>
            <rFont val="IntelClear-Regular"/>
          </rPr>
          <t xml:space="preserve">Our second quarter performance was below our expectations as our Professional and Specialty Retail channels experienced slower demand and some customers right sized their inventory positions in response to current trends </t>
        </r>
        <r>
          <rPr>
            <sz val="10"/>
            <color rgb="FF000000"/>
            <rFont val="IntelClear-Regular"/>
          </rPr>
          <t xml:space="preserve">
</t>
        </r>
      </text>
    </comment>
    <comment ref="M9" authorId="0" shapeId="0" xr:uid="{0BFADD9F-E866-A740-BCD0-018CCB073E61}">
      <text>
        <r>
          <rPr>
            <b/>
            <sz val="10"/>
            <color rgb="FF000000"/>
            <rFont val="Tahoma"/>
            <family val="2"/>
          </rPr>
          <t>jameelbrannon:</t>
        </r>
        <r>
          <rPr>
            <sz val="10"/>
            <color rgb="FF000000"/>
            <rFont val="Tahoma"/>
            <family val="2"/>
          </rPr>
          <t xml:space="preserve">
</t>
        </r>
      </text>
    </comment>
    <comment ref="O9" authorId="0" shapeId="0" xr:uid="{BDBBA5E1-6407-5E4B-8EEB-44D6BA177CC9}">
      <text>
        <r>
          <rPr>
            <b/>
            <sz val="10"/>
            <color rgb="FF000000"/>
            <rFont val="Tahoma"/>
            <family val="2"/>
          </rPr>
          <t>jameelbrannon:</t>
        </r>
        <r>
          <rPr>
            <sz val="10"/>
            <color rgb="FF000000"/>
            <rFont val="Tahoma"/>
            <family val="2"/>
          </rPr>
          <t xml:space="preserve">
</t>
        </r>
        <r>
          <rPr>
            <sz val="10"/>
            <color rgb="FF000000"/>
            <rFont val="Tahoma"/>
            <family val="2"/>
          </rPr>
          <t xml:space="preserve">lower demand
</t>
        </r>
        <r>
          <rPr>
            <sz val="10"/>
            <color rgb="FF000000"/>
            <rFont val="Tahoma"/>
            <family val="2"/>
          </rPr>
          <t xml:space="preserve">
</t>
        </r>
        <r>
          <rPr>
            <sz val="10"/>
            <color rgb="FF000000"/>
            <rFont val="Tahoma"/>
            <family val="2"/>
          </rPr>
          <t xml:space="preserve">
</t>
        </r>
        <r>
          <rPr>
            <sz val="10"/>
            <color rgb="FF000000"/>
            <rFont val="Tahoma"/>
            <family val="2"/>
          </rPr>
          <t xml:space="preserve">mgmt doesn't believe price increase is a drvier for demand lsos ... company think sits macro environment / higher level of discountng in industry and misinformation about the brand.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2023 "reset year"  </t>
        </r>
      </text>
    </comment>
    <comment ref="L30" authorId="0" shapeId="0" xr:uid="{B1C92675-C38B-454C-8288-B5357C9D7785}">
      <text>
        <r>
          <rPr>
            <b/>
            <sz val="10"/>
            <color rgb="FF000000"/>
            <rFont val="Tahoma"/>
            <family val="2"/>
          </rPr>
          <t>jameelbrannon:</t>
        </r>
        <r>
          <rPr>
            <sz val="10"/>
            <color rgb="FF000000"/>
            <rFont val="Tahoma"/>
            <family val="2"/>
          </rPr>
          <t xml:space="preserve">
</t>
        </r>
      </text>
    </comment>
  </commentList>
</comments>
</file>

<file path=xl/sharedStrings.xml><?xml version="1.0" encoding="utf-8"?>
<sst xmlns="http://schemas.openxmlformats.org/spreadsheetml/2006/main" count="187" uniqueCount="157">
  <si>
    <t>P</t>
  </si>
  <si>
    <t>S</t>
  </si>
  <si>
    <t>MC</t>
  </si>
  <si>
    <t>C</t>
  </si>
  <si>
    <t>EV</t>
  </si>
  <si>
    <t>D</t>
  </si>
  <si>
    <t>Q122</t>
  </si>
  <si>
    <t>Q222</t>
  </si>
  <si>
    <t>Q322</t>
  </si>
  <si>
    <t>Q422</t>
  </si>
  <si>
    <t>Q123</t>
  </si>
  <si>
    <t>Q223</t>
  </si>
  <si>
    <t>Q323</t>
  </si>
  <si>
    <t>Q423</t>
  </si>
  <si>
    <t>Q121</t>
  </si>
  <si>
    <t>Q221</t>
  </si>
  <si>
    <t>Q321</t>
  </si>
  <si>
    <t>Q421</t>
  </si>
  <si>
    <t>4 PILLAR STRATEGY</t>
  </si>
  <si>
    <t>Ignite Global Brand</t>
  </si>
  <si>
    <t>Innovation</t>
  </si>
  <si>
    <t>Chnnale Coverage</t>
  </si>
  <si>
    <t>New Geography</t>
  </si>
  <si>
    <t>ER</t>
  </si>
  <si>
    <t>cash</t>
  </si>
  <si>
    <t>a/r</t>
  </si>
  <si>
    <t>inventory</t>
  </si>
  <si>
    <t>oca</t>
  </si>
  <si>
    <t>ca</t>
  </si>
  <si>
    <t>ppe</t>
  </si>
  <si>
    <t>intangible</t>
  </si>
  <si>
    <t>goodwill</t>
  </si>
  <si>
    <t>deffered t</t>
  </si>
  <si>
    <t>oa</t>
  </si>
  <si>
    <t>ta</t>
  </si>
  <si>
    <t/>
  </si>
  <si>
    <t>a/p</t>
  </si>
  <si>
    <t>s/imt tx pay</t>
  </si>
  <si>
    <t>acrrued e &amp; ocl</t>
  </si>
  <si>
    <t>debt</t>
  </si>
  <si>
    <t>tx rec agr</t>
  </si>
  <si>
    <t>cl</t>
  </si>
  <si>
    <t>ltd</t>
  </si>
  <si>
    <t>deferred t</t>
  </si>
  <si>
    <t>tax rec agr</t>
  </si>
  <si>
    <t>tl</t>
  </si>
  <si>
    <t>e</t>
  </si>
  <si>
    <t>tl + e</t>
  </si>
  <si>
    <t xml:space="preserve">ratio analysis </t>
  </si>
  <si>
    <t>total debt</t>
  </si>
  <si>
    <t>net debt</t>
  </si>
  <si>
    <t>net debt per shr</t>
  </si>
  <si>
    <t>debt to capital</t>
  </si>
  <si>
    <t xml:space="preserve">current ratio </t>
  </si>
  <si>
    <t>wc</t>
  </si>
  <si>
    <t>nwc</t>
  </si>
  <si>
    <t>inputs</t>
  </si>
  <si>
    <t>interest rate</t>
  </si>
  <si>
    <t>dso</t>
  </si>
  <si>
    <t>inventory turnover</t>
  </si>
  <si>
    <t>days inventory</t>
  </si>
  <si>
    <t>dpo</t>
  </si>
  <si>
    <t>net income</t>
  </si>
  <si>
    <t>amort of patent</t>
  </si>
  <si>
    <t>amort of other</t>
  </si>
  <si>
    <t>professional</t>
  </si>
  <si>
    <t>specialty r</t>
  </si>
  <si>
    <t>dtc</t>
  </si>
  <si>
    <t>s</t>
  </si>
  <si>
    <t>c</t>
  </si>
  <si>
    <t>amort</t>
  </si>
  <si>
    <t>tc</t>
  </si>
  <si>
    <t>gp</t>
  </si>
  <si>
    <t>sga</t>
  </si>
  <si>
    <t>opex</t>
  </si>
  <si>
    <t>ebit</t>
  </si>
  <si>
    <t>interest e</t>
  </si>
  <si>
    <t>other i</t>
  </si>
  <si>
    <t>ebt</t>
  </si>
  <si>
    <t>t</t>
  </si>
  <si>
    <t>diluted</t>
  </si>
  <si>
    <t>eps</t>
  </si>
  <si>
    <t>growth</t>
  </si>
  <si>
    <t>gm%</t>
  </si>
  <si>
    <t>om%</t>
  </si>
  <si>
    <t>nm%</t>
  </si>
  <si>
    <t xml:space="preserve">net revenue </t>
  </si>
  <si>
    <t xml:space="preserve">cffo </t>
  </si>
  <si>
    <t>inventory write off</t>
  </si>
  <si>
    <t>depreciation of fa</t>
  </si>
  <si>
    <t>amortization of debt iss</t>
  </si>
  <si>
    <t>deferred taxes</t>
  </si>
  <si>
    <t>sbc</t>
  </si>
  <si>
    <t>loss on ext debt</t>
  </si>
  <si>
    <t>other operating</t>
  </si>
  <si>
    <t>accrued exp &amp; ocl</t>
  </si>
  <si>
    <t>oa &amp; l</t>
  </si>
  <si>
    <t>capex</t>
  </si>
  <si>
    <t>software purchase</t>
  </si>
  <si>
    <t>cffi</t>
  </si>
  <si>
    <t>stock option proceeds</t>
  </si>
  <si>
    <t>shares retired</t>
  </si>
  <si>
    <t>term loan facility payments</t>
  </si>
  <si>
    <t>proceeds from term loan facility</t>
  </si>
  <si>
    <t>debt issuance costs</t>
  </si>
  <si>
    <t>cfff</t>
  </si>
  <si>
    <t>cash increase</t>
  </si>
  <si>
    <t>cash @ begin</t>
  </si>
  <si>
    <t xml:space="preserve">cash @ end </t>
  </si>
  <si>
    <t xml:space="preserve">free cash flow </t>
  </si>
  <si>
    <t>stock issuance</t>
  </si>
  <si>
    <t>investment in noncon entity</t>
  </si>
  <si>
    <t>amortization of acq inv</t>
  </si>
  <si>
    <t>tax rec</t>
  </si>
  <si>
    <t>dividend/disti payments</t>
  </si>
  <si>
    <t>proceeds from revolver</t>
  </si>
  <si>
    <t>payments of revolver</t>
  </si>
  <si>
    <t>Biz acq</t>
  </si>
  <si>
    <t>4q fcf</t>
  </si>
  <si>
    <t xml:space="preserve">4q ni </t>
  </si>
  <si>
    <t xml:space="preserve">4q fcf - 4q ni </t>
  </si>
  <si>
    <t xml:space="preserve">terminal </t>
  </si>
  <si>
    <t>discount</t>
  </si>
  <si>
    <t>npv</t>
  </si>
  <si>
    <t>net npv</t>
  </si>
  <si>
    <t>shares</t>
  </si>
  <si>
    <t>estimate</t>
  </si>
  <si>
    <t>current</t>
  </si>
  <si>
    <t>Delta</t>
  </si>
  <si>
    <t>ceo</t>
  </si>
  <si>
    <t xml:space="preserve">jue wong </t>
  </si>
  <si>
    <t>cfo eric tiziani</t>
  </si>
  <si>
    <t>founded</t>
  </si>
  <si>
    <t xml:space="preserve">u.s. </t>
  </si>
  <si>
    <t xml:space="preserve">international </t>
  </si>
  <si>
    <t>Test results</t>
  </si>
  <si>
    <t>HRIPT</t>
  </si>
  <si>
    <t xml:space="preserve">, OLAPLEX® No.2 and No.3 </t>
  </si>
  <si>
    <t xml:space="preserve">OLAPLEX® No.1, 4, 5, 6, 7, 8 and 9 </t>
  </si>
  <si>
    <t>olaplex no. 0 hript test</t>
  </si>
  <si>
    <t xml:space="preserve">Beg subjects </t>
  </si>
  <si>
    <t>End subject s</t>
  </si>
  <si>
    <t>subject completion rat e</t>
  </si>
  <si>
    <t>intangibles</t>
  </si>
  <si>
    <t>payment shared withheld/retired</t>
  </si>
  <si>
    <t>payment pre-ipo tax rec.</t>
  </si>
  <si>
    <t xml:space="preserve">other liabilities </t>
  </si>
  <si>
    <t>$M</t>
  </si>
  <si>
    <t>Volume</t>
  </si>
  <si>
    <t>Adj Close</t>
  </si>
  <si>
    <t>Date</t>
  </si>
  <si>
    <t>STD</t>
  </si>
  <si>
    <t>Mean</t>
  </si>
  <si>
    <t>Q124</t>
  </si>
  <si>
    <t>Q224</t>
  </si>
  <si>
    <t>Q324</t>
  </si>
  <si>
    <t>Q424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</si>
</sst>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
    <numFmt numFmtId="165" formatCode="m/d;@"/>
  </numFmts>
  <fonts count="11">
    <font>
      <sz val="10"/>
      <color theme="1"/>
      <name val="IntelClear-Regular"/>
      <family val="2"/>
    </font>
    <font>
      <b/>
      <sz val="10"/>
      <color theme="1"/>
      <name val="IntelClear-Regular"/>
    </font>
    <font>
      <u/>
      <sz val="10"/>
      <color theme="10"/>
      <name val="IntelClear-Regular"/>
      <family val="2"/>
    </font>
    <font>
      <sz val="10"/>
      <color rgb="FF000000"/>
      <name val="Tahoma"/>
      <family val="2"/>
    </font>
    <font>
      <b/>
      <sz val="10"/>
      <color rgb="FF000000"/>
      <name val="Tahoma"/>
      <family val="2"/>
    </font>
    <font>
      <sz val="10"/>
      <color rgb="FF000000"/>
      <name val="IntelClear-Regular"/>
    </font>
    <font>
      <sz val="10"/>
      <color theme="1"/>
      <name val="Arial"/>
      <family val="2"/>
    </font>
    <font>
      <b/>
      <sz val="10"/>
      <color theme="1"/>
      <name val="Arial"/>
      <family val="2"/>
    </font>
    <font>
      <b/>
      <sz val="10"/>
      <color rgb="FF000000"/>
      <name val="AriaL"/>
      <family val="2"/>
    </font>
    <font>
      <sz val="10"/>
      <color rgb="FF000000"/>
      <name val="AriaL"/>
      <family val="2"/>
    </font>
    <font>
      <strike/>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3" fontId="0" fillId="0" borderId="0" xfId="0" applyNumberFormat="1"/>
    <xf numFmtId="4" fontId="0" fillId="0" borderId="0" xfId="0" applyNumberFormat="1"/>
    <xf numFmtId="3" fontId="1" fillId="0" borderId="0" xfId="0" applyNumberFormat="1" applyFont="1"/>
    <xf numFmtId="9" fontId="0" fillId="0" borderId="0" xfId="0" applyNumberFormat="1"/>
    <xf numFmtId="3" fontId="2" fillId="0" borderId="0" xfId="1" applyNumberFormat="1"/>
    <xf numFmtId="1" fontId="0" fillId="0" borderId="0" xfId="0" applyNumberFormat="1" applyAlignment="1">
      <alignment horizontal="left"/>
    </xf>
    <xf numFmtId="0" fontId="6" fillId="0" borderId="0" xfId="0" applyFont="1"/>
    <xf numFmtId="0" fontId="7" fillId="0" borderId="0" xfId="0" applyFont="1"/>
    <xf numFmtId="14" fontId="6" fillId="0" borderId="0" xfId="0" applyNumberFormat="1" applyFont="1"/>
    <xf numFmtId="1" fontId="6" fillId="0" borderId="0" xfId="0" applyNumberFormat="1" applyFont="1"/>
    <xf numFmtId="2" fontId="6" fillId="0" borderId="0" xfId="0" applyNumberFormat="1" applyFont="1"/>
    <xf numFmtId="165" fontId="6" fillId="0" borderId="0" xfId="0" applyNumberFormat="1" applyFont="1"/>
    <xf numFmtId="165" fontId="6" fillId="0" borderId="0" xfId="0" applyNumberFormat="1" applyFont="1" applyAlignment="1">
      <alignment horizontal="center"/>
    </xf>
    <xf numFmtId="3" fontId="6" fillId="0" borderId="0" xfId="0" applyNumberFormat="1" applyFont="1"/>
    <xf numFmtId="3" fontId="6" fillId="0" borderId="0" xfId="0" applyNumberFormat="1" applyFont="1" applyAlignment="1">
      <alignment horizontal="center"/>
    </xf>
    <xf numFmtId="3" fontId="7" fillId="0" borderId="0" xfId="0" applyNumberFormat="1" applyFont="1"/>
    <xf numFmtId="9" fontId="7" fillId="0" borderId="0" xfId="0" applyNumberFormat="1" applyFont="1"/>
    <xf numFmtId="9" fontId="6" fillId="0" borderId="0" xfId="0" applyNumberFormat="1" applyFont="1"/>
    <xf numFmtId="3" fontId="6" fillId="0" borderId="0" xfId="0" applyNumberFormat="1" applyFont="1" applyAlignment="1">
      <alignment horizontal="right"/>
    </xf>
    <xf numFmtId="3" fontId="7" fillId="0" borderId="0" xfId="0" applyNumberFormat="1" applyFont="1" applyAlignment="1">
      <alignment horizontal="right"/>
    </xf>
    <xf numFmtId="3" fontId="8" fillId="0" borderId="0" xfId="0" applyNumberFormat="1" applyFont="1" applyAlignment="1">
      <alignment horizontal="right"/>
    </xf>
    <xf numFmtId="3" fontId="9" fillId="0" borderId="0" xfId="0" applyNumberFormat="1" applyFont="1" applyAlignment="1">
      <alignment horizontal="right"/>
    </xf>
    <xf numFmtId="2" fontId="6" fillId="0" borderId="0" xfId="0" applyNumberFormat="1" applyFont="1" applyAlignment="1">
      <alignment horizontal="right"/>
    </xf>
    <xf numFmtId="4" fontId="6" fillId="0" borderId="0" xfId="0" applyNumberFormat="1" applyFont="1" applyAlignment="1">
      <alignment horizontal="right"/>
    </xf>
    <xf numFmtId="9" fontId="10" fillId="0" borderId="0" xfId="0" applyNumberFormat="1" applyFont="1" applyAlignment="1">
      <alignment horizontal="right"/>
    </xf>
    <xf numFmtId="9" fontId="7" fillId="0" borderId="0" xfId="0" applyNumberFormat="1" applyFont="1" applyAlignment="1">
      <alignment horizontal="right"/>
    </xf>
    <xf numFmtId="8" fontId="7" fillId="0" borderId="0" xfId="0" applyNumberFormat="1" applyFont="1" applyAlignment="1">
      <alignment horizontal="right"/>
    </xf>
    <xf numFmtId="9" fontId="6" fillId="0" borderId="0" xfId="0" applyNumberFormat="1" applyFont="1" applyAlignment="1">
      <alignment horizontal="right"/>
    </xf>
    <xf numFmtId="1" fontId="6" fillId="0" borderId="0" xfId="0" applyNumberFormat="1" applyFont="1" applyAlignment="1">
      <alignment horizontal="right"/>
    </xf>
    <xf numFmtId="164" fontId="6" fillId="0" borderId="0" xfId="0" applyNumberFormat="1" applyFont="1" applyAlignment="1">
      <alignment horizontal="right"/>
    </xf>
    <xf numFmtId="9" fontId="7" fillId="0" borderId="0" xfId="0" applyNumberFormat="1" applyFont="1" applyAlignment="1">
      <alignment horizontal="left"/>
    </xf>
    <xf numFmtId="9" fontId="6" fillId="0" borderId="0" xfId="0" applyNumberFormat="1"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14</xdr:col>
      <xdr:colOff>385268</xdr:colOff>
      <xdr:row>0</xdr:row>
      <xdr:rowOff>0</xdr:rowOff>
    </xdr:from>
    <xdr:to>
      <xdr:col>15</xdr:col>
      <xdr:colOff>1547</xdr:colOff>
      <xdr:row>162</xdr:row>
      <xdr:rowOff>4885</xdr:rowOff>
    </xdr:to>
    <xdr:cxnSp macro="">
      <xdr:nvCxnSpPr>
        <xdr:cNvPr id="3" name="Straight Connector 2">
          <a:extLst>
            <a:ext uri="{FF2B5EF4-FFF2-40B4-BE49-F238E27FC236}">
              <a16:creationId xmlns:a16="http://schemas.microsoft.com/office/drawing/2014/main" id="{894ACBCC-B8E6-1AF5-6714-C23EC12D0AC8}"/>
            </a:ext>
          </a:extLst>
        </xdr:cNvPr>
        <xdr:cNvCxnSpPr/>
      </xdr:nvCxnSpPr>
      <xdr:spPr>
        <a:xfrm flipH="1">
          <a:off x="10584345" y="0"/>
          <a:ext cx="192664" cy="26909347"/>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468924</xdr:colOff>
      <xdr:row>0</xdr:row>
      <xdr:rowOff>0</xdr:rowOff>
    </xdr:from>
    <xdr:to>
      <xdr:col>22</xdr:col>
      <xdr:colOff>9770</xdr:colOff>
      <xdr:row>162</xdr:row>
      <xdr:rowOff>58615</xdr:rowOff>
    </xdr:to>
    <xdr:cxnSp macro="">
      <xdr:nvCxnSpPr>
        <xdr:cNvPr id="5" name="Straight Connector 4">
          <a:extLst>
            <a:ext uri="{FF2B5EF4-FFF2-40B4-BE49-F238E27FC236}">
              <a16:creationId xmlns:a16="http://schemas.microsoft.com/office/drawing/2014/main" id="{B6EDE891-58F8-0545-BD39-755F5ED68CAE}"/>
            </a:ext>
          </a:extLst>
        </xdr:cNvPr>
        <xdr:cNvCxnSpPr/>
      </xdr:nvCxnSpPr>
      <xdr:spPr>
        <a:xfrm flipH="1">
          <a:off x="15122770" y="0"/>
          <a:ext cx="127000" cy="26963077"/>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1io3yog0oux5.cloudfront.net/_024b1df0d6b93362b99f9ce62625e427/olaplex/news/2022-11-09_OLAPLEX_Reports_Third_Quarter_2022_23.pdf" TargetMode="External"/><Relationship Id="rId2" Type="http://schemas.openxmlformats.org/officeDocument/2006/relationships/hyperlink" Target="https://d1io3yog0oux5.cloudfront.net/_024b1df0d6b93362b99f9ce62625e427/olaplex/news/2023-02-28_OLAPLEX_Reports_Fourth_Quarter_and_Full_Year_2022__27.pdf" TargetMode="External"/><Relationship Id="rId1" Type="http://schemas.openxmlformats.org/officeDocument/2006/relationships/hyperlink" Target="https://d1io3yog0oux5.cloudfront.net/_024b1df0d6b93362b99f9ce62625e427/olaplex/news/2023-05-09_OLAPLEX_Reports_First_Quarter_2023_30.pdf" TargetMode="External"/><Relationship Id="rId6" Type="http://schemas.openxmlformats.org/officeDocument/2006/relationships/hyperlink" Target="https://cdn.shopify.com/s/files/1/0434/1661/files/All-S-RIPT_01_02_22_RFV01_R.pdf?v=1676087022" TargetMode="External"/><Relationship Id="rId5" Type="http://schemas.openxmlformats.org/officeDocument/2006/relationships/hyperlink" Target="https://cdn.shopify.com/s/files/1/0434/1661/files/HRIPT_Fact_Sheet.pdf?v=1677775156" TargetMode="External"/><Relationship Id="rId4" Type="http://schemas.openxmlformats.org/officeDocument/2006/relationships/hyperlink" Target="https://olaplex.com/pages/testing-results?ranMID=49376&amp;ranEAID=TnL5HPStwNw&amp;ranSiteID=TnL5HPStwNw-wLImj_uB0BRDjGPdh1lnaA"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DD576-FBCB-244D-B38F-698F5F55E4AC}">
  <dimension ref="B2:I30"/>
  <sheetViews>
    <sheetView tabSelected="1" zoomScale="206" workbookViewId="0">
      <selection activeCell="C22" sqref="C22"/>
    </sheetView>
  </sheetViews>
  <sheetFormatPr baseColWidth="10" defaultRowHeight="14"/>
  <cols>
    <col min="1" max="1" width="10.83203125" style="1"/>
    <col min="2" max="2" width="21.6640625" style="1" bestFit="1" customWidth="1"/>
    <col min="3" max="3" width="10.83203125" style="1"/>
    <col min="4" max="4" width="11" style="1" bestFit="1" customWidth="1"/>
    <col min="5" max="5" width="19.33203125" style="1" bestFit="1" customWidth="1"/>
    <col min="6" max="6" width="10.83203125" style="1"/>
    <col min="7" max="7" width="3.5" style="1" bestFit="1" customWidth="1"/>
    <col min="8" max="8" width="5.5" style="1" bestFit="1" customWidth="1"/>
    <col min="9" max="9" width="5.1640625" style="1" bestFit="1" customWidth="1"/>
    <col min="10" max="16384" width="10.83203125" style="1"/>
  </cols>
  <sheetData>
    <row r="2" spans="2:9">
      <c r="B2" s="1" t="s">
        <v>132</v>
      </c>
      <c r="C2" s="6">
        <v>2014</v>
      </c>
    </row>
    <row r="3" spans="2:9">
      <c r="B3" s="1" t="s">
        <v>129</v>
      </c>
      <c r="C3" s="1" t="s">
        <v>130</v>
      </c>
    </row>
    <row r="4" spans="2:9">
      <c r="B4" s="1" t="s">
        <v>131</v>
      </c>
    </row>
    <row r="5" spans="2:9">
      <c r="G5" s="3" t="s">
        <v>147</v>
      </c>
    </row>
    <row r="6" spans="2:9">
      <c r="G6" s="1" t="s">
        <v>0</v>
      </c>
      <c r="H6" s="2">
        <v>1.62</v>
      </c>
    </row>
    <row r="7" spans="2:9">
      <c r="G7" s="1" t="s">
        <v>1</v>
      </c>
      <c r="H7" s="1">
        <v>661.76174900000001</v>
      </c>
      <c r="I7" s="1" t="s">
        <v>153</v>
      </c>
    </row>
    <row r="8" spans="2:9">
      <c r="G8" s="1" t="s">
        <v>2</v>
      </c>
      <c r="H8" s="1">
        <f>+H6*H7</f>
        <v>1072.0540333800002</v>
      </c>
    </row>
    <row r="9" spans="2:9">
      <c r="G9" s="1" t="s">
        <v>3</v>
      </c>
      <c r="H9" s="1">
        <v>507.50599999999997</v>
      </c>
      <c r="I9" s="1" t="str">
        <f>+I7</f>
        <v>Q124</v>
      </c>
    </row>
    <row r="10" spans="2:9">
      <c r="G10" s="1" t="s">
        <v>5</v>
      </c>
      <c r="H10" s="1">
        <f>6.75+647.695</f>
        <v>654.44500000000005</v>
      </c>
      <c r="I10" s="1" t="str">
        <f>+I9</f>
        <v>Q124</v>
      </c>
    </row>
    <row r="11" spans="2:9">
      <c r="G11" s="1" t="s">
        <v>4</v>
      </c>
      <c r="H11" s="1">
        <f>+H8-H9+H10</f>
        <v>1218.9930333800003</v>
      </c>
    </row>
    <row r="13" spans="2:9">
      <c r="B13" s="3" t="s">
        <v>18</v>
      </c>
    </row>
    <row r="14" spans="2:9">
      <c r="B14" s="1" t="s">
        <v>19</v>
      </c>
    </row>
    <row r="15" spans="2:9">
      <c r="B15" s="1" t="s">
        <v>20</v>
      </c>
    </row>
    <row r="16" spans="2:9">
      <c r="B16" s="1" t="s">
        <v>21</v>
      </c>
    </row>
    <row r="17" spans="2:5">
      <c r="B17" s="1" t="s">
        <v>22</v>
      </c>
    </row>
    <row r="20" spans="2:5">
      <c r="B20" s="3" t="s">
        <v>23</v>
      </c>
    </row>
    <row r="21" spans="2:5">
      <c r="B21" s="5" t="s">
        <v>10</v>
      </c>
    </row>
    <row r="22" spans="2:5">
      <c r="B22" s="5" t="s">
        <v>9</v>
      </c>
    </row>
    <row r="23" spans="2:5">
      <c r="B23" s="5" t="s">
        <v>8</v>
      </c>
    </row>
    <row r="25" spans="2:5">
      <c r="B25" s="5" t="s">
        <v>135</v>
      </c>
      <c r="C25" s="3" t="s">
        <v>140</v>
      </c>
      <c r="D25" s="3" t="s">
        <v>141</v>
      </c>
      <c r="E25" s="1" t="s">
        <v>142</v>
      </c>
    </row>
    <row r="26" spans="2:5">
      <c r="B26" s="5" t="s">
        <v>136</v>
      </c>
    </row>
    <row r="27" spans="2:5">
      <c r="B27" s="5" t="s">
        <v>139</v>
      </c>
      <c r="C27" s="1">
        <v>91</v>
      </c>
      <c r="D27" s="1">
        <v>51</v>
      </c>
      <c r="E27" s="4">
        <f>+D27/C27</f>
        <v>0.56043956043956045</v>
      </c>
    </row>
    <row r="29" spans="2:5">
      <c r="B29" s="1" t="s">
        <v>137</v>
      </c>
      <c r="C29" s="1">
        <v>80</v>
      </c>
    </row>
    <row r="30" spans="2:5">
      <c r="B30" s="1" t="s">
        <v>138</v>
      </c>
      <c r="C30" s="1">
        <v>100</v>
      </c>
    </row>
  </sheetData>
  <hyperlinks>
    <hyperlink ref="B21" r:id="rId1" xr:uid="{7985E61E-559D-8B44-830F-F8E086897B90}"/>
    <hyperlink ref="B22" r:id="rId2" xr:uid="{6163F63C-5BC0-1749-B98A-B4942A89FC2E}"/>
    <hyperlink ref="B23" r:id="rId3" xr:uid="{E6868B7F-68C7-1F4D-A995-FFB7CBAB52C6}"/>
    <hyperlink ref="B25" r:id="rId4" xr:uid="{43148144-8B9F-E04A-AC70-997384FDB7E8}"/>
    <hyperlink ref="B26" r:id="rId5" xr:uid="{D5D84EA7-9615-CB41-8F4E-AEF5C98500EB}"/>
    <hyperlink ref="B27" r:id="rId6" xr:uid="{5727FE85-C9A2-F443-AB55-C0EC54D1AD4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45777-FB84-E24B-A7E8-8275FAC8E2AE}">
  <dimension ref="A1:HX137"/>
  <sheetViews>
    <sheetView zoomScale="130" zoomScaleNormal="130" workbookViewId="0">
      <pane xSplit="2" ySplit="3" topLeftCell="J4" activePane="bottomRight" state="frozen"/>
      <selection pane="topRight" activeCell="C1" sqref="C1"/>
      <selection pane="bottomLeft" activeCell="A3" sqref="A3"/>
      <selection pane="bottomRight" activeCell="R7" sqref="R7"/>
    </sheetView>
  </sheetViews>
  <sheetFormatPr baseColWidth="10" defaultRowHeight="13"/>
  <cols>
    <col min="1" max="1" width="2.6640625" style="14" customWidth="1"/>
    <col min="2" max="2" width="26.1640625" style="14" bestFit="1" customWidth="1"/>
    <col min="3" max="4" width="7.6640625" style="19" bestFit="1" customWidth="1"/>
    <col min="5" max="13" width="9.1640625" style="19" bestFit="1" customWidth="1"/>
    <col min="14" max="15" width="7.6640625" style="19" bestFit="1" customWidth="1"/>
    <col min="16" max="18" width="5.5" style="19" bestFit="1" customWidth="1"/>
    <col min="19" max="19" width="9.6640625" style="19" bestFit="1" customWidth="1"/>
    <col min="20" max="20" width="7.6640625" style="19" bestFit="1" customWidth="1"/>
    <col min="21" max="21" width="8.1640625" style="19" bestFit="1" customWidth="1"/>
    <col min="22" max="33" width="7.6640625" style="19" bestFit="1" customWidth="1"/>
    <col min="34" max="34" width="8.33203125" style="19" bestFit="1" customWidth="1"/>
    <col min="35" max="35" width="13.1640625" style="19" bestFit="1" customWidth="1"/>
    <col min="36" max="44" width="7.6640625" style="19" bestFit="1" customWidth="1"/>
    <col min="45" max="232" width="6.6640625" style="19" bestFit="1" customWidth="1"/>
    <col min="233" max="16384" width="10.83203125" style="19"/>
  </cols>
  <sheetData>
    <row r="1" spans="1:232" s="14" customFormat="1">
      <c r="C1" s="15"/>
      <c r="D1" s="15"/>
      <c r="E1" s="15"/>
      <c r="F1" s="15"/>
      <c r="G1" s="15"/>
      <c r="H1" s="15"/>
      <c r="I1" s="15"/>
      <c r="J1" s="15"/>
      <c r="K1" s="15"/>
    </row>
    <row r="2" spans="1:232" s="12" customFormat="1">
      <c r="C2" s="13">
        <v>44286</v>
      </c>
      <c r="D2" s="13">
        <v>44377</v>
      </c>
      <c r="E2" s="13">
        <v>44469</v>
      </c>
      <c r="F2" s="13">
        <f>+T2</f>
        <v>44561</v>
      </c>
      <c r="G2" s="13">
        <v>44651</v>
      </c>
      <c r="H2" s="13">
        <v>44742</v>
      </c>
      <c r="I2" s="13">
        <v>44834</v>
      </c>
      <c r="J2" s="13">
        <f>+U2</f>
        <v>44926</v>
      </c>
      <c r="K2" s="13">
        <v>45016</v>
      </c>
      <c r="L2" s="12">
        <v>45107</v>
      </c>
      <c r="S2" s="12">
        <f>+T2-365</f>
        <v>44196</v>
      </c>
      <c r="T2" s="12">
        <f>+U2-365</f>
        <v>44561</v>
      </c>
      <c r="U2" s="12">
        <v>44926</v>
      </c>
    </row>
    <row r="3" spans="1:232" s="14" customFormat="1">
      <c r="C3" s="15" t="s">
        <v>14</v>
      </c>
      <c r="D3" s="15" t="s">
        <v>15</v>
      </c>
      <c r="E3" s="15" t="s">
        <v>16</v>
      </c>
      <c r="F3" s="15" t="s">
        <v>17</v>
      </c>
      <c r="G3" s="15" t="s">
        <v>6</v>
      </c>
      <c r="H3" s="15" t="s">
        <v>7</v>
      </c>
      <c r="I3" s="15" t="s">
        <v>8</v>
      </c>
      <c r="J3" s="15" t="s">
        <v>9</v>
      </c>
      <c r="K3" s="15" t="s">
        <v>10</v>
      </c>
      <c r="L3" s="14" t="s">
        <v>11</v>
      </c>
      <c r="M3" s="14" t="s">
        <v>12</v>
      </c>
      <c r="N3" s="14" t="s">
        <v>13</v>
      </c>
      <c r="O3" s="14" t="s">
        <v>153</v>
      </c>
      <c r="P3" s="14" t="s">
        <v>154</v>
      </c>
      <c r="Q3" s="14" t="s">
        <v>155</v>
      </c>
      <c r="R3" s="14" t="s">
        <v>156</v>
      </c>
      <c r="S3" s="10">
        <v>2020</v>
      </c>
      <c r="T3" s="10">
        <f>+S3+1</f>
        <v>2021</v>
      </c>
      <c r="U3" s="10">
        <f>+T3+1</f>
        <v>2022</v>
      </c>
      <c r="V3" s="10">
        <f t="shared" ref="V3:AF3" si="0">+U3+1</f>
        <v>2023</v>
      </c>
      <c r="W3" s="10">
        <f t="shared" si="0"/>
        <v>2024</v>
      </c>
      <c r="X3" s="10">
        <f t="shared" si="0"/>
        <v>2025</v>
      </c>
      <c r="Y3" s="10">
        <f t="shared" si="0"/>
        <v>2026</v>
      </c>
      <c r="Z3" s="10">
        <f t="shared" si="0"/>
        <v>2027</v>
      </c>
      <c r="AA3" s="10">
        <f t="shared" si="0"/>
        <v>2028</v>
      </c>
      <c r="AB3" s="10">
        <f t="shared" si="0"/>
        <v>2029</v>
      </c>
      <c r="AC3" s="10">
        <f t="shared" si="0"/>
        <v>2030</v>
      </c>
      <c r="AD3" s="10">
        <f t="shared" si="0"/>
        <v>2031</v>
      </c>
      <c r="AE3" s="10">
        <f t="shared" si="0"/>
        <v>2032</v>
      </c>
      <c r="AF3" s="10">
        <f t="shared" si="0"/>
        <v>2033</v>
      </c>
      <c r="AG3" s="14">
        <f>+AF3+1</f>
        <v>2034</v>
      </c>
      <c r="AH3" s="14">
        <f t="shared" ref="AH3:CS3" si="1">+AG3+1</f>
        <v>2035</v>
      </c>
      <c r="AI3" s="14">
        <f t="shared" si="1"/>
        <v>2036</v>
      </c>
      <c r="AJ3" s="14">
        <f t="shared" si="1"/>
        <v>2037</v>
      </c>
      <c r="AK3" s="14">
        <f t="shared" si="1"/>
        <v>2038</v>
      </c>
      <c r="AL3" s="14">
        <f t="shared" si="1"/>
        <v>2039</v>
      </c>
      <c r="AM3" s="14">
        <f t="shared" si="1"/>
        <v>2040</v>
      </c>
      <c r="AN3" s="14">
        <f t="shared" si="1"/>
        <v>2041</v>
      </c>
      <c r="AO3" s="14">
        <f t="shared" si="1"/>
        <v>2042</v>
      </c>
      <c r="AP3" s="14">
        <f t="shared" si="1"/>
        <v>2043</v>
      </c>
      <c r="AQ3" s="14">
        <f t="shared" si="1"/>
        <v>2044</v>
      </c>
      <c r="AR3" s="14">
        <f t="shared" si="1"/>
        <v>2045</v>
      </c>
      <c r="AS3" s="14">
        <f t="shared" si="1"/>
        <v>2046</v>
      </c>
      <c r="AT3" s="14">
        <f t="shared" si="1"/>
        <v>2047</v>
      </c>
      <c r="AU3" s="14">
        <f t="shared" si="1"/>
        <v>2048</v>
      </c>
      <c r="AV3" s="14">
        <f t="shared" si="1"/>
        <v>2049</v>
      </c>
      <c r="AW3" s="14">
        <f t="shared" si="1"/>
        <v>2050</v>
      </c>
      <c r="AX3" s="14">
        <f t="shared" si="1"/>
        <v>2051</v>
      </c>
      <c r="AY3" s="14">
        <f t="shared" si="1"/>
        <v>2052</v>
      </c>
      <c r="AZ3" s="14">
        <f t="shared" si="1"/>
        <v>2053</v>
      </c>
      <c r="BA3" s="14">
        <f t="shared" si="1"/>
        <v>2054</v>
      </c>
      <c r="BB3" s="14">
        <f t="shared" si="1"/>
        <v>2055</v>
      </c>
      <c r="BC3" s="14">
        <f t="shared" si="1"/>
        <v>2056</v>
      </c>
      <c r="BD3" s="14">
        <f t="shared" si="1"/>
        <v>2057</v>
      </c>
      <c r="BE3" s="14">
        <f t="shared" si="1"/>
        <v>2058</v>
      </c>
      <c r="BF3" s="14">
        <f t="shared" si="1"/>
        <v>2059</v>
      </c>
      <c r="BG3" s="14">
        <f t="shared" si="1"/>
        <v>2060</v>
      </c>
      <c r="BH3" s="14">
        <f t="shared" si="1"/>
        <v>2061</v>
      </c>
      <c r="BI3" s="14">
        <f t="shared" si="1"/>
        <v>2062</v>
      </c>
      <c r="BJ3" s="14">
        <f t="shared" si="1"/>
        <v>2063</v>
      </c>
      <c r="BK3" s="14">
        <f t="shared" si="1"/>
        <v>2064</v>
      </c>
      <c r="BL3" s="14">
        <f t="shared" si="1"/>
        <v>2065</v>
      </c>
      <c r="BM3" s="14">
        <f t="shared" si="1"/>
        <v>2066</v>
      </c>
      <c r="BN3" s="14">
        <f t="shared" si="1"/>
        <v>2067</v>
      </c>
      <c r="BO3" s="14">
        <f t="shared" si="1"/>
        <v>2068</v>
      </c>
      <c r="BP3" s="14">
        <f t="shared" si="1"/>
        <v>2069</v>
      </c>
      <c r="BQ3" s="14">
        <f t="shared" si="1"/>
        <v>2070</v>
      </c>
      <c r="BR3" s="14">
        <f t="shared" si="1"/>
        <v>2071</v>
      </c>
      <c r="BS3" s="14">
        <f t="shared" si="1"/>
        <v>2072</v>
      </c>
      <c r="BT3" s="14">
        <f t="shared" si="1"/>
        <v>2073</v>
      </c>
      <c r="BU3" s="14">
        <f t="shared" si="1"/>
        <v>2074</v>
      </c>
      <c r="BV3" s="14">
        <f t="shared" si="1"/>
        <v>2075</v>
      </c>
      <c r="BW3" s="14">
        <f t="shared" si="1"/>
        <v>2076</v>
      </c>
      <c r="BX3" s="14">
        <f t="shared" si="1"/>
        <v>2077</v>
      </c>
      <c r="BY3" s="14">
        <f t="shared" si="1"/>
        <v>2078</v>
      </c>
      <c r="BZ3" s="14">
        <f t="shared" si="1"/>
        <v>2079</v>
      </c>
      <c r="CA3" s="14">
        <f t="shared" si="1"/>
        <v>2080</v>
      </c>
      <c r="CB3" s="14">
        <f t="shared" si="1"/>
        <v>2081</v>
      </c>
      <c r="CC3" s="14">
        <f t="shared" si="1"/>
        <v>2082</v>
      </c>
      <c r="CD3" s="14">
        <f t="shared" si="1"/>
        <v>2083</v>
      </c>
      <c r="CE3" s="14">
        <f t="shared" si="1"/>
        <v>2084</v>
      </c>
      <c r="CF3" s="14">
        <f t="shared" si="1"/>
        <v>2085</v>
      </c>
      <c r="CG3" s="14">
        <f t="shared" si="1"/>
        <v>2086</v>
      </c>
      <c r="CH3" s="14">
        <f t="shared" si="1"/>
        <v>2087</v>
      </c>
      <c r="CI3" s="14">
        <f t="shared" si="1"/>
        <v>2088</v>
      </c>
      <c r="CJ3" s="14">
        <f t="shared" si="1"/>
        <v>2089</v>
      </c>
      <c r="CK3" s="14">
        <f t="shared" si="1"/>
        <v>2090</v>
      </c>
      <c r="CL3" s="14">
        <f t="shared" si="1"/>
        <v>2091</v>
      </c>
      <c r="CM3" s="14">
        <f t="shared" si="1"/>
        <v>2092</v>
      </c>
      <c r="CN3" s="14">
        <f t="shared" si="1"/>
        <v>2093</v>
      </c>
      <c r="CO3" s="14">
        <f t="shared" si="1"/>
        <v>2094</v>
      </c>
      <c r="CP3" s="14">
        <f t="shared" si="1"/>
        <v>2095</v>
      </c>
      <c r="CQ3" s="14">
        <f t="shared" si="1"/>
        <v>2096</v>
      </c>
      <c r="CR3" s="14">
        <f t="shared" si="1"/>
        <v>2097</v>
      </c>
      <c r="CS3" s="14">
        <f t="shared" si="1"/>
        <v>2098</v>
      </c>
      <c r="CT3" s="14">
        <f t="shared" ref="CT3:DV3" si="2">+CS3+1</f>
        <v>2099</v>
      </c>
      <c r="CU3" s="14">
        <f t="shared" si="2"/>
        <v>2100</v>
      </c>
      <c r="CV3" s="14">
        <f t="shared" si="2"/>
        <v>2101</v>
      </c>
      <c r="CW3" s="14">
        <f t="shared" si="2"/>
        <v>2102</v>
      </c>
      <c r="CX3" s="14">
        <f t="shared" si="2"/>
        <v>2103</v>
      </c>
      <c r="CY3" s="14">
        <f t="shared" si="2"/>
        <v>2104</v>
      </c>
      <c r="CZ3" s="14">
        <f t="shared" si="2"/>
        <v>2105</v>
      </c>
      <c r="DA3" s="14">
        <f t="shared" si="2"/>
        <v>2106</v>
      </c>
      <c r="DB3" s="14">
        <f t="shared" si="2"/>
        <v>2107</v>
      </c>
      <c r="DC3" s="14">
        <f t="shared" si="2"/>
        <v>2108</v>
      </c>
      <c r="DD3" s="14">
        <f t="shared" si="2"/>
        <v>2109</v>
      </c>
      <c r="DE3" s="14">
        <f t="shared" si="2"/>
        <v>2110</v>
      </c>
      <c r="DF3" s="14">
        <f t="shared" si="2"/>
        <v>2111</v>
      </c>
      <c r="DG3" s="14">
        <f t="shared" si="2"/>
        <v>2112</v>
      </c>
      <c r="DH3" s="14">
        <f t="shared" si="2"/>
        <v>2113</v>
      </c>
      <c r="DI3" s="14">
        <f t="shared" si="2"/>
        <v>2114</v>
      </c>
      <c r="DJ3" s="14">
        <f t="shared" si="2"/>
        <v>2115</v>
      </c>
      <c r="DK3" s="14">
        <f t="shared" si="2"/>
        <v>2116</v>
      </c>
      <c r="DL3" s="14">
        <f t="shared" si="2"/>
        <v>2117</v>
      </c>
      <c r="DM3" s="14">
        <f t="shared" si="2"/>
        <v>2118</v>
      </c>
      <c r="DN3" s="14">
        <f t="shared" si="2"/>
        <v>2119</v>
      </c>
      <c r="DO3" s="14">
        <f t="shared" si="2"/>
        <v>2120</v>
      </c>
      <c r="DP3" s="14">
        <f t="shared" si="2"/>
        <v>2121</v>
      </c>
      <c r="DQ3" s="14">
        <f t="shared" si="2"/>
        <v>2122</v>
      </c>
      <c r="DR3" s="14">
        <f t="shared" si="2"/>
        <v>2123</v>
      </c>
      <c r="DS3" s="14">
        <f t="shared" si="2"/>
        <v>2124</v>
      </c>
      <c r="DT3" s="14">
        <f t="shared" si="2"/>
        <v>2125</v>
      </c>
      <c r="DU3" s="14">
        <f t="shared" si="2"/>
        <v>2126</v>
      </c>
      <c r="DV3" s="14">
        <f t="shared" si="2"/>
        <v>2127</v>
      </c>
      <c r="DW3" s="14">
        <f t="shared" ref="DW3:ER3" si="3">+DV3+1</f>
        <v>2128</v>
      </c>
      <c r="DX3" s="14">
        <f t="shared" si="3"/>
        <v>2129</v>
      </c>
      <c r="DY3" s="14">
        <f t="shared" si="3"/>
        <v>2130</v>
      </c>
      <c r="DZ3" s="14">
        <f t="shared" si="3"/>
        <v>2131</v>
      </c>
      <c r="EA3" s="14">
        <f t="shared" si="3"/>
        <v>2132</v>
      </c>
      <c r="EB3" s="14">
        <f t="shared" si="3"/>
        <v>2133</v>
      </c>
      <c r="EC3" s="14">
        <f t="shared" si="3"/>
        <v>2134</v>
      </c>
      <c r="ED3" s="14">
        <f t="shared" si="3"/>
        <v>2135</v>
      </c>
      <c r="EE3" s="14">
        <f t="shared" si="3"/>
        <v>2136</v>
      </c>
      <c r="EF3" s="14">
        <f t="shared" si="3"/>
        <v>2137</v>
      </c>
      <c r="EG3" s="14">
        <f t="shared" si="3"/>
        <v>2138</v>
      </c>
      <c r="EH3" s="14">
        <f t="shared" si="3"/>
        <v>2139</v>
      </c>
      <c r="EI3" s="14">
        <f t="shared" si="3"/>
        <v>2140</v>
      </c>
      <c r="EJ3" s="14">
        <f t="shared" si="3"/>
        <v>2141</v>
      </c>
      <c r="EK3" s="14">
        <f t="shared" si="3"/>
        <v>2142</v>
      </c>
      <c r="EL3" s="14">
        <f t="shared" si="3"/>
        <v>2143</v>
      </c>
      <c r="EM3" s="14">
        <f t="shared" si="3"/>
        <v>2144</v>
      </c>
      <c r="EN3" s="14">
        <f t="shared" si="3"/>
        <v>2145</v>
      </c>
      <c r="EO3" s="14">
        <f t="shared" si="3"/>
        <v>2146</v>
      </c>
      <c r="EP3" s="14">
        <f t="shared" si="3"/>
        <v>2147</v>
      </c>
      <c r="EQ3" s="14">
        <f t="shared" si="3"/>
        <v>2148</v>
      </c>
      <c r="ER3" s="14">
        <f t="shared" si="3"/>
        <v>2149</v>
      </c>
      <c r="ES3" s="14">
        <f t="shared" ref="ES3:FF3" si="4">+ER3+1</f>
        <v>2150</v>
      </c>
      <c r="ET3" s="14">
        <f t="shared" si="4"/>
        <v>2151</v>
      </c>
      <c r="EU3" s="14">
        <f t="shared" si="4"/>
        <v>2152</v>
      </c>
      <c r="EV3" s="14">
        <f t="shared" si="4"/>
        <v>2153</v>
      </c>
      <c r="EW3" s="14">
        <f t="shared" si="4"/>
        <v>2154</v>
      </c>
      <c r="EX3" s="14">
        <f t="shared" si="4"/>
        <v>2155</v>
      </c>
      <c r="EY3" s="14">
        <f t="shared" si="4"/>
        <v>2156</v>
      </c>
      <c r="EZ3" s="14">
        <f t="shared" si="4"/>
        <v>2157</v>
      </c>
      <c r="FA3" s="14">
        <f t="shared" si="4"/>
        <v>2158</v>
      </c>
      <c r="FB3" s="14">
        <f t="shared" si="4"/>
        <v>2159</v>
      </c>
      <c r="FC3" s="14">
        <f t="shared" si="4"/>
        <v>2160</v>
      </c>
      <c r="FD3" s="14">
        <f t="shared" si="4"/>
        <v>2161</v>
      </c>
      <c r="FE3" s="14">
        <f t="shared" si="4"/>
        <v>2162</v>
      </c>
      <c r="FF3" s="14">
        <f t="shared" si="4"/>
        <v>2163</v>
      </c>
      <c r="FG3" s="14">
        <f t="shared" ref="FG3:GX3" si="5">+FF3+1</f>
        <v>2164</v>
      </c>
      <c r="FH3" s="14">
        <f t="shared" si="5"/>
        <v>2165</v>
      </c>
      <c r="FI3" s="14">
        <f t="shared" si="5"/>
        <v>2166</v>
      </c>
      <c r="FJ3" s="14">
        <f t="shared" si="5"/>
        <v>2167</v>
      </c>
      <c r="FK3" s="14">
        <f t="shared" si="5"/>
        <v>2168</v>
      </c>
      <c r="FL3" s="14">
        <f t="shared" si="5"/>
        <v>2169</v>
      </c>
      <c r="FM3" s="14">
        <f t="shared" si="5"/>
        <v>2170</v>
      </c>
      <c r="FN3" s="14">
        <f t="shared" si="5"/>
        <v>2171</v>
      </c>
      <c r="FO3" s="14">
        <f t="shared" si="5"/>
        <v>2172</v>
      </c>
      <c r="FP3" s="14">
        <f t="shared" si="5"/>
        <v>2173</v>
      </c>
      <c r="FQ3" s="14">
        <f t="shared" si="5"/>
        <v>2174</v>
      </c>
      <c r="FR3" s="14">
        <f t="shared" si="5"/>
        <v>2175</v>
      </c>
      <c r="FS3" s="14">
        <f t="shared" si="5"/>
        <v>2176</v>
      </c>
      <c r="FT3" s="14">
        <f t="shared" si="5"/>
        <v>2177</v>
      </c>
      <c r="FU3" s="14">
        <f t="shared" si="5"/>
        <v>2178</v>
      </c>
      <c r="FV3" s="14">
        <f t="shared" si="5"/>
        <v>2179</v>
      </c>
      <c r="FW3" s="14">
        <f t="shared" si="5"/>
        <v>2180</v>
      </c>
      <c r="FX3" s="14">
        <f t="shared" si="5"/>
        <v>2181</v>
      </c>
      <c r="FY3" s="14">
        <f t="shared" si="5"/>
        <v>2182</v>
      </c>
      <c r="FZ3" s="14">
        <f t="shared" si="5"/>
        <v>2183</v>
      </c>
      <c r="GA3" s="14">
        <f t="shared" si="5"/>
        <v>2184</v>
      </c>
      <c r="GB3" s="14">
        <f t="shared" si="5"/>
        <v>2185</v>
      </c>
      <c r="GC3" s="14">
        <f t="shared" si="5"/>
        <v>2186</v>
      </c>
      <c r="GD3" s="14">
        <f t="shared" si="5"/>
        <v>2187</v>
      </c>
      <c r="GE3" s="14">
        <f t="shared" si="5"/>
        <v>2188</v>
      </c>
      <c r="GF3" s="14">
        <f t="shared" si="5"/>
        <v>2189</v>
      </c>
      <c r="GG3" s="14">
        <f t="shared" si="5"/>
        <v>2190</v>
      </c>
      <c r="GH3" s="14">
        <f t="shared" si="5"/>
        <v>2191</v>
      </c>
      <c r="GI3" s="14">
        <f t="shared" si="5"/>
        <v>2192</v>
      </c>
      <c r="GJ3" s="14">
        <f t="shared" si="5"/>
        <v>2193</v>
      </c>
      <c r="GK3" s="14">
        <f t="shared" si="5"/>
        <v>2194</v>
      </c>
      <c r="GL3" s="14">
        <f t="shared" si="5"/>
        <v>2195</v>
      </c>
      <c r="GM3" s="14">
        <f t="shared" si="5"/>
        <v>2196</v>
      </c>
      <c r="GN3" s="14">
        <f t="shared" si="5"/>
        <v>2197</v>
      </c>
      <c r="GO3" s="14">
        <f t="shared" si="5"/>
        <v>2198</v>
      </c>
      <c r="GP3" s="14">
        <f t="shared" si="5"/>
        <v>2199</v>
      </c>
      <c r="GQ3" s="14">
        <f t="shared" si="5"/>
        <v>2200</v>
      </c>
      <c r="GR3" s="14">
        <f t="shared" si="5"/>
        <v>2201</v>
      </c>
      <c r="GS3" s="14">
        <f t="shared" si="5"/>
        <v>2202</v>
      </c>
      <c r="GT3" s="14">
        <f t="shared" si="5"/>
        <v>2203</v>
      </c>
      <c r="GU3" s="14">
        <f t="shared" si="5"/>
        <v>2204</v>
      </c>
      <c r="GV3" s="14">
        <f t="shared" si="5"/>
        <v>2205</v>
      </c>
      <c r="GW3" s="14">
        <f t="shared" si="5"/>
        <v>2206</v>
      </c>
      <c r="GX3" s="14">
        <f t="shared" si="5"/>
        <v>2207</v>
      </c>
      <c r="GY3" s="14">
        <f t="shared" ref="GY3:HK3" si="6">+GX3+1</f>
        <v>2208</v>
      </c>
      <c r="GZ3" s="14">
        <f t="shared" si="6"/>
        <v>2209</v>
      </c>
      <c r="HA3" s="14">
        <f t="shared" si="6"/>
        <v>2210</v>
      </c>
      <c r="HB3" s="14">
        <f t="shared" si="6"/>
        <v>2211</v>
      </c>
      <c r="HC3" s="14">
        <f t="shared" si="6"/>
        <v>2212</v>
      </c>
      <c r="HD3" s="14">
        <f t="shared" si="6"/>
        <v>2213</v>
      </c>
      <c r="HE3" s="14">
        <f t="shared" si="6"/>
        <v>2214</v>
      </c>
      <c r="HF3" s="14">
        <f t="shared" si="6"/>
        <v>2215</v>
      </c>
      <c r="HG3" s="14">
        <f t="shared" si="6"/>
        <v>2216</v>
      </c>
      <c r="HH3" s="14">
        <f t="shared" si="6"/>
        <v>2217</v>
      </c>
      <c r="HI3" s="14">
        <f t="shared" si="6"/>
        <v>2218</v>
      </c>
      <c r="HJ3" s="14">
        <f t="shared" si="6"/>
        <v>2219</v>
      </c>
      <c r="HK3" s="14">
        <f t="shared" si="6"/>
        <v>2220</v>
      </c>
      <c r="HL3" s="14">
        <f t="shared" ref="HL3:HV3" si="7">+HK3+1</f>
        <v>2221</v>
      </c>
      <c r="HM3" s="14">
        <f t="shared" si="7"/>
        <v>2222</v>
      </c>
      <c r="HN3" s="14">
        <f t="shared" si="7"/>
        <v>2223</v>
      </c>
      <c r="HO3" s="14">
        <f t="shared" si="7"/>
        <v>2224</v>
      </c>
      <c r="HP3" s="14">
        <f t="shared" si="7"/>
        <v>2225</v>
      </c>
      <c r="HQ3" s="14">
        <f t="shared" si="7"/>
        <v>2226</v>
      </c>
      <c r="HR3" s="14">
        <f t="shared" si="7"/>
        <v>2227</v>
      </c>
      <c r="HS3" s="14">
        <f t="shared" si="7"/>
        <v>2228</v>
      </c>
      <c r="HT3" s="14">
        <f t="shared" si="7"/>
        <v>2229</v>
      </c>
      <c r="HU3" s="14">
        <f t="shared" si="7"/>
        <v>2230</v>
      </c>
      <c r="HV3" s="14">
        <f t="shared" si="7"/>
        <v>2231</v>
      </c>
      <c r="HW3" s="14">
        <f t="shared" ref="HW3:HX3" si="8">+HV3+1</f>
        <v>2232</v>
      </c>
      <c r="HX3" s="14">
        <f t="shared" si="8"/>
        <v>2233</v>
      </c>
    </row>
    <row r="4" spans="1:232">
      <c r="B4" s="14" t="s">
        <v>133</v>
      </c>
      <c r="C4" s="19">
        <v>72758</v>
      </c>
      <c r="D4" s="19">
        <v>85855</v>
      </c>
      <c r="E4" s="19">
        <v>93611</v>
      </c>
      <c r="G4" s="19">
        <v>120110</v>
      </c>
      <c r="H4" s="19">
        <v>121320</v>
      </c>
      <c r="I4" s="19">
        <v>89543</v>
      </c>
      <c r="K4" s="19">
        <v>47662</v>
      </c>
    </row>
    <row r="5" spans="1:232">
      <c r="B5" s="14" t="s">
        <v>134</v>
      </c>
      <c r="C5" s="19">
        <v>45361</v>
      </c>
      <c r="D5" s="19">
        <v>66269</v>
      </c>
      <c r="E5" s="19">
        <v>68013</v>
      </c>
      <c r="G5" s="19">
        <v>66086</v>
      </c>
      <c r="H5" s="19">
        <v>89583</v>
      </c>
      <c r="I5" s="19">
        <v>86911</v>
      </c>
      <c r="K5" s="19">
        <v>66125</v>
      </c>
    </row>
    <row r="6" spans="1:232">
      <c r="B6" s="14" t="s">
        <v>65</v>
      </c>
      <c r="C6" s="19">
        <v>47389</v>
      </c>
      <c r="D6" s="19">
        <v>79488</v>
      </c>
      <c r="E6" s="19">
        <v>74978</v>
      </c>
      <c r="F6" s="19">
        <f>+T6-SUM(C6:E6)</f>
        <v>57154</v>
      </c>
      <c r="G6" s="19">
        <v>77059</v>
      </c>
      <c r="H6" s="19">
        <v>105489</v>
      </c>
      <c r="I6" s="19">
        <v>62991</v>
      </c>
      <c r="J6" s="19">
        <f>+U6-SUM(G6:I6)</f>
        <v>54933</v>
      </c>
      <c r="K6" s="19">
        <v>48397</v>
      </c>
      <c r="L6" s="19">
        <v>40940</v>
      </c>
      <c r="M6" s="19">
        <v>48289</v>
      </c>
      <c r="N6" s="19">
        <f>+W6-SUM(K6:M6)</f>
        <v>40657.160000000003</v>
      </c>
      <c r="O6" s="19">
        <v>38746</v>
      </c>
      <c r="S6" s="19">
        <v>156199</v>
      </c>
      <c r="T6" s="19">
        <v>259009</v>
      </c>
      <c r="U6" s="19">
        <v>300472</v>
      </c>
      <c r="V6" s="19">
        <v>180084</v>
      </c>
      <c r="W6" s="19">
        <f>+V6*0.99</f>
        <v>178283.16</v>
      </c>
      <c r="X6" s="19">
        <f t="shared" ref="X6:AF6" si="9">+W6*0.99</f>
        <v>176500.3284</v>
      </c>
      <c r="Y6" s="19">
        <f t="shared" si="9"/>
        <v>174735.32511599999</v>
      </c>
      <c r="Z6" s="19">
        <f t="shared" si="9"/>
        <v>172987.97186483999</v>
      </c>
      <c r="AA6" s="19">
        <f t="shared" si="9"/>
        <v>171258.09214619157</v>
      </c>
      <c r="AB6" s="19">
        <f t="shared" si="9"/>
        <v>169545.51122472965</v>
      </c>
      <c r="AC6" s="19">
        <f t="shared" si="9"/>
        <v>167850.05611248236</v>
      </c>
      <c r="AD6" s="19">
        <f t="shared" si="9"/>
        <v>166171.55555135754</v>
      </c>
      <c r="AE6" s="19">
        <f t="shared" si="9"/>
        <v>164509.83999584397</v>
      </c>
      <c r="AF6" s="19">
        <f t="shared" si="9"/>
        <v>162864.74159588554</v>
      </c>
    </row>
    <row r="7" spans="1:232">
      <c r="B7" s="14" t="s">
        <v>66</v>
      </c>
      <c r="C7" s="19">
        <v>31740</v>
      </c>
      <c r="D7" s="19">
        <v>38118</v>
      </c>
      <c r="E7" s="19">
        <v>46343</v>
      </c>
      <c r="F7" s="19">
        <f>+T7-SUM(C7:E7)</f>
        <v>59598</v>
      </c>
      <c r="G7" s="19">
        <v>64272</v>
      </c>
      <c r="H7" s="19">
        <v>64229</v>
      </c>
      <c r="I7" s="19">
        <v>74191</v>
      </c>
      <c r="J7" s="19">
        <f>+U7-SUM(G7:I7)</f>
        <v>32618</v>
      </c>
      <c r="K7" s="19">
        <v>34859</v>
      </c>
      <c r="L7" s="19">
        <v>29767</v>
      </c>
      <c r="M7" s="19">
        <v>43159</v>
      </c>
      <c r="N7" s="19">
        <f>+W7-SUM(K7:M7)</f>
        <v>25943.209999999992</v>
      </c>
      <c r="O7" s="19">
        <v>34432</v>
      </c>
      <c r="S7" s="19">
        <v>50718</v>
      </c>
      <c r="T7" s="19">
        <v>175799</v>
      </c>
      <c r="U7" s="19">
        <v>235310</v>
      </c>
      <c r="V7" s="19">
        <v>135079</v>
      </c>
      <c r="W7" s="19">
        <f>+V7*0.99</f>
        <v>133728.21</v>
      </c>
      <c r="X7" s="19">
        <f t="shared" ref="X7:AF7" si="10">+W7*0.99</f>
        <v>132390.92789999998</v>
      </c>
      <c r="Y7" s="19">
        <f t="shared" si="10"/>
        <v>131067.01862099998</v>
      </c>
      <c r="Z7" s="19">
        <f t="shared" si="10"/>
        <v>129756.34843478998</v>
      </c>
      <c r="AA7" s="19">
        <f t="shared" si="10"/>
        <v>128458.78495044207</v>
      </c>
      <c r="AB7" s="19">
        <f t="shared" si="10"/>
        <v>127174.19710093766</v>
      </c>
      <c r="AC7" s="19">
        <f t="shared" si="10"/>
        <v>125902.45512992828</v>
      </c>
      <c r="AD7" s="19">
        <f t="shared" si="10"/>
        <v>124643.43057862899</v>
      </c>
      <c r="AE7" s="19">
        <f t="shared" si="10"/>
        <v>123396.99627284271</v>
      </c>
      <c r="AF7" s="19">
        <f t="shared" si="10"/>
        <v>122163.02631011428</v>
      </c>
    </row>
    <row r="8" spans="1:232">
      <c r="B8" s="14" t="s">
        <v>67</v>
      </c>
      <c r="C8" s="19">
        <v>38990</v>
      </c>
      <c r="D8" s="19">
        <v>34518</v>
      </c>
      <c r="E8" s="19">
        <v>40303</v>
      </c>
      <c r="F8" s="19">
        <f>+T8-SUM(C8:E8)</f>
        <v>49746</v>
      </c>
      <c r="G8" s="19">
        <v>44865</v>
      </c>
      <c r="H8" s="19">
        <v>41185</v>
      </c>
      <c r="I8" s="19">
        <v>39272</v>
      </c>
      <c r="J8" s="19">
        <f>+U8-SUM(G8:I8)</f>
        <v>43170</v>
      </c>
      <c r="K8" s="19">
        <v>30531</v>
      </c>
      <c r="L8" s="19">
        <v>38534</v>
      </c>
      <c r="M8" s="19">
        <v>32107</v>
      </c>
      <c r="N8" s="19">
        <f>+W8-SUM(K8:M8)</f>
        <v>40533.630000000005</v>
      </c>
      <c r="O8" s="19">
        <v>25728</v>
      </c>
      <c r="S8" s="19">
        <v>75333</v>
      </c>
      <c r="T8" s="19">
        <v>163557</v>
      </c>
      <c r="U8" s="19">
        <v>168492</v>
      </c>
      <c r="V8" s="19">
        <v>143137</v>
      </c>
      <c r="W8" s="19">
        <f>+V8*0.99</f>
        <v>141705.63</v>
      </c>
      <c r="X8" s="19">
        <f t="shared" ref="X8:AF8" si="11">+W8*0.99</f>
        <v>140288.57370000001</v>
      </c>
      <c r="Y8" s="19">
        <f t="shared" si="11"/>
        <v>138885.687963</v>
      </c>
      <c r="Z8" s="19">
        <f t="shared" si="11"/>
        <v>137496.83108336999</v>
      </c>
      <c r="AA8" s="19">
        <f t="shared" si="11"/>
        <v>136121.86277253629</v>
      </c>
      <c r="AB8" s="19">
        <f t="shared" si="11"/>
        <v>134760.64414481091</v>
      </c>
      <c r="AC8" s="19">
        <f t="shared" si="11"/>
        <v>133413.03770336279</v>
      </c>
      <c r="AD8" s="19">
        <f t="shared" si="11"/>
        <v>132078.90732632915</v>
      </c>
      <c r="AE8" s="19">
        <f t="shared" si="11"/>
        <v>130758.11825306586</v>
      </c>
      <c r="AF8" s="19">
        <f t="shared" si="11"/>
        <v>129450.5370705352</v>
      </c>
    </row>
    <row r="9" spans="1:232" s="20" customFormat="1">
      <c r="A9" s="16"/>
      <c r="B9" s="16" t="s">
        <v>86</v>
      </c>
      <c r="C9" s="20">
        <f>+SUM(C6:C8)</f>
        <v>118119</v>
      </c>
      <c r="D9" s="20">
        <f>+SUM(D6:D8)</f>
        <v>152124</v>
      </c>
      <c r="E9" s="20">
        <f>+SUM(E6:E8)</f>
        <v>161624</v>
      </c>
      <c r="F9" s="20">
        <f>+T9-SUM(C9:E9)</f>
        <v>166498</v>
      </c>
      <c r="G9" s="20">
        <f>+SUM(G6:G8)</f>
        <v>186196</v>
      </c>
      <c r="H9" s="21">
        <f>SUM(H6:H8)</f>
        <v>210903</v>
      </c>
      <c r="I9" s="20">
        <f>+SUM(I6:I8)</f>
        <v>176454</v>
      </c>
      <c r="J9" s="20">
        <f>+U9-SUM(G9:I9)</f>
        <v>130721</v>
      </c>
      <c r="K9" s="20">
        <f>+SUM(K6:K8)</f>
        <v>113787</v>
      </c>
      <c r="L9" s="20">
        <f>SUM(L6:L8)</f>
        <v>109241</v>
      </c>
      <c r="M9" s="20">
        <f>SUM(M6:M8)</f>
        <v>123555</v>
      </c>
      <c r="N9" s="20">
        <f>SUM(N6:N8)</f>
        <v>107134</v>
      </c>
      <c r="O9" s="20">
        <f>+SUM(O6:O8)</f>
        <v>98906</v>
      </c>
      <c r="S9" s="20">
        <f>SUM(S6:S8)</f>
        <v>282250</v>
      </c>
      <c r="T9" s="20">
        <f>SUM(T6:T8)</f>
        <v>598365</v>
      </c>
      <c r="U9" s="20">
        <f>SUM(U6:U8)</f>
        <v>704274</v>
      </c>
      <c r="V9" s="20">
        <f>SUM(V6:V8)</f>
        <v>458300</v>
      </c>
      <c r="W9" s="20">
        <f t="shared" ref="W9:AE9" si="12">SUM(W6:W8)</f>
        <v>453717</v>
      </c>
      <c r="X9" s="20">
        <f t="shared" si="12"/>
        <v>449179.83</v>
      </c>
      <c r="Y9" s="20">
        <f t="shared" si="12"/>
        <v>444688.03169999993</v>
      </c>
      <c r="Z9" s="20">
        <f t="shared" si="12"/>
        <v>440241.15138299996</v>
      </c>
      <c r="AA9" s="20">
        <f t="shared" si="12"/>
        <v>435838.73986916995</v>
      </c>
      <c r="AB9" s="20">
        <f t="shared" si="12"/>
        <v>431480.35247047822</v>
      </c>
      <c r="AC9" s="20">
        <f t="shared" si="12"/>
        <v>427165.54894577339</v>
      </c>
      <c r="AD9" s="20">
        <f t="shared" si="12"/>
        <v>422893.89345631568</v>
      </c>
      <c r="AE9" s="20">
        <f t="shared" si="12"/>
        <v>418664.95452175254</v>
      </c>
      <c r="AF9" s="20">
        <f t="shared" ref="AF9" si="13">SUM(AF6:AF8)</f>
        <v>414478.30497653497</v>
      </c>
    </row>
    <row r="10" spans="1:232">
      <c r="B10" s="14" t="s">
        <v>69</v>
      </c>
      <c r="C10" s="19">
        <v>22073</v>
      </c>
      <c r="D10" s="22">
        <v>29324</v>
      </c>
      <c r="E10" s="19">
        <v>32462</v>
      </c>
      <c r="F10" s="19">
        <f>+T10-SUM(C10:E10)</f>
        <v>32695</v>
      </c>
      <c r="G10" s="19">
        <v>43222</v>
      </c>
      <c r="H10" s="22">
        <v>52293</v>
      </c>
      <c r="I10" s="19">
        <v>45484</v>
      </c>
      <c r="J10" s="19">
        <f>+U10-SUM(G10:I10)</f>
        <v>36222</v>
      </c>
      <c r="K10" s="19">
        <v>31235</v>
      </c>
      <c r="L10" s="19">
        <v>29781</v>
      </c>
      <c r="M10" s="19">
        <v>37415</v>
      </c>
      <c r="N10" s="19">
        <f>+W10-SUM(K10:M10)</f>
        <v>31578.770000000004</v>
      </c>
      <c r="O10" s="19">
        <v>25376</v>
      </c>
      <c r="S10" s="19">
        <v>96611</v>
      </c>
      <c r="T10" s="19">
        <v>116554</v>
      </c>
      <c r="U10" s="19">
        <v>177221</v>
      </c>
      <c r="V10" s="19">
        <v>131323</v>
      </c>
      <c r="W10" s="19">
        <f t="shared" ref="W10:AF10" si="14">+W$9*(V10/V$9)</f>
        <v>130009.77</v>
      </c>
      <c r="X10" s="19">
        <f t="shared" si="14"/>
        <v>128709.67230000001</v>
      </c>
      <c r="Y10" s="19">
        <f t="shared" si="14"/>
        <v>127422.57557699998</v>
      </c>
      <c r="Z10" s="19">
        <f t="shared" si="14"/>
        <v>126148.34982122999</v>
      </c>
      <c r="AA10" s="19">
        <f t="shared" si="14"/>
        <v>124886.86632301769</v>
      </c>
      <c r="AB10" s="19">
        <f t="shared" si="14"/>
        <v>123637.99765978751</v>
      </c>
      <c r="AC10" s="19">
        <f t="shared" si="14"/>
        <v>122401.61768318962</v>
      </c>
      <c r="AD10" s="19">
        <f t="shared" si="14"/>
        <v>121177.60150635774</v>
      </c>
      <c r="AE10" s="19">
        <f t="shared" si="14"/>
        <v>119965.82549129416</v>
      </c>
      <c r="AF10" s="19">
        <f t="shared" si="14"/>
        <v>118766.1672363812</v>
      </c>
    </row>
    <row r="11" spans="1:232">
      <c r="B11" s="14" t="s">
        <v>70</v>
      </c>
      <c r="C11" s="19">
        <v>2451</v>
      </c>
      <c r="D11" s="22">
        <v>2268</v>
      </c>
      <c r="E11" s="19">
        <v>1680</v>
      </c>
      <c r="F11" s="19">
        <f>+T11-SUM(C11:E11)</f>
        <v>1590</v>
      </c>
      <c r="G11" s="19">
        <v>1769</v>
      </c>
      <c r="H11" s="22">
        <v>2180</v>
      </c>
      <c r="I11" s="19">
        <v>1142</v>
      </c>
      <c r="J11" s="19">
        <f>+U11-SUM(G11:I11)</f>
        <v>2409</v>
      </c>
      <c r="K11" s="19">
        <v>1742</v>
      </c>
      <c r="L11" s="19">
        <v>1964</v>
      </c>
      <c r="M11" s="19">
        <v>2592</v>
      </c>
      <c r="N11" s="19">
        <f>+W11-SUM(K11:M11)</f>
        <v>1963.5500000000011</v>
      </c>
      <c r="O11" s="19">
        <v>2187</v>
      </c>
      <c r="S11" s="19">
        <v>6052</v>
      </c>
      <c r="T11" s="19">
        <v>7989</v>
      </c>
      <c r="U11" s="19">
        <v>7500</v>
      </c>
      <c r="V11" s="19">
        <v>8345</v>
      </c>
      <c r="W11" s="19">
        <f t="shared" ref="W11:AF11" si="15">+W$9*(V11/V$9)</f>
        <v>8261.5500000000011</v>
      </c>
      <c r="X11" s="19">
        <f t="shared" si="15"/>
        <v>8178.9345000000003</v>
      </c>
      <c r="Y11" s="19">
        <f t="shared" si="15"/>
        <v>8097.1451549999992</v>
      </c>
      <c r="Z11" s="19">
        <f t="shared" si="15"/>
        <v>8016.1737034499993</v>
      </c>
      <c r="AA11" s="19">
        <f t="shared" si="15"/>
        <v>7936.011966415499</v>
      </c>
      <c r="AB11" s="19">
        <f t="shared" si="15"/>
        <v>7856.6518467513442</v>
      </c>
      <c r="AC11" s="19">
        <f t="shared" si="15"/>
        <v>7778.0853282838298</v>
      </c>
      <c r="AD11" s="19">
        <f t="shared" si="15"/>
        <v>7700.3044750009922</v>
      </c>
      <c r="AE11" s="19">
        <f t="shared" si="15"/>
        <v>7623.3014302509819</v>
      </c>
      <c r="AF11" s="19">
        <f t="shared" si="15"/>
        <v>7547.0684159484717</v>
      </c>
    </row>
    <row r="12" spans="1:232">
      <c r="B12" s="14" t="s">
        <v>71</v>
      </c>
      <c r="C12" s="19">
        <f t="shared" ref="C12:K12" si="16">+SUM(C10:C11)</f>
        <v>24524</v>
      </c>
      <c r="D12" s="19">
        <f t="shared" si="16"/>
        <v>31592</v>
      </c>
      <c r="E12" s="19">
        <f t="shared" si="16"/>
        <v>34142</v>
      </c>
      <c r="F12" s="19">
        <f t="shared" si="16"/>
        <v>34285</v>
      </c>
      <c r="G12" s="19">
        <f t="shared" si="16"/>
        <v>44991</v>
      </c>
      <c r="H12" s="19">
        <f t="shared" si="16"/>
        <v>54473</v>
      </c>
      <c r="I12" s="19">
        <f t="shared" si="16"/>
        <v>46626</v>
      </c>
      <c r="J12" s="19">
        <f t="shared" si="16"/>
        <v>38631</v>
      </c>
      <c r="K12" s="19">
        <f t="shared" si="16"/>
        <v>32977</v>
      </c>
      <c r="L12" s="19">
        <f t="shared" ref="L12:M12" si="17">+SUM(L10:L11)</f>
        <v>31745</v>
      </c>
      <c r="M12" s="19">
        <f t="shared" si="17"/>
        <v>40007</v>
      </c>
      <c r="N12" s="19">
        <f>+W12-SUM(K12:M12)</f>
        <v>33542.320000000007</v>
      </c>
      <c r="O12" s="19">
        <f t="shared" ref="O12" si="18">+SUM(O10:O11)</f>
        <v>27563</v>
      </c>
      <c r="S12" s="19">
        <f>+SUM(S10:S11)</f>
        <v>102663</v>
      </c>
      <c r="T12" s="19">
        <f>+SUM(T10:T11)</f>
        <v>124543</v>
      </c>
      <c r="U12" s="19">
        <f>+SUM(U10:U11)</f>
        <v>184721</v>
      </c>
      <c r="V12" s="19">
        <f>+SUM(V10:V11)</f>
        <v>139668</v>
      </c>
      <c r="W12" s="19">
        <f t="shared" ref="W12:AE12" si="19">+SUM(W10:W11)</f>
        <v>138271.32</v>
      </c>
      <c r="X12" s="19">
        <f t="shared" si="19"/>
        <v>136888.60680000001</v>
      </c>
      <c r="Y12" s="19">
        <f t="shared" si="19"/>
        <v>135519.72073199999</v>
      </c>
      <c r="Z12" s="19">
        <f t="shared" si="19"/>
        <v>134164.52352468</v>
      </c>
      <c r="AA12" s="19">
        <f t="shared" si="19"/>
        <v>132822.8782894332</v>
      </c>
      <c r="AB12" s="19">
        <f t="shared" si="19"/>
        <v>131494.64950653884</v>
      </c>
      <c r="AC12" s="19">
        <f t="shared" si="19"/>
        <v>130179.70301147345</v>
      </c>
      <c r="AD12" s="19">
        <f t="shared" si="19"/>
        <v>128877.90598135872</v>
      </c>
      <c r="AE12" s="19">
        <f t="shared" si="19"/>
        <v>127589.12692154515</v>
      </c>
      <c r="AF12" s="19">
        <f t="shared" ref="AF12" si="20">+SUM(AF10:AF11)</f>
        <v>126313.23565232966</v>
      </c>
    </row>
    <row r="13" spans="1:232">
      <c r="B13" s="14" t="s">
        <v>72</v>
      </c>
      <c r="C13" s="19">
        <f t="shared" ref="C13:K13" si="21">+C9-C12</f>
        <v>93595</v>
      </c>
      <c r="D13" s="19">
        <f t="shared" si="21"/>
        <v>120532</v>
      </c>
      <c r="E13" s="19">
        <f t="shared" si="21"/>
        <v>127482</v>
      </c>
      <c r="F13" s="19">
        <f t="shared" si="21"/>
        <v>132213</v>
      </c>
      <c r="G13" s="19">
        <f t="shared" si="21"/>
        <v>141205</v>
      </c>
      <c r="H13" s="19">
        <f t="shared" si="21"/>
        <v>156430</v>
      </c>
      <c r="I13" s="19">
        <f t="shared" si="21"/>
        <v>129828</v>
      </c>
      <c r="J13" s="19">
        <f t="shared" si="21"/>
        <v>92090</v>
      </c>
      <c r="K13" s="19">
        <f t="shared" si="21"/>
        <v>80810</v>
      </c>
      <c r="L13" s="19">
        <f t="shared" ref="L13:O13" si="22">+L9-L12</f>
        <v>77496</v>
      </c>
      <c r="M13" s="19">
        <f t="shared" si="22"/>
        <v>83548</v>
      </c>
      <c r="N13" s="19">
        <f>+W13-SUM(K13:M13)</f>
        <v>73591.679999999993</v>
      </c>
      <c r="O13" s="19">
        <f t="shared" si="22"/>
        <v>71343</v>
      </c>
      <c r="S13" s="19">
        <f t="shared" ref="S13:AE13" si="23">+S9-S12</f>
        <v>179587</v>
      </c>
      <c r="T13" s="19">
        <f t="shared" si="23"/>
        <v>473822</v>
      </c>
      <c r="U13" s="19">
        <f t="shared" si="23"/>
        <v>519553</v>
      </c>
      <c r="V13" s="19">
        <f t="shared" ref="V13" si="24">+V9-V12</f>
        <v>318632</v>
      </c>
      <c r="W13" s="19">
        <f t="shared" si="23"/>
        <v>315445.68</v>
      </c>
      <c r="X13" s="19">
        <f t="shared" si="23"/>
        <v>312291.22320000001</v>
      </c>
      <c r="Y13" s="19">
        <f t="shared" si="23"/>
        <v>309168.31096799998</v>
      </c>
      <c r="Z13" s="19">
        <f t="shared" si="23"/>
        <v>306076.62785831996</v>
      </c>
      <c r="AA13" s="19">
        <f t="shared" si="23"/>
        <v>303015.86157973675</v>
      </c>
      <c r="AB13" s="19">
        <f t="shared" si="23"/>
        <v>299985.7029639394</v>
      </c>
      <c r="AC13" s="19">
        <f t="shared" si="23"/>
        <v>296985.84593429993</v>
      </c>
      <c r="AD13" s="19">
        <f t="shared" si="23"/>
        <v>294015.98747495696</v>
      </c>
      <c r="AE13" s="19">
        <f t="shared" si="23"/>
        <v>291075.82760020741</v>
      </c>
      <c r="AF13" s="19">
        <f t="shared" ref="AF13" si="25">+AF9-AF12</f>
        <v>288165.06932420528</v>
      </c>
    </row>
    <row r="14" spans="1:232">
      <c r="B14" s="14" t="s">
        <v>73</v>
      </c>
      <c r="C14" s="19">
        <v>11280</v>
      </c>
      <c r="D14" s="22">
        <v>33786</v>
      </c>
      <c r="E14" s="19">
        <v>30257</v>
      </c>
      <c r="F14" s="19">
        <f>+T14-SUM(C14:E14)</f>
        <v>23555</v>
      </c>
      <c r="G14" s="19">
        <v>22314</v>
      </c>
      <c r="H14" s="22">
        <v>26111</v>
      </c>
      <c r="I14" s="19">
        <v>30807</v>
      </c>
      <c r="J14" s="19">
        <f>+U14-SUM(G14:I14)</f>
        <v>34645</v>
      </c>
      <c r="K14" s="19">
        <v>34924</v>
      </c>
      <c r="L14" s="19">
        <v>48413</v>
      </c>
      <c r="M14" s="19">
        <v>36433</v>
      </c>
      <c r="N14" s="19">
        <f>+W14-SUM(K14:M14)</f>
        <v>47482.579999999987</v>
      </c>
      <c r="O14" s="19">
        <v>40437</v>
      </c>
      <c r="S14" s="19">
        <v>37170</v>
      </c>
      <c r="T14" s="19">
        <v>98878</v>
      </c>
      <c r="U14" s="19">
        <v>113877</v>
      </c>
      <c r="V14" s="19">
        <v>168942</v>
      </c>
      <c r="W14" s="19">
        <f t="shared" ref="W14:AF14" si="26">+W$9*(V14/V$9)</f>
        <v>167252.57999999999</v>
      </c>
      <c r="X14" s="19">
        <f t="shared" si="26"/>
        <v>165580.05420000001</v>
      </c>
      <c r="Y14" s="19">
        <f t="shared" si="26"/>
        <v>163924.25365799997</v>
      </c>
      <c r="Z14" s="19">
        <f t="shared" si="26"/>
        <v>162285.01112141999</v>
      </c>
      <c r="AA14" s="19">
        <f t="shared" si="26"/>
        <v>160662.16101020577</v>
      </c>
      <c r="AB14" s="19">
        <f t="shared" si="26"/>
        <v>159055.53940010371</v>
      </c>
      <c r="AC14" s="19">
        <f t="shared" si="26"/>
        <v>157464.98400610266</v>
      </c>
      <c r="AD14" s="19">
        <f t="shared" si="26"/>
        <v>155890.33416604163</v>
      </c>
      <c r="AE14" s="19">
        <f t="shared" si="26"/>
        <v>154331.43082438124</v>
      </c>
      <c r="AF14" s="19">
        <f t="shared" si="26"/>
        <v>152788.11651613741</v>
      </c>
    </row>
    <row r="15" spans="1:232">
      <c r="D15" s="22"/>
      <c r="H15" s="22"/>
    </row>
    <row r="16" spans="1:232">
      <c r="B16" s="14" t="s">
        <v>74</v>
      </c>
      <c r="C16" s="19">
        <f t="shared" ref="C16:O16" si="27">+SUM(C14:C15)</f>
        <v>11280</v>
      </c>
      <c r="D16" s="19">
        <f t="shared" si="27"/>
        <v>33786</v>
      </c>
      <c r="E16" s="19">
        <f t="shared" si="27"/>
        <v>30257</v>
      </c>
      <c r="F16" s="19">
        <f t="shared" si="27"/>
        <v>23555</v>
      </c>
      <c r="G16" s="19">
        <f t="shared" si="27"/>
        <v>22314</v>
      </c>
      <c r="H16" s="19">
        <f t="shared" si="27"/>
        <v>26111</v>
      </c>
      <c r="I16" s="19">
        <f t="shared" si="27"/>
        <v>30807</v>
      </c>
      <c r="J16" s="19">
        <f t="shared" si="27"/>
        <v>34645</v>
      </c>
      <c r="K16" s="19">
        <f t="shared" si="27"/>
        <v>34924</v>
      </c>
      <c r="L16" s="19">
        <f t="shared" si="27"/>
        <v>48413</v>
      </c>
      <c r="M16" s="19">
        <f t="shared" si="27"/>
        <v>36433</v>
      </c>
      <c r="N16" s="19">
        <f t="shared" si="27"/>
        <v>47482.579999999987</v>
      </c>
      <c r="O16" s="19">
        <f t="shared" si="27"/>
        <v>40437</v>
      </c>
      <c r="S16" s="19">
        <f t="shared" ref="S16:AE16" si="28">+SUM(S14:S15)</f>
        <v>37170</v>
      </c>
      <c r="T16" s="19">
        <f t="shared" si="28"/>
        <v>98878</v>
      </c>
      <c r="U16" s="19">
        <f t="shared" si="28"/>
        <v>113877</v>
      </c>
      <c r="V16" s="19">
        <f t="shared" ref="V16" si="29">+SUM(V14:V15)</f>
        <v>168942</v>
      </c>
      <c r="W16" s="19">
        <f t="shared" si="28"/>
        <v>167252.57999999999</v>
      </c>
      <c r="X16" s="19">
        <f t="shared" si="28"/>
        <v>165580.05420000001</v>
      </c>
      <c r="Y16" s="19">
        <f t="shared" si="28"/>
        <v>163924.25365799997</v>
      </c>
      <c r="Z16" s="19">
        <f t="shared" si="28"/>
        <v>162285.01112141999</v>
      </c>
      <c r="AA16" s="19">
        <f t="shared" si="28"/>
        <v>160662.16101020577</v>
      </c>
      <c r="AB16" s="19">
        <f t="shared" si="28"/>
        <v>159055.53940010371</v>
      </c>
      <c r="AC16" s="19">
        <f t="shared" si="28"/>
        <v>157464.98400610266</v>
      </c>
      <c r="AD16" s="19">
        <f t="shared" si="28"/>
        <v>155890.33416604163</v>
      </c>
      <c r="AE16" s="19">
        <f t="shared" si="28"/>
        <v>154331.43082438124</v>
      </c>
      <c r="AF16" s="19">
        <f t="shared" ref="AF16" si="30">+SUM(AF14:AF15)</f>
        <v>152788.11651613741</v>
      </c>
    </row>
    <row r="17" spans="1:232">
      <c r="B17" s="14" t="s">
        <v>75</v>
      </c>
      <c r="C17" s="19">
        <f t="shared" ref="C17:N17" si="31">+C13-C16</f>
        <v>82315</v>
      </c>
      <c r="D17" s="19">
        <f t="shared" si="31"/>
        <v>86746</v>
      </c>
      <c r="E17" s="19">
        <f t="shared" si="31"/>
        <v>97225</v>
      </c>
      <c r="F17" s="19">
        <f t="shared" si="31"/>
        <v>108658</v>
      </c>
      <c r="G17" s="19">
        <f t="shared" si="31"/>
        <v>118891</v>
      </c>
      <c r="H17" s="19">
        <f t="shared" si="31"/>
        <v>130319</v>
      </c>
      <c r="I17" s="19">
        <f t="shared" si="31"/>
        <v>99021</v>
      </c>
      <c r="J17" s="19">
        <f t="shared" si="31"/>
        <v>57445</v>
      </c>
      <c r="K17" s="19">
        <f t="shared" si="31"/>
        <v>45886</v>
      </c>
      <c r="L17" s="19">
        <f t="shared" si="31"/>
        <v>29083</v>
      </c>
      <c r="M17" s="19">
        <f t="shared" si="31"/>
        <v>47115</v>
      </c>
      <c r="N17" s="19">
        <f t="shared" si="31"/>
        <v>26109.100000000006</v>
      </c>
      <c r="O17" s="19">
        <f t="shared" ref="O17" si="32">+O13-O16</f>
        <v>30906</v>
      </c>
      <c r="S17" s="19">
        <f t="shared" ref="S17:AE17" si="33">+S13-S16</f>
        <v>142417</v>
      </c>
      <c r="T17" s="19">
        <f t="shared" si="33"/>
        <v>374944</v>
      </c>
      <c r="U17" s="19">
        <f t="shared" si="33"/>
        <v>405676</v>
      </c>
      <c r="V17" s="19">
        <f t="shared" ref="V17" si="34">+V13-V16</f>
        <v>149690</v>
      </c>
      <c r="W17" s="19">
        <f t="shared" si="33"/>
        <v>148193.1</v>
      </c>
      <c r="X17" s="19">
        <f t="shared" si="33"/>
        <v>146711.16899999999</v>
      </c>
      <c r="Y17" s="19">
        <f t="shared" si="33"/>
        <v>145244.05731</v>
      </c>
      <c r="Z17" s="19">
        <f t="shared" si="33"/>
        <v>143791.61673689997</v>
      </c>
      <c r="AA17" s="19">
        <f t="shared" si="33"/>
        <v>142353.70056953098</v>
      </c>
      <c r="AB17" s="19">
        <f t="shared" si="33"/>
        <v>140930.1635638357</v>
      </c>
      <c r="AC17" s="19">
        <f t="shared" si="33"/>
        <v>139520.86192819726</v>
      </c>
      <c r="AD17" s="19">
        <f t="shared" si="33"/>
        <v>138125.65330891532</v>
      </c>
      <c r="AE17" s="19">
        <f t="shared" si="33"/>
        <v>136744.39677582617</v>
      </c>
      <c r="AF17" s="19">
        <f t="shared" ref="AF17" si="35">+AF13-AF16</f>
        <v>135376.95280806787</v>
      </c>
    </row>
    <row r="18" spans="1:232">
      <c r="B18" s="14" t="s">
        <v>76</v>
      </c>
      <c r="C18" s="19">
        <v>-15502</v>
      </c>
      <c r="D18" s="22">
        <v>-15563</v>
      </c>
      <c r="E18" s="19">
        <v>-14987</v>
      </c>
      <c r="F18" s="19">
        <f>+T18-SUM(C18:E18)</f>
        <v>-15096</v>
      </c>
      <c r="G18" s="19">
        <v>-11460</v>
      </c>
      <c r="H18" s="22">
        <v>-8694</v>
      </c>
      <c r="I18" s="19">
        <v>-10499</v>
      </c>
      <c r="J18" s="19">
        <f>+U18-SUM(G18:I18)</f>
        <v>-10525</v>
      </c>
      <c r="K18" s="19">
        <v>-10543</v>
      </c>
      <c r="L18" s="19">
        <v>-10206</v>
      </c>
      <c r="M18" s="19">
        <v>-9510</v>
      </c>
      <c r="N18" s="19">
        <f>+W18-SUM(K18:M18)</f>
        <v>-8475.739999999998</v>
      </c>
      <c r="O18" s="19">
        <f>+-14504+6203</f>
        <v>-8301</v>
      </c>
      <c r="S18" s="19">
        <v>-38645</v>
      </c>
      <c r="T18" s="19">
        <v>-61148</v>
      </c>
      <c r="U18" s="19">
        <v>-41178</v>
      </c>
      <c r="V18" s="19">
        <f>+-57954+18828</f>
        <v>-39126</v>
      </c>
      <c r="W18" s="19">
        <f t="shared" ref="W18:AF18" si="36">+W$9*(V18/V$9)</f>
        <v>-38734.74</v>
      </c>
      <c r="X18" s="19">
        <f t="shared" si="36"/>
        <v>-38347.392599999999</v>
      </c>
      <c r="Y18" s="19">
        <f t="shared" si="36"/>
        <v>-37963.918673999993</v>
      </c>
      <c r="Z18" s="19">
        <f t="shared" si="36"/>
        <v>-37584.279487259999</v>
      </c>
      <c r="AA18" s="19">
        <f t="shared" si="36"/>
        <v>-37208.436692387397</v>
      </c>
      <c r="AB18" s="19">
        <f t="shared" si="36"/>
        <v>-36836.352325463522</v>
      </c>
      <c r="AC18" s="19">
        <f t="shared" si="36"/>
        <v>-36467.988802208885</v>
      </c>
      <c r="AD18" s="19">
        <f t="shared" si="36"/>
        <v>-36103.308914186797</v>
      </c>
      <c r="AE18" s="19">
        <f t="shared" si="36"/>
        <v>-35742.275825044933</v>
      </c>
      <c r="AF18" s="19">
        <f t="shared" si="36"/>
        <v>-35384.85306679448</v>
      </c>
    </row>
    <row r="19" spans="1:232">
      <c r="B19" s="14" t="s">
        <v>77</v>
      </c>
      <c r="C19" s="19">
        <v>-47</v>
      </c>
      <c r="D19" s="22">
        <v>-157</v>
      </c>
      <c r="E19" s="19">
        <v>-213</v>
      </c>
      <c r="F19" s="19">
        <f>+T19-SUM(C19:E19)</f>
        <v>3020</v>
      </c>
      <c r="G19" s="19">
        <v>-19180</v>
      </c>
      <c r="H19" s="22">
        <v>-1224</v>
      </c>
      <c r="I19" s="19">
        <v>-2251</v>
      </c>
      <c r="J19" s="19">
        <f>+U19-SUM(G19:I19)</f>
        <v>4680</v>
      </c>
      <c r="K19" s="19">
        <v>242</v>
      </c>
      <c r="L19" s="19">
        <v>-600</v>
      </c>
      <c r="M19" s="19">
        <v>-0.97</v>
      </c>
      <c r="N19" s="19">
        <f>+W19-SUM(K19:M19)</f>
        <v>7906.7300000000005</v>
      </c>
      <c r="O19" s="19">
        <v>-947</v>
      </c>
      <c r="S19" s="19">
        <v>-190</v>
      </c>
      <c r="T19" s="19">
        <v>2603</v>
      </c>
      <c r="U19" s="19">
        <v>-17975</v>
      </c>
      <c r="V19" s="19">
        <v>7624</v>
      </c>
      <c r="W19" s="19">
        <f t="shared" ref="W19:AF19" si="37">+W$9*(V19/V$9)</f>
        <v>7547.76</v>
      </c>
      <c r="X19" s="19">
        <f t="shared" si="37"/>
        <v>7472.2824000000001</v>
      </c>
      <c r="Y19" s="19">
        <f t="shared" si="37"/>
        <v>7397.5595759999987</v>
      </c>
      <c r="Z19" s="19">
        <f t="shared" si="37"/>
        <v>7323.5839802399996</v>
      </c>
      <c r="AA19" s="19">
        <f t="shared" si="37"/>
        <v>7250.3481404375989</v>
      </c>
      <c r="AB19" s="19">
        <f t="shared" si="37"/>
        <v>7177.8446590332223</v>
      </c>
      <c r="AC19" s="19">
        <f t="shared" si="37"/>
        <v>7106.06621244289</v>
      </c>
      <c r="AD19" s="19">
        <f t="shared" si="37"/>
        <v>7035.0055503184612</v>
      </c>
      <c r="AE19" s="19">
        <f t="shared" si="37"/>
        <v>6964.6554948152771</v>
      </c>
      <c r="AF19" s="19">
        <f t="shared" si="37"/>
        <v>6895.0089398671234</v>
      </c>
    </row>
    <row r="20" spans="1:232">
      <c r="B20" s="14" t="s">
        <v>78</v>
      </c>
      <c r="C20" s="19">
        <f t="shared" ref="C20:N20" si="38">+SUM(C17:C19)</f>
        <v>66766</v>
      </c>
      <c r="D20" s="19">
        <f t="shared" si="38"/>
        <v>71026</v>
      </c>
      <c r="E20" s="19">
        <f t="shared" si="38"/>
        <v>82025</v>
      </c>
      <c r="F20" s="19">
        <f t="shared" si="38"/>
        <v>96582</v>
      </c>
      <c r="G20" s="19">
        <f t="shared" si="38"/>
        <v>88251</v>
      </c>
      <c r="H20" s="19">
        <f t="shared" si="38"/>
        <v>120401</v>
      </c>
      <c r="I20" s="19">
        <f t="shared" si="38"/>
        <v>86271</v>
      </c>
      <c r="J20" s="19">
        <f t="shared" si="38"/>
        <v>51600</v>
      </c>
      <c r="K20" s="19">
        <f t="shared" si="38"/>
        <v>35585</v>
      </c>
      <c r="L20" s="19">
        <f t="shared" si="38"/>
        <v>18277</v>
      </c>
      <c r="M20" s="19">
        <f t="shared" si="38"/>
        <v>37604.03</v>
      </c>
      <c r="N20" s="19">
        <f t="shared" si="38"/>
        <v>25540.090000000007</v>
      </c>
      <c r="O20" s="19">
        <f t="shared" ref="O20" si="39">+SUM(O17:O19)</f>
        <v>21658</v>
      </c>
      <c r="S20" s="19">
        <f t="shared" ref="S20:AE20" si="40">+SUM(S17:S19)</f>
        <v>103582</v>
      </c>
      <c r="T20" s="19">
        <f t="shared" si="40"/>
        <v>316399</v>
      </c>
      <c r="U20" s="19">
        <f t="shared" si="40"/>
        <v>346523</v>
      </c>
      <c r="V20" s="19">
        <f t="shared" ref="V20" si="41">+SUM(V17:V19)</f>
        <v>118188</v>
      </c>
      <c r="W20" s="19">
        <f t="shared" si="40"/>
        <v>117006.12000000001</v>
      </c>
      <c r="X20" s="19">
        <f t="shared" si="40"/>
        <v>115836.0588</v>
      </c>
      <c r="Y20" s="19">
        <f t="shared" si="40"/>
        <v>114677.69821200002</v>
      </c>
      <c r="Z20" s="19">
        <f t="shared" si="40"/>
        <v>113530.92122987997</v>
      </c>
      <c r="AA20" s="19">
        <f t="shared" si="40"/>
        <v>112395.61201758118</v>
      </c>
      <c r="AB20" s="19">
        <f t="shared" si="40"/>
        <v>111271.65589740539</v>
      </c>
      <c r="AC20" s="19">
        <f t="shared" si="40"/>
        <v>110158.93933843127</v>
      </c>
      <c r="AD20" s="19">
        <f t="shared" si="40"/>
        <v>109057.34994504698</v>
      </c>
      <c r="AE20" s="19">
        <f t="shared" si="40"/>
        <v>107966.77644559652</v>
      </c>
      <c r="AF20" s="19">
        <f t="shared" ref="AF20" si="42">+SUM(AF17:AF19)</f>
        <v>106887.10868114051</v>
      </c>
    </row>
    <row r="21" spans="1:232">
      <c r="B21" s="14" t="s">
        <v>79</v>
      </c>
      <c r="C21" s="19">
        <v>11053</v>
      </c>
      <c r="D21" s="22">
        <v>11492</v>
      </c>
      <c r="E21" s="19">
        <v>15252</v>
      </c>
      <c r="F21" s="19">
        <f>+T21-SUM(C21:E21)</f>
        <v>17028</v>
      </c>
      <c r="G21" s="19">
        <v>16024</v>
      </c>
      <c r="H21" s="22">
        <v>22391</v>
      </c>
      <c r="I21" s="19">
        <v>15179</v>
      </c>
      <c r="J21" s="19">
        <f>+U21-SUM(G21:I21)</f>
        <v>7575</v>
      </c>
      <c r="K21" s="19">
        <v>4298</v>
      </c>
      <c r="L21" s="19">
        <v>1797</v>
      </c>
      <c r="M21" s="19">
        <v>5891</v>
      </c>
      <c r="N21" s="19">
        <f>+W21-SUM(K21:M21)</f>
        <v>2995.67</v>
      </c>
      <c r="O21" s="19">
        <v>2623</v>
      </c>
      <c r="S21" s="19">
        <v>7980</v>
      </c>
      <c r="T21" s="19">
        <v>54825</v>
      </c>
      <c r="U21" s="19">
        <v>61169</v>
      </c>
      <c r="V21" s="19">
        <v>15133</v>
      </c>
      <c r="W21" s="19">
        <f t="shared" ref="W21:AF21" si="43">+W$9*(V21/V$9)</f>
        <v>14981.67</v>
      </c>
      <c r="X21" s="19">
        <f t="shared" si="43"/>
        <v>14831.853300000001</v>
      </c>
      <c r="Y21" s="19">
        <f t="shared" si="43"/>
        <v>14683.534766999997</v>
      </c>
      <c r="Z21" s="19">
        <f t="shared" si="43"/>
        <v>14536.699419329998</v>
      </c>
      <c r="AA21" s="19">
        <f t="shared" si="43"/>
        <v>14391.332425136698</v>
      </c>
      <c r="AB21" s="19">
        <f t="shared" si="43"/>
        <v>14247.41910088533</v>
      </c>
      <c r="AC21" s="19">
        <f t="shared" si="43"/>
        <v>14104.944909876474</v>
      </c>
      <c r="AD21" s="19">
        <f t="shared" si="43"/>
        <v>13963.89546077771</v>
      </c>
      <c r="AE21" s="19">
        <f t="shared" si="43"/>
        <v>13824.256506169935</v>
      </c>
      <c r="AF21" s="19">
        <f t="shared" si="43"/>
        <v>13686.013941108235</v>
      </c>
    </row>
    <row r="22" spans="1:232" s="20" customFormat="1">
      <c r="A22" s="16"/>
      <c r="B22" s="14" t="s">
        <v>62</v>
      </c>
      <c r="C22" s="20">
        <f t="shared" ref="C22:K22" si="44">+C20-C21</f>
        <v>55713</v>
      </c>
      <c r="D22" s="20">
        <f t="shared" si="44"/>
        <v>59534</v>
      </c>
      <c r="E22" s="20">
        <f t="shared" si="44"/>
        <v>66773</v>
      </c>
      <c r="F22" s="20">
        <f t="shared" si="44"/>
        <v>79554</v>
      </c>
      <c r="G22" s="20">
        <f t="shared" si="44"/>
        <v>72227</v>
      </c>
      <c r="H22" s="20">
        <f t="shared" si="44"/>
        <v>98010</v>
      </c>
      <c r="I22" s="20">
        <f t="shared" si="44"/>
        <v>71092</v>
      </c>
      <c r="J22" s="20">
        <f t="shared" si="44"/>
        <v>44025</v>
      </c>
      <c r="K22" s="20">
        <f t="shared" si="44"/>
        <v>31287</v>
      </c>
      <c r="L22" s="20">
        <f t="shared" ref="L22:O22" si="45">+L20-L21</f>
        <v>16480</v>
      </c>
      <c r="M22" s="20">
        <f t="shared" si="45"/>
        <v>31713.03</v>
      </c>
      <c r="N22" s="20">
        <f t="shared" si="45"/>
        <v>22544.420000000006</v>
      </c>
      <c r="O22" s="20">
        <f t="shared" si="45"/>
        <v>19035</v>
      </c>
      <c r="S22" s="20">
        <f t="shared" ref="S22:AE22" si="46">+S20-S21</f>
        <v>95602</v>
      </c>
      <c r="T22" s="20">
        <f t="shared" si="46"/>
        <v>261574</v>
      </c>
      <c r="U22" s="20">
        <f t="shared" si="46"/>
        <v>285354</v>
      </c>
      <c r="V22" s="20">
        <f t="shared" ref="V22" si="47">+V20-V21</f>
        <v>103055</v>
      </c>
      <c r="W22" s="20">
        <f t="shared" si="46"/>
        <v>102024.45000000001</v>
      </c>
      <c r="X22" s="20">
        <f t="shared" si="46"/>
        <v>101004.2055</v>
      </c>
      <c r="Y22" s="20">
        <f t="shared" si="46"/>
        <v>99994.163445000013</v>
      </c>
      <c r="Z22" s="20">
        <f t="shared" si="46"/>
        <v>98994.221810549963</v>
      </c>
      <c r="AA22" s="20">
        <f t="shared" si="46"/>
        <v>98004.27959244448</v>
      </c>
      <c r="AB22" s="20">
        <f t="shared" si="46"/>
        <v>97024.236796520068</v>
      </c>
      <c r="AC22" s="20">
        <f t="shared" si="46"/>
        <v>96053.994428554797</v>
      </c>
      <c r="AD22" s="20">
        <f t="shared" si="46"/>
        <v>95093.45448426927</v>
      </c>
      <c r="AE22" s="20">
        <f t="shared" si="46"/>
        <v>94142.519939426595</v>
      </c>
      <c r="AF22" s="20">
        <f t="shared" ref="AF22" si="48">+AF20-AF21</f>
        <v>93201.094740032277</v>
      </c>
      <c r="AG22" s="20">
        <f t="shared" ref="AG22:CR22" si="49">+AF22*(1+$AI$28)</f>
        <v>92269.083792631951</v>
      </c>
      <c r="AH22" s="20">
        <f t="shared" si="49"/>
        <v>91346.392954705632</v>
      </c>
      <c r="AI22" s="20">
        <f t="shared" si="49"/>
        <v>90432.929025158577</v>
      </c>
      <c r="AJ22" s="20">
        <f t="shared" si="49"/>
        <v>89528.599734906995</v>
      </c>
      <c r="AK22" s="20">
        <f t="shared" si="49"/>
        <v>88633.313737557924</v>
      </c>
      <c r="AL22" s="20">
        <f t="shared" si="49"/>
        <v>87746.980600182345</v>
      </c>
      <c r="AM22" s="20">
        <f t="shared" si="49"/>
        <v>86869.510794180518</v>
      </c>
      <c r="AN22" s="20">
        <f t="shared" si="49"/>
        <v>86000.815686238711</v>
      </c>
      <c r="AO22" s="20">
        <f t="shared" si="49"/>
        <v>85140.807529376325</v>
      </c>
      <c r="AP22" s="20">
        <f t="shared" si="49"/>
        <v>84289.399454082566</v>
      </c>
      <c r="AQ22" s="20">
        <f t="shared" si="49"/>
        <v>83446.505459541746</v>
      </c>
      <c r="AR22" s="20">
        <f t="shared" si="49"/>
        <v>82612.040404946325</v>
      </c>
      <c r="AS22" s="20">
        <f t="shared" si="49"/>
        <v>81785.920000896862</v>
      </c>
      <c r="AT22" s="20">
        <f t="shared" si="49"/>
        <v>80968.060800887892</v>
      </c>
      <c r="AU22" s="20">
        <f t="shared" si="49"/>
        <v>80158.380192879005</v>
      </c>
      <c r="AV22" s="20">
        <f t="shared" si="49"/>
        <v>79356.796390950214</v>
      </c>
      <c r="AW22" s="20">
        <f t="shared" si="49"/>
        <v>78563.228427040711</v>
      </c>
      <c r="AX22" s="20">
        <f t="shared" si="49"/>
        <v>77777.596142770301</v>
      </c>
      <c r="AY22" s="20">
        <f t="shared" si="49"/>
        <v>76999.820181342599</v>
      </c>
      <c r="AZ22" s="20">
        <f t="shared" si="49"/>
        <v>76229.821979529166</v>
      </c>
      <c r="BA22" s="20">
        <f t="shared" si="49"/>
        <v>75467.523759733871</v>
      </c>
      <c r="BB22" s="20">
        <f t="shared" si="49"/>
        <v>74712.848522136526</v>
      </c>
      <c r="BC22" s="20">
        <f t="shared" si="49"/>
        <v>73965.720036915154</v>
      </c>
      <c r="BD22" s="20">
        <f t="shared" si="49"/>
        <v>73226.062836546</v>
      </c>
      <c r="BE22" s="20">
        <f t="shared" si="49"/>
        <v>72493.802208180539</v>
      </c>
      <c r="BF22" s="20">
        <f t="shared" si="49"/>
        <v>71768.864186098726</v>
      </c>
      <c r="BG22" s="20">
        <f t="shared" si="49"/>
        <v>71051.175544237733</v>
      </c>
      <c r="BH22" s="20">
        <f t="shared" si="49"/>
        <v>70340.663788795355</v>
      </c>
      <c r="BI22" s="20">
        <f t="shared" si="49"/>
        <v>69637.257150907404</v>
      </c>
      <c r="BJ22" s="20">
        <f t="shared" si="49"/>
        <v>68940.884579398335</v>
      </c>
      <c r="BK22" s="20">
        <f t="shared" si="49"/>
        <v>68251.475733604355</v>
      </c>
      <c r="BL22" s="20">
        <f t="shared" si="49"/>
        <v>67568.96097626831</v>
      </c>
      <c r="BM22" s="20">
        <f t="shared" si="49"/>
        <v>66893.271366505622</v>
      </c>
      <c r="BN22" s="20">
        <f t="shared" si="49"/>
        <v>66224.338652840568</v>
      </c>
      <c r="BO22" s="20">
        <f t="shared" si="49"/>
        <v>65562.095266312157</v>
      </c>
      <c r="BP22" s="20">
        <f t="shared" si="49"/>
        <v>64906.474313649036</v>
      </c>
      <c r="BQ22" s="20">
        <f t="shared" si="49"/>
        <v>64257.409570512544</v>
      </c>
      <c r="BR22" s="20">
        <f t="shared" si="49"/>
        <v>63614.83547480742</v>
      </c>
      <c r="BS22" s="20">
        <f t="shared" si="49"/>
        <v>62978.687120059345</v>
      </c>
      <c r="BT22" s="20">
        <f t="shared" si="49"/>
        <v>62348.90024885875</v>
      </c>
      <c r="BU22" s="20">
        <f t="shared" si="49"/>
        <v>61725.41124637016</v>
      </c>
      <c r="BV22" s="20">
        <f t="shared" si="49"/>
        <v>61108.157133906461</v>
      </c>
      <c r="BW22" s="20">
        <f t="shared" si="49"/>
        <v>60497.075562567399</v>
      </c>
      <c r="BX22" s="20">
        <f t="shared" si="49"/>
        <v>59892.104806941723</v>
      </c>
      <c r="BY22" s="20">
        <f t="shared" si="49"/>
        <v>59293.183758872306</v>
      </c>
      <c r="BZ22" s="20">
        <f t="shared" si="49"/>
        <v>58700.251921283583</v>
      </c>
      <c r="CA22" s="20">
        <f t="shared" si="49"/>
        <v>58113.249402070745</v>
      </c>
      <c r="CB22" s="20">
        <f t="shared" si="49"/>
        <v>57532.11690805004</v>
      </c>
      <c r="CC22" s="20">
        <f t="shared" si="49"/>
        <v>56956.795738969537</v>
      </c>
      <c r="CD22" s="20">
        <f t="shared" si="49"/>
        <v>56387.227781579844</v>
      </c>
      <c r="CE22" s="20">
        <f t="shared" si="49"/>
        <v>55823.355503764047</v>
      </c>
      <c r="CF22" s="20">
        <f t="shared" si="49"/>
        <v>55265.12194872641</v>
      </c>
      <c r="CG22" s="20">
        <f t="shared" si="49"/>
        <v>54712.470729239147</v>
      </c>
      <c r="CH22" s="20">
        <f t="shared" si="49"/>
        <v>54165.346021946752</v>
      </c>
      <c r="CI22" s="20">
        <f t="shared" si="49"/>
        <v>53623.692561727286</v>
      </c>
      <c r="CJ22" s="20">
        <f t="shared" si="49"/>
        <v>53087.455636110011</v>
      </c>
      <c r="CK22" s="20">
        <f t="shared" si="49"/>
        <v>52556.58107974891</v>
      </c>
      <c r="CL22" s="20">
        <f t="shared" si="49"/>
        <v>52031.015268951422</v>
      </c>
      <c r="CM22" s="20">
        <f t="shared" si="49"/>
        <v>51510.70511626191</v>
      </c>
      <c r="CN22" s="20">
        <f t="shared" si="49"/>
        <v>50995.598065099293</v>
      </c>
      <c r="CO22" s="20">
        <f t="shared" si="49"/>
        <v>50485.6420844483</v>
      </c>
      <c r="CP22" s="20">
        <f t="shared" si="49"/>
        <v>49980.78566360382</v>
      </c>
      <c r="CQ22" s="20">
        <f t="shared" si="49"/>
        <v>49480.977806967778</v>
      </c>
      <c r="CR22" s="20">
        <f t="shared" si="49"/>
        <v>48986.168028898101</v>
      </c>
      <c r="CS22" s="20">
        <f t="shared" ref="CS22:DV22" si="50">+CR22*(1+$AI$28)</f>
        <v>48496.30634860912</v>
      </c>
      <c r="CT22" s="20">
        <f t="shared" si="50"/>
        <v>48011.343285123025</v>
      </c>
      <c r="CU22" s="20">
        <f t="shared" si="50"/>
        <v>47531.229852271797</v>
      </c>
      <c r="CV22" s="20">
        <f t="shared" si="50"/>
        <v>47055.917553749081</v>
      </c>
      <c r="CW22" s="20">
        <f t="shared" si="50"/>
        <v>46585.358378211589</v>
      </c>
      <c r="CX22" s="20">
        <f t="shared" si="50"/>
        <v>46119.504794429471</v>
      </c>
      <c r="CY22" s="20">
        <f t="shared" si="50"/>
        <v>45658.309746485174</v>
      </c>
      <c r="CZ22" s="20">
        <f t="shared" si="50"/>
        <v>45201.726649020326</v>
      </c>
      <c r="DA22" s="20">
        <f t="shared" si="50"/>
        <v>44749.70938253012</v>
      </c>
      <c r="DB22" s="20">
        <f t="shared" si="50"/>
        <v>44302.212288704817</v>
      </c>
      <c r="DC22" s="20">
        <f t="shared" si="50"/>
        <v>43859.190165817767</v>
      </c>
      <c r="DD22" s="20">
        <f t="shared" si="50"/>
        <v>43420.598264159591</v>
      </c>
      <c r="DE22" s="20">
        <f t="shared" si="50"/>
        <v>42986.392281517998</v>
      </c>
      <c r="DF22" s="20">
        <f t="shared" si="50"/>
        <v>42556.528358702817</v>
      </c>
      <c r="DG22" s="20">
        <f t="shared" si="50"/>
        <v>42130.963075115789</v>
      </c>
      <c r="DH22" s="20">
        <f t="shared" si="50"/>
        <v>41709.653444364631</v>
      </c>
      <c r="DI22" s="20">
        <f t="shared" si="50"/>
        <v>41292.556909920982</v>
      </c>
      <c r="DJ22" s="20">
        <f t="shared" si="50"/>
        <v>40879.631340821776</v>
      </c>
      <c r="DK22" s="20">
        <f t="shared" si="50"/>
        <v>40470.835027413559</v>
      </c>
      <c r="DL22" s="20">
        <f t="shared" si="50"/>
        <v>40066.126677139422</v>
      </c>
      <c r="DM22" s="20">
        <f t="shared" si="50"/>
        <v>39665.46541036803</v>
      </c>
      <c r="DN22" s="20">
        <f t="shared" si="50"/>
        <v>39268.810756264349</v>
      </c>
      <c r="DO22" s="20">
        <f t="shared" si="50"/>
        <v>38876.122648701705</v>
      </c>
      <c r="DP22" s="20">
        <f t="shared" si="50"/>
        <v>38487.361422214686</v>
      </c>
      <c r="DQ22" s="20">
        <f t="shared" si="50"/>
        <v>38102.48780799254</v>
      </c>
      <c r="DR22" s="20">
        <f t="shared" si="50"/>
        <v>37721.462929912617</v>
      </c>
      <c r="DS22" s="20">
        <f t="shared" si="50"/>
        <v>37344.248300613493</v>
      </c>
      <c r="DT22" s="20">
        <f t="shared" si="50"/>
        <v>36970.805817607361</v>
      </c>
      <c r="DU22" s="20">
        <f t="shared" si="50"/>
        <v>36601.097759431286</v>
      </c>
      <c r="DV22" s="20">
        <f t="shared" si="50"/>
        <v>36235.086781836973</v>
      </c>
      <c r="DW22" s="20">
        <f t="shared" ref="DW22" si="51">+DV22*(1+$AI$28)</f>
        <v>35872.735914018602</v>
      </c>
      <c r="DX22" s="20">
        <f t="shared" ref="DX22" si="52">+DW22*(1+$AI$28)</f>
        <v>35514.008554878412</v>
      </c>
      <c r="DY22" s="20">
        <f t="shared" ref="DY22" si="53">+DX22*(1+$AI$28)</f>
        <v>35158.868469329631</v>
      </c>
      <c r="DZ22" s="20">
        <f t="shared" ref="DZ22" si="54">+DY22*(1+$AI$28)</f>
        <v>34807.279784636332</v>
      </c>
      <c r="EA22" s="20">
        <f t="shared" ref="EA22" si="55">+DZ22*(1+$AI$28)</f>
        <v>34459.20698678997</v>
      </c>
      <c r="EB22" s="20">
        <f t="shared" ref="EB22" si="56">+EA22*(1+$AI$28)</f>
        <v>34114.614916922073</v>
      </c>
      <c r="EC22" s="20">
        <f t="shared" ref="EC22" si="57">+EB22*(1+$AI$28)</f>
        <v>33773.468767752849</v>
      </c>
      <c r="ED22" s="20">
        <f t="shared" ref="ED22" si="58">+EC22*(1+$AI$28)</f>
        <v>33435.734080075323</v>
      </c>
      <c r="EE22" s="20">
        <f t="shared" ref="EE22" si="59">+ED22*(1+$AI$28)</f>
        <v>33101.376739274572</v>
      </c>
      <c r="EF22" s="20">
        <f t="shared" ref="EF22" si="60">+EE22*(1+$AI$28)</f>
        <v>32770.362971881827</v>
      </c>
      <c r="EG22" s="20">
        <f t="shared" ref="EG22" si="61">+EF22*(1+$AI$28)</f>
        <v>32442.65934216301</v>
      </c>
      <c r="EH22" s="20">
        <f t="shared" ref="EH22" si="62">+EG22*(1+$AI$28)</f>
        <v>32118.232748741379</v>
      </c>
      <c r="EI22" s="20">
        <f t="shared" ref="EI22" si="63">+EH22*(1+$AI$28)</f>
        <v>31797.050421253964</v>
      </c>
      <c r="EJ22" s="20">
        <f t="shared" ref="EJ22" si="64">+EI22*(1+$AI$28)</f>
        <v>31479.079917041425</v>
      </c>
      <c r="EK22" s="20">
        <f t="shared" ref="EK22" si="65">+EJ22*(1+$AI$28)</f>
        <v>31164.289117871009</v>
      </c>
      <c r="EL22" s="20">
        <f t="shared" ref="EL22" si="66">+EK22*(1+$AI$28)</f>
        <v>30852.646226692297</v>
      </c>
      <c r="EM22" s="20">
        <f t="shared" ref="EM22" si="67">+EL22*(1+$AI$28)</f>
        <v>30544.119764425373</v>
      </c>
      <c r="EN22" s="20">
        <f t="shared" ref="EN22" si="68">+EM22*(1+$AI$28)</f>
        <v>30238.67856678112</v>
      </c>
      <c r="EO22" s="20">
        <f t="shared" ref="EO22" si="69">+EN22*(1+$AI$28)</f>
        <v>29936.291781113308</v>
      </c>
      <c r="EP22" s="20">
        <f t="shared" ref="EP22" si="70">+EO22*(1+$AI$28)</f>
        <v>29636.928863302175</v>
      </c>
      <c r="EQ22" s="20">
        <f t="shared" ref="EQ22" si="71">+EP22*(1+$AI$28)</f>
        <v>29340.559574669154</v>
      </c>
      <c r="ER22" s="20">
        <f t="shared" ref="ER22" si="72">+EQ22*(1+$AI$28)</f>
        <v>29047.153978922463</v>
      </c>
      <c r="ES22" s="20">
        <f t="shared" ref="ES22" si="73">+ER22*(1+$AI$28)</f>
        <v>28756.682439133237</v>
      </c>
      <c r="ET22" s="20">
        <f t="shared" ref="ET22" si="74">+ES22*(1+$AI$28)</f>
        <v>28469.115614741906</v>
      </c>
      <c r="EU22" s="20">
        <f t="shared" ref="EU22" si="75">+ET22*(1+$AI$28)</f>
        <v>28184.424458594487</v>
      </c>
      <c r="EV22" s="20">
        <f t="shared" ref="EV22" si="76">+EU22*(1+$AI$28)</f>
        <v>27902.580214008543</v>
      </c>
      <c r="EW22" s="20">
        <f t="shared" ref="EW22" si="77">+EV22*(1+$AI$28)</f>
        <v>27623.554411868459</v>
      </c>
      <c r="EX22" s="20">
        <f t="shared" ref="EX22" si="78">+EW22*(1+$AI$28)</f>
        <v>27347.318867749775</v>
      </c>
      <c r="EY22" s="20">
        <f t="shared" ref="EY22" si="79">+EX22*(1+$AI$28)</f>
        <v>27073.845679072278</v>
      </c>
      <c r="EZ22" s="20">
        <f t="shared" ref="EZ22" si="80">+EY22*(1+$AI$28)</f>
        <v>26803.107222281553</v>
      </c>
      <c r="FA22" s="20">
        <f t="shared" ref="FA22" si="81">+EZ22*(1+$AI$28)</f>
        <v>26535.076150058736</v>
      </c>
      <c r="FB22" s="20">
        <f t="shared" ref="FB22" si="82">+FA22*(1+$AI$28)</f>
        <v>26269.725388558149</v>
      </c>
      <c r="FC22" s="20">
        <f t="shared" ref="FC22" si="83">+FB22*(1+$AI$28)</f>
        <v>26007.028134672568</v>
      </c>
      <c r="FD22" s="20">
        <f t="shared" ref="FD22" si="84">+FC22*(1+$AI$28)</f>
        <v>25746.957853325843</v>
      </c>
      <c r="FE22" s="20">
        <f t="shared" ref="FE22" si="85">+FD22*(1+$AI$28)</f>
        <v>25489.488274792584</v>
      </c>
      <c r="FF22" s="20">
        <f t="shared" ref="FF22" si="86">+FE22*(1+$AI$28)</f>
        <v>25234.593392044659</v>
      </c>
      <c r="FG22" s="20">
        <f t="shared" ref="FG22" si="87">+FF22*(1+$AI$28)</f>
        <v>24982.247458124213</v>
      </c>
      <c r="FH22" s="20">
        <f t="shared" ref="FH22" si="88">+FG22*(1+$AI$28)</f>
        <v>24732.424983542969</v>
      </c>
      <c r="FI22" s="20">
        <f t="shared" ref="FI22" si="89">+FH22*(1+$AI$28)</f>
        <v>24485.100733707539</v>
      </c>
      <c r="FJ22" s="20">
        <f t="shared" ref="FJ22" si="90">+FI22*(1+$AI$28)</f>
        <v>24240.249726370464</v>
      </c>
      <c r="FK22" s="20">
        <f t="shared" ref="FK22" si="91">+FJ22*(1+$AI$28)</f>
        <v>23997.847229106759</v>
      </c>
      <c r="FL22" s="20">
        <f t="shared" ref="FL22" si="92">+FK22*(1+$AI$28)</f>
        <v>23757.868756815693</v>
      </c>
      <c r="FM22" s="20">
        <f t="shared" ref="FM22" si="93">+FL22*(1+$AI$28)</f>
        <v>23520.290069247534</v>
      </c>
      <c r="FN22" s="20">
        <f t="shared" ref="FN22" si="94">+FM22*(1+$AI$28)</f>
        <v>23285.087168555059</v>
      </c>
      <c r="FO22" s="20">
        <f t="shared" ref="FO22" si="95">+FN22*(1+$AI$28)</f>
        <v>23052.236296869509</v>
      </c>
      <c r="FP22" s="20">
        <f t="shared" ref="FP22" si="96">+FO22*(1+$AI$28)</f>
        <v>22821.713933900814</v>
      </c>
      <c r="FQ22" s="20">
        <f t="shared" ref="FQ22" si="97">+FP22*(1+$AI$28)</f>
        <v>22593.496794561805</v>
      </c>
      <c r="FR22" s="20">
        <f t="shared" ref="FR22" si="98">+FQ22*(1+$AI$28)</f>
        <v>22367.561826616187</v>
      </c>
      <c r="FS22" s="20">
        <f t="shared" ref="FS22" si="99">+FR22*(1+$AI$28)</f>
        <v>22143.886208350024</v>
      </c>
      <c r="FT22" s="20">
        <f t="shared" ref="FT22" si="100">+FS22*(1+$AI$28)</f>
        <v>21922.447346266523</v>
      </c>
      <c r="FU22" s="20">
        <f t="shared" ref="FU22" si="101">+FT22*(1+$AI$28)</f>
        <v>21703.222872803857</v>
      </c>
      <c r="FV22" s="20">
        <f t="shared" ref="FV22" si="102">+FU22*(1+$AI$28)</f>
        <v>21486.190644075818</v>
      </c>
      <c r="FW22" s="20">
        <f t="shared" ref="FW22" si="103">+FV22*(1+$AI$28)</f>
        <v>21271.32873763506</v>
      </c>
      <c r="FX22" s="20">
        <f t="shared" ref="FX22" si="104">+FW22*(1+$AI$28)</f>
        <v>21058.615450258709</v>
      </c>
      <c r="FY22" s="20">
        <f t="shared" ref="FY22" si="105">+FX22*(1+$AI$28)</f>
        <v>20848.029295756121</v>
      </c>
      <c r="FZ22" s="20">
        <f t="shared" ref="FZ22" si="106">+FY22*(1+$AI$28)</f>
        <v>20639.549002798562</v>
      </c>
      <c r="GA22" s="20">
        <f t="shared" ref="GA22" si="107">+FZ22*(1+$AI$28)</f>
        <v>20433.153512770576</v>
      </c>
      <c r="GB22" s="20">
        <f t="shared" ref="GB22" si="108">+GA22*(1+$AI$28)</f>
        <v>20228.82197764287</v>
      </c>
      <c r="GC22" s="20">
        <f t="shared" ref="GC22" si="109">+GB22*(1+$AI$28)</f>
        <v>20026.53375786644</v>
      </c>
      <c r="GD22" s="20">
        <f t="shared" ref="GD22" si="110">+GC22*(1+$AI$28)</f>
        <v>19826.268420287775</v>
      </c>
      <c r="GE22" s="20">
        <f t="shared" ref="GE22" si="111">+GD22*(1+$AI$28)</f>
        <v>19628.005736084899</v>
      </c>
      <c r="GF22" s="20">
        <f t="shared" ref="GF22" si="112">+GE22*(1+$AI$28)</f>
        <v>19431.725678724051</v>
      </c>
      <c r="GG22" s="20">
        <f t="shared" ref="GG22" si="113">+GF22*(1+$AI$28)</f>
        <v>19237.408421936812</v>
      </c>
      <c r="GH22" s="20">
        <f t="shared" ref="GH22" si="114">+GG22*(1+$AI$28)</f>
        <v>19045.034337717443</v>
      </c>
      <c r="GI22" s="20">
        <f t="shared" ref="GI22" si="115">+GH22*(1+$AI$28)</f>
        <v>18854.583994340268</v>
      </c>
      <c r="GJ22" s="20">
        <f t="shared" ref="GJ22" si="116">+GI22*(1+$AI$28)</f>
        <v>18666.038154396865</v>
      </c>
      <c r="GK22" s="20">
        <f t="shared" ref="GK22" si="117">+GJ22*(1+$AI$28)</f>
        <v>18479.377772852895</v>
      </c>
      <c r="GL22" s="20">
        <f t="shared" ref="GL22" si="118">+GK22*(1+$AI$28)</f>
        <v>18294.583995124365</v>
      </c>
      <c r="GM22" s="20">
        <f t="shared" ref="GM22" si="119">+GL22*(1+$AI$28)</f>
        <v>18111.638155173121</v>
      </c>
      <c r="GN22" s="20">
        <f t="shared" ref="GN22" si="120">+GM22*(1+$AI$28)</f>
        <v>17930.521773621389</v>
      </c>
      <c r="GO22" s="20">
        <f t="shared" ref="GO22" si="121">+GN22*(1+$AI$28)</f>
        <v>17751.216555885174</v>
      </c>
      <c r="GP22" s="20">
        <f t="shared" ref="GP22" si="122">+GO22*(1+$AI$28)</f>
        <v>17573.704390326322</v>
      </c>
      <c r="GQ22" s="20">
        <f t="shared" ref="GQ22" si="123">+GP22*(1+$AI$28)</f>
        <v>17397.967346423058</v>
      </c>
      <c r="GR22" s="20">
        <f t="shared" ref="GR22" si="124">+GQ22*(1+$AI$28)</f>
        <v>17223.987672958829</v>
      </c>
      <c r="GS22" s="20">
        <f t="shared" ref="GS22" si="125">+GR22*(1+$AI$28)</f>
        <v>17051.74779622924</v>
      </c>
      <c r="GT22" s="20">
        <f t="shared" ref="GT22" si="126">+GS22*(1+$AI$28)</f>
        <v>16881.230318266946</v>
      </c>
      <c r="GU22" s="20">
        <f t="shared" ref="GU22" si="127">+GT22*(1+$AI$28)</f>
        <v>16712.418015084277</v>
      </c>
      <c r="GV22" s="20">
        <f t="shared" ref="GV22" si="128">+GU22*(1+$AI$28)</f>
        <v>16545.293834933433</v>
      </c>
      <c r="GW22" s="20">
        <f t="shared" ref="GW22" si="129">+GV22*(1+$AI$28)</f>
        <v>16379.840896584099</v>
      </c>
      <c r="GX22" s="20">
        <f t="shared" ref="GX22" si="130">+GW22*(1+$AI$28)</f>
        <v>16216.042487618259</v>
      </c>
      <c r="GY22" s="20">
        <f t="shared" ref="GY22" si="131">+GX22*(1+$AI$28)</f>
        <v>16053.882062742076</v>
      </c>
      <c r="GZ22" s="20">
        <f t="shared" ref="GZ22" si="132">+GY22*(1+$AI$28)</f>
        <v>15893.343242114655</v>
      </c>
      <c r="HA22" s="20">
        <f t="shared" ref="HA22" si="133">+GZ22*(1+$AI$28)</f>
        <v>15734.409809693509</v>
      </c>
      <c r="HB22" s="20">
        <f t="shared" ref="HB22" si="134">+HA22*(1+$AI$28)</f>
        <v>15577.065711596573</v>
      </c>
      <c r="HC22" s="20">
        <f t="shared" ref="HC22" si="135">+HB22*(1+$AI$28)</f>
        <v>15421.295054480608</v>
      </c>
      <c r="HD22" s="20">
        <f t="shared" ref="HD22" si="136">+HC22*(1+$AI$28)</f>
        <v>15267.082103935802</v>
      </c>
      <c r="HE22" s="20">
        <f t="shared" ref="HE22" si="137">+HD22*(1+$AI$28)</f>
        <v>15114.411282896443</v>
      </c>
      <c r="HF22" s="20">
        <f t="shared" ref="HF22" si="138">+HE22*(1+$AI$28)</f>
        <v>14963.267170067478</v>
      </c>
      <c r="HG22" s="20">
        <f t="shared" ref="HG22" si="139">+HF22*(1+$AI$28)</f>
        <v>14813.634498366804</v>
      </c>
      <c r="HH22" s="20">
        <f t="shared" ref="HH22" si="140">+HG22*(1+$AI$28)</f>
        <v>14665.498153383136</v>
      </c>
      <c r="HI22" s="20">
        <f t="shared" ref="HI22" si="141">+HH22*(1+$AI$28)</f>
        <v>14518.843171849305</v>
      </c>
      <c r="HJ22" s="20">
        <f t="shared" ref="HJ22" si="142">+HI22*(1+$AI$28)</f>
        <v>14373.654740130811</v>
      </c>
      <c r="HK22" s="20">
        <f t="shared" ref="HK22" si="143">+HJ22*(1+$AI$28)</f>
        <v>14229.918192729503</v>
      </c>
      <c r="HL22" s="20">
        <f t="shared" ref="HL22" si="144">+HK22*(1+$AI$28)</f>
        <v>14087.619010802207</v>
      </c>
      <c r="HM22" s="20">
        <f t="shared" ref="HM22" si="145">+HL22*(1+$AI$28)</f>
        <v>13946.742820694186</v>
      </c>
      <c r="HN22" s="20">
        <f t="shared" ref="HN22" si="146">+HM22*(1+$AI$28)</f>
        <v>13807.275392487243</v>
      </c>
      <c r="HO22" s="20">
        <f t="shared" ref="HO22" si="147">+HN22*(1+$AI$28)</f>
        <v>13669.20263856237</v>
      </c>
      <c r="HP22" s="20">
        <f t="shared" ref="HP22" si="148">+HO22*(1+$AI$28)</f>
        <v>13532.510612176746</v>
      </c>
      <c r="HQ22" s="20">
        <f t="shared" ref="HQ22" si="149">+HP22*(1+$AI$28)</f>
        <v>13397.185506054979</v>
      </c>
      <c r="HR22" s="20">
        <f t="shared" ref="HR22" si="150">+HQ22*(1+$AI$28)</f>
        <v>13263.213650994428</v>
      </c>
      <c r="HS22" s="20">
        <f t="shared" ref="HS22" si="151">+HR22*(1+$AI$28)</f>
        <v>13130.581514484484</v>
      </c>
      <c r="HT22" s="20">
        <f t="shared" ref="HT22" si="152">+HS22*(1+$AI$28)</f>
        <v>12999.275699339638</v>
      </c>
      <c r="HU22" s="20">
        <f t="shared" ref="HU22" si="153">+HT22*(1+$AI$28)</f>
        <v>12869.282942346241</v>
      </c>
      <c r="HV22" s="20">
        <f t="shared" ref="HV22:HX22" si="154">+HU22*(1+$AI$28)</f>
        <v>12740.590112922779</v>
      </c>
      <c r="HW22" s="20">
        <f t="shared" si="154"/>
        <v>12613.18421179355</v>
      </c>
      <c r="HX22" s="20">
        <f t="shared" si="154"/>
        <v>12487.052369675615</v>
      </c>
    </row>
    <row r="23" spans="1:232">
      <c r="B23" s="14" t="s">
        <v>80</v>
      </c>
      <c r="C23" s="19">
        <v>656268.31599999999</v>
      </c>
      <c r="D23" s="22">
        <v>656745.55700000003</v>
      </c>
      <c r="E23" s="19">
        <v>390711.78200000001</v>
      </c>
      <c r="F23" s="19">
        <f>+F22/F24</f>
        <v>2433583.6749202851</v>
      </c>
      <c r="G23" s="19">
        <v>693021.09699999995</v>
      </c>
      <c r="H23" s="22">
        <v>691365.07200000004</v>
      </c>
      <c r="I23" s="19">
        <v>691257.65399999998</v>
      </c>
      <c r="J23" s="19">
        <f>+J22/J24</f>
        <v>686532.62452952261</v>
      </c>
      <c r="K23" s="19">
        <v>683485.18200000003</v>
      </c>
      <c r="L23" s="19">
        <v>680349.16099999996</v>
      </c>
      <c r="M23" s="19">
        <v>678758.02</v>
      </c>
      <c r="N23" s="19">
        <f t="shared" ref="N23" si="155">+M23</f>
        <v>678758.02</v>
      </c>
      <c r="O23" s="19">
        <v>663565.29099999997</v>
      </c>
      <c r="S23" s="19">
        <v>636819.97499999998</v>
      </c>
      <c r="T23" s="19">
        <v>689923.79200000002</v>
      </c>
      <c r="U23" s="19">
        <v>691005.84600000002</v>
      </c>
      <c r="V23" s="19">
        <v>677578.245</v>
      </c>
      <c r="W23" s="19">
        <f>+V23</f>
        <v>677578.245</v>
      </c>
      <c r="X23" s="19">
        <f t="shared" ref="X23:AF23" si="156">+W23</f>
        <v>677578.245</v>
      </c>
      <c r="Y23" s="19">
        <f t="shared" si="156"/>
        <v>677578.245</v>
      </c>
      <c r="Z23" s="19">
        <f t="shared" si="156"/>
        <v>677578.245</v>
      </c>
      <c r="AA23" s="19">
        <f t="shared" si="156"/>
        <v>677578.245</v>
      </c>
      <c r="AB23" s="19">
        <f t="shared" si="156"/>
        <v>677578.245</v>
      </c>
      <c r="AC23" s="19">
        <f t="shared" si="156"/>
        <v>677578.245</v>
      </c>
      <c r="AD23" s="19">
        <f t="shared" si="156"/>
        <v>677578.245</v>
      </c>
      <c r="AE23" s="19">
        <f t="shared" si="156"/>
        <v>677578.245</v>
      </c>
      <c r="AF23" s="19">
        <f t="shared" si="156"/>
        <v>677578.245</v>
      </c>
    </row>
    <row r="24" spans="1:232" s="23" customFormat="1">
      <c r="A24" s="11"/>
      <c r="B24" s="14" t="s">
        <v>81</v>
      </c>
      <c r="C24" s="23">
        <f>+C22/C23</f>
        <v>8.4893630610684542E-2</v>
      </c>
      <c r="D24" s="23">
        <f>+D22/D23</f>
        <v>9.065002323266573E-2</v>
      </c>
      <c r="E24" s="23">
        <f>+E22/E23</f>
        <v>0.17090091232518809</v>
      </c>
      <c r="F24" s="23">
        <f>+T24-SUM(C24:E24)</f>
        <v>3.2690061500599887E-2</v>
      </c>
      <c r="G24" s="23">
        <f>+G22/G23</f>
        <v>0.10422049243906352</v>
      </c>
      <c r="H24" s="23">
        <f>+H22/H23</f>
        <v>0.14176301923450363</v>
      </c>
      <c r="I24" s="23">
        <f>+I22/I23</f>
        <v>0.10284443085530016</v>
      </c>
      <c r="J24" s="23">
        <f>+U24-SUM(G24:I24)</f>
        <v>6.4126595629989347E-2</v>
      </c>
      <c r="K24" s="23">
        <f>+K22/K23</f>
        <v>4.577568149824205E-2</v>
      </c>
      <c r="L24" s="23">
        <f>+L22/L23</f>
        <v>2.4222856357722474E-2</v>
      </c>
      <c r="M24" s="23">
        <f t="shared" ref="M24" si="157">+M22/M23</f>
        <v>4.6722144071314246E-2</v>
      </c>
      <c r="N24" s="24">
        <f>+W24-SUM(K24:M24)</f>
        <v>3.3851522468097001E-2</v>
      </c>
      <c r="O24" s="23">
        <f>+O22/O23</f>
        <v>2.8685948855634164E-2</v>
      </c>
      <c r="S24" s="23">
        <f>+S22/S23</f>
        <v>0.15012405978628418</v>
      </c>
      <c r="T24" s="23">
        <f>+T22/T23</f>
        <v>0.37913462766913825</v>
      </c>
      <c r="U24" s="23">
        <f>+U22/U23</f>
        <v>0.41295453815885663</v>
      </c>
      <c r="V24" s="23">
        <f>+V22/V23</f>
        <v>0.15209313575290481</v>
      </c>
      <c r="W24" s="23">
        <f t="shared" ref="W24:AE24" si="158">+W22/W23</f>
        <v>0.15057220439537577</v>
      </c>
      <c r="X24" s="23">
        <f t="shared" si="158"/>
        <v>0.149066482351422</v>
      </c>
      <c r="Y24" s="23">
        <f t="shared" si="158"/>
        <v>0.1475758175279078</v>
      </c>
      <c r="Z24" s="23">
        <f t="shared" si="158"/>
        <v>0.14610005935262865</v>
      </c>
      <c r="AA24" s="23">
        <f t="shared" si="158"/>
        <v>0.14463905875910241</v>
      </c>
      <c r="AB24" s="23">
        <f t="shared" si="158"/>
        <v>0.14319266817151141</v>
      </c>
      <c r="AC24" s="23">
        <f t="shared" si="158"/>
        <v>0.1417607414897962</v>
      </c>
      <c r="AD24" s="23">
        <f t="shared" si="158"/>
        <v>0.14034313407489826</v>
      </c>
      <c r="AE24" s="23">
        <f t="shared" si="158"/>
        <v>0.13893970273414932</v>
      </c>
      <c r="AF24" s="23">
        <f t="shared" ref="AF24" si="159">+AF22/AF23</f>
        <v>0.13755030570680774</v>
      </c>
    </row>
    <row r="25" spans="1:232">
      <c r="B25" s="14" t="s">
        <v>35</v>
      </c>
      <c r="V25" s="25"/>
    </row>
    <row r="26" spans="1:232" s="20" customFormat="1">
      <c r="A26" s="16"/>
      <c r="B26" s="16" t="s">
        <v>82</v>
      </c>
    </row>
    <row r="27" spans="1:232" s="26" customFormat="1">
      <c r="A27" s="17"/>
      <c r="B27" s="16" t="s">
        <v>65</v>
      </c>
      <c r="G27" s="26">
        <f t="shared" ref="G27:O27" si="160">+G6/C6-1</f>
        <v>0.62609466331849162</v>
      </c>
      <c r="H27" s="26">
        <f t="shared" si="160"/>
        <v>0.32710597826086962</v>
      </c>
      <c r="I27" s="26">
        <f t="shared" si="160"/>
        <v>-0.15987356291178745</v>
      </c>
      <c r="J27" s="26">
        <f t="shared" si="160"/>
        <v>-3.8859922315148565E-2</v>
      </c>
      <c r="K27" s="26">
        <f t="shared" si="160"/>
        <v>-0.37194876652954234</v>
      </c>
      <c r="L27" s="26">
        <f t="shared" si="160"/>
        <v>-0.61190266283688355</v>
      </c>
      <c r="M27" s="26">
        <f t="shared" si="160"/>
        <v>-0.23339842199679317</v>
      </c>
      <c r="N27" s="26">
        <f t="shared" si="160"/>
        <v>-0.2598773050807347</v>
      </c>
      <c r="O27" s="26">
        <f t="shared" si="160"/>
        <v>-0.19941318676777486</v>
      </c>
      <c r="T27" s="26">
        <f>+T6/S6-1</f>
        <v>0.65819883610010299</v>
      </c>
      <c r="U27" s="26">
        <f>+U6/T6-1</f>
        <v>0.1600832403507213</v>
      </c>
      <c r="V27" s="26">
        <f>+V6/U6-1</f>
        <v>-0.40066295694773557</v>
      </c>
      <c r="W27" s="26">
        <f t="shared" ref="W27:AF27" si="161">+W6/V6-1</f>
        <v>-1.0000000000000009E-2</v>
      </c>
      <c r="X27" s="26">
        <f t="shared" si="161"/>
        <v>-1.0000000000000009E-2</v>
      </c>
      <c r="Y27" s="26">
        <f t="shared" si="161"/>
        <v>-1.0000000000000009E-2</v>
      </c>
      <c r="Z27" s="26">
        <f t="shared" si="161"/>
        <v>-1.0000000000000009E-2</v>
      </c>
      <c r="AA27" s="26">
        <f t="shared" si="161"/>
        <v>-1.000000000000012E-2</v>
      </c>
      <c r="AB27" s="26">
        <f t="shared" si="161"/>
        <v>-1.0000000000000009E-2</v>
      </c>
      <c r="AC27" s="26">
        <f t="shared" si="161"/>
        <v>-1.0000000000000009E-2</v>
      </c>
      <c r="AD27" s="26">
        <f t="shared" si="161"/>
        <v>-1.0000000000000009E-2</v>
      </c>
      <c r="AE27" s="26">
        <f t="shared" si="161"/>
        <v>-1.0000000000000009E-2</v>
      </c>
      <c r="AF27" s="26">
        <f t="shared" si="161"/>
        <v>-9.9999999999998979E-3</v>
      </c>
      <c r="AH27" s="31"/>
    </row>
    <row r="28" spans="1:232" s="26" customFormat="1">
      <c r="A28" s="17"/>
      <c r="B28" s="16" t="s">
        <v>66</v>
      </c>
      <c r="G28" s="26">
        <f t="shared" ref="G28:O28" si="162">+G7/C7-1</f>
        <v>1.0249527410207939</v>
      </c>
      <c r="H28" s="26">
        <f t="shared" si="162"/>
        <v>0.68500445983524849</v>
      </c>
      <c r="I28" s="26">
        <f t="shared" si="162"/>
        <v>0.60091060138532248</v>
      </c>
      <c r="J28" s="26">
        <f t="shared" si="162"/>
        <v>-0.45269975502533644</v>
      </c>
      <c r="K28" s="26">
        <f t="shared" si="162"/>
        <v>-0.45763318396813546</v>
      </c>
      <c r="L28" s="26">
        <f t="shared" si="162"/>
        <v>-0.53654891092808543</v>
      </c>
      <c r="M28" s="26">
        <f t="shared" si="162"/>
        <v>-0.41827175802994976</v>
      </c>
      <c r="N28" s="26">
        <f t="shared" si="162"/>
        <v>-0.2046351707646088</v>
      </c>
      <c r="O28" s="26">
        <f t="shared" si="162"/>
        <v>-1.2249347370836827E-2</v>
      </c>
      <c r="T28" s="26">
        <f t="shared" ref="T28:U29" si="163">+T7/S7-1</f>
        <v>2.4662052920067827</v>
      </c>
      <c r="U28" s="26">
        <f t="shared" si="163"/>
        <v>0.33851728394359459</v>
      </c>
      <c r="V28" s="26">
        <f t="shared" ref="V28:AF28" si="164">+V7/U7-1</f>
        <v>-0.42595299817262333</v>
      </c>
      <c r="W28" s="26">
        <f t="shared" si="164"/>
        <v>-1.0000000000000009E-2</v>
      </c>
      <c r="X28" s="26">
        <f t="shared" si="164"/>
        <v>-1.000000000000012E-2</v>
      </c>
      <c r="Y28" s="26">
        <f t="shared" si="164"/>
        <v>-1.0000000000000009E-2</v>
      </c>
      <c r="Z28" s="26">
        <f t="shared" si="164"/>
        <v>-1.0000000000000009E-2</v>
      </c>
      <c r="AA28" s="26">
        <f t="shared" si="164"/>
        <v>-1.0000000000000009E-2</v>
      </c>
      <c r="AB28" s="26">
        <f t="shared" si="164"/>
        <v>-1.0000000000000009E-2</v>
      </c>
      <c r="AC28" s="26">
        <f t="shared" si="164"/>
        <v>-1.0000000000000009E-2</v>
      </c>
      <c r="AD28" s="26">
        <f t="shared" si="164"/>
        <v>-1.0000000000000009E-2</v>
      </c>
      <c r="AE28" s="26">
        <f t="shared" si="164"/>
        <v>-1.0000000000000009E-2</v>
      </c>
      <c r="AF28" s="26">
        <f t="shared" si="164"/>
        <v>-1.0000000000000009E-2</v>
      </c>
      <c r="AH28" s="31" t="s">
        <v>121</v>
      </c>
      <c r="AI28" s="26">
        <v>-0.01</v>
      </c>
    </row>
    <row r="29" spans="1:232" s="26" customFormat="1">
      <c r="A29" s="17"/>
      <c r="B29" s="16" t="s">
        <v>67</v>
      </c>
      <c r="G29" s="26">
        <f t="shared" ref="G29:O29" si="165">+G8/C8-1</f>
        <v>0.15067966145165435</v>
      </c>
      <c r="H29" s="26">
        <f t="shared" si="165"/>
        <v>0.19314560519149437</v>
      </c>
      <c r="I29" s="26">
        <f t="shared" si="165"/>
        <v>-2.5581222241520485E-2</v>
      </c>
      <c r="J29" s="26">
        <f t="shared" si="165"/>
        <v>-0.13219153298757691</v>
      </c>
      <c r="K29" s="26">
        <f t="shared" si="165"/>
        <v>-0.31949180875961214</v>
      </c>
      <c r="L29" s="26">
        <f t="shared" si="165"/>
        <v>-6.436809518028408E-2</v>
      </c>
      <c r="M29" s="26">
        <f t="shared" si="165"/>
        <v>-0.18244550825015282</v>
      </c>
      <c r="N29" s="26">
        <f t="shared" si="165"/>
        <v>-6.1069492703266004E-2</v>
      </c>
      <c r="O29" s="26">
        <f t="shared" si="165"/>
        <v>-0.15731551537781274</v>
      </c>
      <c r="T29" s="26">
        <f t="shared" si="163"/>
        <v>1.1711202261956912</v>
      </c>
      <c r="U29" s="26">
        <f t="shared" si="163"/>
        <v>3.0172967222436231E-2</v>
      </c>
      <c r="V29" s="26">
        <f t="shared" ref="V29:AF29" si="166">+V8/U8-1</f>
        <v>-0.15048192199036159</v>
      </c>
      <c r="W29" s="26">
        <f t="shared" si="166"/>
        <v>-1.0000000000000009E-2</v>
      </c>
      <c r="X29" s="26">
        <f t="shared" si="166"/>
        <v>-1.0000000000000009E-2</v>
      </c>
      <c r="Y29" s="26">
        <f t="shared" si="166"/>
        <v>-1.0000000000000009E-2</v>
      </c>
      <c r="Z29" s="26">
        <f t="shared" si="166"/>
        <v>-1.000000000000012E-2</v>
      </c>
      <c r="AA29" s="26">
        <f t="shared" si="166"/>
        <v>-1.0000000000000009E-2</v>
      </c>
      <c r="AB29" s="26">
        <f t="shared" si="166"/>
        <v>-1.000000000000012E-2</v>
      </c>
      <c r="AC29" s="26">
        <f t="shared" si="166"/>
        <v>-1.000000000000012E-2</v>
      </c>
      <c r="AD29" s="26">
        <f t="shared" si="166"/>
        <v>-1.000000000000012E-2</v>
      </c>
      <c r="AE29" s="26">
        <f t="shared" si="166"/>
        <v>-1.0000000000000009E-2</v>
      </c>
      <c r="AF29" s="26">
        <f t="shared" si="166"/>
        <v>-1.0000000000000009E-2</v>
      </c>
      <c r="AH29" s="31" t="s">
        <v>122</v>
      </c>
      <c r="AI29" s="26">
        <v>0.1</v>
      </c>
    </row>
    <row r="30" spans="1:232" s="26" customFormat="1">
      <c r="A30" s="17"/>
      <c r="B30" s="16" t="s">
        <v>68</v>
      </c>
      <c r="G30" s="26">
        <f t="shared" ref="G30:O30" si="167">+G9/C9-1</f>
        <v>0.5763425020530144</v>
      </c>
      <c r="H30" s="26">
        <f t="shared" si="167"/>
        <v>0.38638873550524577</v>
      </c>
      <c r="I30" s="26">
        <f t="shared" si="167"/>
        <v>9.1756174825520898E-2</v>
      </c>
      <c r="J30" s="26">
        <f t="shared" si="167"/>
        <v>-0.21487945801150765</v>
      </c>
      <c r="K30" s="26">
        <f t="shared" si="167"/>
        <v>-0.38888590517519173</v>
      </c>
      <c r="L30" s="26">
        <f t="shared" si="167"/>
        <v>-0.48203202420069891</v>
      </c>
      <c r="M30" s="26">
        <f t="shared" si="167"/>
        <v>-0.29978918018293721</v>
      </c>
      <c r="N30" s="26">
        <f t="shared" si="167"/>
        <v>-0.18043772614958575</v>
      </c>
      <c r="O30" s="26">
        <f t="shared" si="167"/>
        <v>-0.13077943877595855</v>
      </c>
      <c r="T30" s="26">
        <f t="shared" ref="T30:AF30" si="168">+T9/S9-1</f>
        <v>1.1199822852081489</v>
      </c>
      <c r="U30" s="26">
        <f t="shared" si="168"/>
        <v>0.17699731769070715</v>
      </c>
      <c r="V30" s="26">
        <f t="shared" si="168"/>
        <v>-0.34925895319151357</v>
      </c>
      <c r="W30" s="26">
        <f t="shared" si="168"/>
        <v>-1.0000000000000009E-2</v>
      </c>
      <c r="X30" s="26">
        <f t="shared" si="168"/>
        <v>-1.0000000000000009E-2</v>
      </c>
      <c r="Y30" s="26">
        <f t="shared" si="168"/>
        <v>-1.0000000000000231E-2</v>
      </c>
      <c r="Z30" s="26">
        <f t="shared" si="168"/>
        <v>-9.9999999999998979E-3</v>
      </c>
      <c r="AA30" s="26">
        <f t="shared" si="168"/>
        <v>-1.0000000000000009E-2</v>
      </c>
      <c r="AB30" s="26">
        <f t="shared" si="168"/>
        <v>-1.000000000000012E-2</v>
      </c>
      <c r="AC30" s="26">
        <f t="shared" si="168"/>
        <v>-1.000000000000012E-2</v>
      </c>
      <c r="AD30" s="26">
        <f t="shared" si="168"/>
        <v>-9.9999999999998979E-3</v>
      </c>
      <c r="AE30" s="26">
        <f t="shared" si="168"/>
        <v>-9.9999999999998979E-3</v>
      </c>
      <c r="AF30" s="26">
        <f t="shared" si="168"/>
        <v>-1.000000000000012E-2</v>
      </c>
      <c r="AH30" s="31" t="s">
        <v>123</v>
      </c>
      <c r="AI30" s="27">
        <f>NPV(AI29,V22:DV22)</f>
        <v>936848.94236911333</v>
      </c>
    </row>
    <row r="31" spans="1:232" s="28" customFormat="1">
      <c r="A31" s="18"/>
      <c r="B31" s="14" t="s">
        <v>71</v>
      </c>
      <c r="G31" s="28">
        <f t="shared" ref="G31:J31" si="169">+G12/C12-1</f>
        <v>0.83457021693035394</v>
      </c>
      <c r="H31" s="28">
        <f t="shared" si="169"/>
        <v>0.72426563687009371</v>
      </c>
      <c r="I31" s="28">
        <f t="shared" si="169"/>
        <v>0.36564934684552752</v>
      </c>
      <c r="J31" s="28">
        <f t="shared" si="169"/>
        <v>0.12676097418696219</v>
      </c>
      <c r="K31" s="28">
        <f t="shared" ref="K31:O33" si="170">+K12/G12-1</f>
        <v>-0.2670311840145807</v>
      </c>
      <c r="L31" s="28">
        <f t="shared" si="170"/>
        <v>-0.41723422613037653</v>
      </c>
      <c r="M31" s="28">
        <f t="shared" si="170"/>
        <v>-0.14195942178183851</v>
      </c>
      <c r="N31" s="28">
        <f t="shared" si="170"/>
        <v>-0.13172529833553348</v>
      </c>
      <c r="O31" s="28">
        <f t="shared" si="170"/>
        <v>-0.1641750310822695</v>
      </c>
      <c r="T31" s="28">
        <f t="shared" ref="T31:AF31" si="171">+T12/S12-1</f>
        <v>0.21312449470597983</v>
      </c>
      <c r="U31" s="28">
        <f t="shared" si="171"/>
        <v>0.4831905446311715</v>
      </c>
      <c r="V31" s="28">
        <f t="shared" si="171"/>
        <v>-0.24389755360787346</v>
      </c>
      <c r="W31" s="28">
        <f t="shared" si="171"/>
        <v>-9.9999999999998979E-3</v>
      </c>
      <c r="X31" s="28">
        <f t="shared" si="171"/>
        <v>-1.0000000000000009E-2</v>
      </c>
      <c r="Y31" s="28">
        <f t="shared" si="171"/>
        <v>-1.000000000000012E-2</v>
      </c>
      <c r="Z31" s="28">
        <f t="shared" si="171"/>
        <v>-9.9999999999998979E-3</v>
      </c>
      <c r="AA31" s="28">
        <f t="shared" si="171"/>
        <v>-1.0000000000000009E-2</v>
      </c>
      <c r="AB31" s="28">
        <f t="shared" si="171"/>
        <v>-1.000000000000012E-2</v>
      </c>
      <c r="AC31" s="28">
        <f t="shared" si="171"/>
        <v>-1.0000000000000009E-2</v>
      </c>
      <c r="AD31" s="28">
        <f t="shared" si="171"/>
        <v>-1.0000000000000009E-2</v>
      </c>
      <c r="AE31" s="28">
        <f t="shared" si="171"/>
        <v>-9.9999999999998979E-3</v>
      </c>
      <c r="AF31" s="28">
        <f t="shared" si="171"/>
        <v>-1.0000000000000231E-2</v>
      </c>
      <c r="AH31" s="32" t="s">
        <v>24</v>
      </c>
      <c r="AI31" s="19">
        <f>+O!H9*1000</f>
        <v>507506</v>
      </c>
    </row>
    <row r="32" spans="1:232" s="28" customFormat="1">
      <c r="A32" s="18"/>
      <c r="B32" s="14" t="s">
        <v>72</v>
      </c>
      <c r="G32" s="28">
        <f t="shared" ref="G32:J32" si="172">+G13/C13-1</f>
        <v>0.50868101928521825</v>
      </c>
      <c r="H32" s="28">
        <f t="shared" si="172"/>
        <v>0.29782962200909302</v>
      </c>
      <c r="I32" s="28">
        <f t="shared" si="172"/>
        <v>1.8402598013837146E-2</v>
      </c>
      <c r="J32" s="28">
        <f t="shared" si="172"/>
        <v>-0.30347242706844257</v>
      </c>
      <c r="K32" s="28">
        <f t="shared" si="170"/>
        <v>-0.42771148330441555</v>
      </c>
      <c r="L32" s="28">
        <f t="shared" si="170"/>
        <v>-0.50459630505657482</v>
      </c>
      <c r="M32" s="28">
        <f t="shared" si="170"/>
        <v>-0.35647163939982129</v>
      </c>
      <c r="N32" s="28">
        <f t="shared" si="170"/>
        <v>-0.20087219024866987</v>
      </c>
      <c r="O32" s="28">
        <f t="shared" si="170"/>
        <v>-0.11715134265561189</v>
      </c>
      <c r="T32" s="28">
        <f t="shared" ref="T32:AF32" si="173">+T13/S13-1</f>
        <v>1.6383981023125282</v>
      </c>
      <c r="U32" s="28">
        <f t="shared" si="173"/>
        <v>9.6515147038339189E-2</v>
      </c>
      <c r="V32" s="28">
        <f t="shared" si="173"/>
        <v>-0.38671896803598482</v>
      </c>
      <c r="W32" s="28">
        <f t="shared" si="173"/>
        <v>-1.0000000000000009E-2</v>
      </c>
      <c r="X32" s="28">
        <f t="shared" si="173"/>
        <v>-1.0000000000000009E-2</v>
      </c>
      <c r="Y32" s="28">
        <f t="shared" si="173"/>
        <v>-1.000000000000012E-2</v>
      </c>
      <c r="Z32" s="28">
        <f t="shared" si="173"/>
        <v>-1.0000000000000009E-2</v>
      </c>
      <c r="AA32" s="28">
        <f t="shared" si="173"/>
        <v>-1.0000000000000009E-2</v>
      </c>
      <c r="AB32" s="28">
        <f t="shared" si="173"/>
        <v>-9.9999999999998979E-3</v>
      </c>
      <c r="AC32" s="28">
        <f t="shared" si="173"/>
        <v>-1.0000000000000231E-2</v>
      </c>
      <c r="AD32" s="28">
        <f t="shared" si="173"/>
        <v>-9.9999999999998979E-3</v>
      </c>
      <c r="AE32" s="28">
        <f t="shared" si="173"/>
        <v>-9.9999999999998979E-3</v>
      </c>
      <c r="AF32" s="28">
        <f t="shared" si="173"/>
        <v>-1.0000000000000231E-2</v>
      </c>
      <c r="AH32" s="32" t="s">
        <v>39</v>
      </c>
      <c r="AI32" s="19">
        <f>+O!H10*1000</f>
        <v>654445</v>
      </c>
    </row>
    <row r="33" spans="1:39" s="28" customFormat="1">
      <c r="A33" s="18"/>
      <c r="B33" s="14" t="s">
        <v>73</v>
      </c>
      <c r="G33" s="28">
        <f t="shared" ref="G33:J33" si="174">+G14/C14-1</f>
        <v>0.97819148936170208</v>
      </c>
      <c r="H33" s="28">
        <f t="shared" si="174"/>
        <v>-0.22716509796957318</v>
      </c>
      <c r="I33" s="28">
        <f t="shared" si="174"/>
        <v>1.8177611792312476E-2</v>
      </c>
      <c r="J33" s="28">
        <f t="shared" si="174"/>
        <v>0.47081299087242634</v>
      </c>
      <c r="K33" s="28">
        <f t="shared" si="170"/>
        <v>0.56511607062830516</v>
      </c>
      <c r="L33" s="28">
        <f t="shared" si="170"/>
        <v>0.85412278350120641</v>
      </c>
      <c r="M33" s="28">
        <f t="shared" si="170"/>
        <v>0.18262083292758136</v>
      </c>
      <c r="N33" s="28">
        <f t="shared" si="170"/>
        <v>0.3705463991918021</v>
      </c>
      <c r="O33" s="28">
        <f t="shared" si="170"/>
        <v>0.1578570610468446</v>
      </c>
      <c r="T33" s="28">
        <f t="shared" ref="T33:AF33" si="175">+T14/S14-1</f>
        <v>1.6601560398170569</v>
      </c>
      <c r="U33" s="28">
        <f t="shared" si="175"/>
        <v>0.15169198406116635</v>
      </c>
      <c r="V33" s="28">
        <f t="shared" si="175"/>
        <v>0.48354803867330531</v>
      </c>
      <c r="W33" s="28">
        <f t="shared" si="175"/>
        <v>-1.000000000000012E-2</v>
      </c>
      <c r="X33" s="28">
        <f t="shared" si="175"/>
        <v>-9.9999999999998979E-3</v>
      </c>
      <c r="Y33" s="28">
        <f t="shared" si="175"/>
        <v>-1.0000000000000231E-2</v>
      </c>
      <c r="Z33" s="28">
        <f t="shared" si="175"/>
        <v>-9.9999999999998979E-3</v>
      </c>
      <c r="AA33" s="28">
        <f t="shared" si="175"/>
        <v>-1.000000000000012E-2</v>
      </c>
      <c r="AB33" s="28">
        <f t="shared" si="175"/>
        <v>-1.000000000000012E-2</v>
      </c>
      <c r="AC33" s="28">
        <f t="shared" si="175"/>
        <v>-1.0000000000000009E-2</v>
      </c>
      <c r="AD33" s="28">
        <f t="shared" si="175"/>
        <v>-1.0000000000000009E-2</v>
      </c>
      <c r="AE33" s="28">
        <f t="shared" si="175"/>
        <v>-9.9999999999998979E-3</v>
      </c>
      <c r="AF33" s="28">
        <f t="shared" si="175"/>
        <v>-1.000000000000012E-2</v>
      </c>
      <c r="AH33" s="31" t="s">
        <v>124</v>
      </c>
      <c r="AI33" s="20">
        <f>+AI30-AI31+AI32</f>
        <v>1083787.9423691132</v>
      </c>
    </row>
    <row r="34" spans="1:39" s="28" customFormat="1">
      <c r="A34" s="18"/>
      <c r="B34" s="14" t="s">
        <v>75</v>
      </c>
      <c r="G34" s="28">
        <f t="shared" ref="G34:J34" si="176">+G17/C17-1</f>
        <v>0.44434185749863331</v>
      </c>
      <c r="H34" s="28">
        <f t="shared" si="176"/>
        <v>0.50230558181357066</v>
      </c>
      <c r="I34" s="28">
        <f t="shared" si="176"/>
        <v>1.8472615068140907E-2</v>
      </c>
      <c r="J34" s="28">
        <f t="shared" si="176"/>
        <v>-0.47132286624086583</v>
      </c>
      <c r="K34" s="28">
        <f>+K17/G17-1</f>
        <v>-0.61404984397473317</v>
      </c>
      <c r="L34" s="28">
        <f>+L17/H17-1</f>
        <v>-0.77683223474704377</v>
      </c>
      <c r="M34" s="28">
        <f>+M17/I17-1</f>
        <v>-0.52419183809494951</v>
      </c>
      <c r="N34" s="28">
        <f>+N17/J17-1</f>
        <v>-0.54549395073548601</v>
      </c>
      <c r="O34" s="28">
        <f>+O17/K17-1</f>
        <v>-0.32646123000479454</v>
      </c>
      <c r="T34" s="28">
        <f t="shared" ref="T34:AF34" si="177">+T17/S17-1</f>
        <v>1.6327194084975809</v>
      </c>
      <c r="U34" s="28">
        <f t="shared" si="177"/>
        <v>8.1964239993172372E-2</v>
      </c>
      <c r="V34" s="28">
        <f t="shared" si="177"/>
        <v>-0.63101095455486644</v>
      </c>
      <c r="W34" s="28">
        <f t="shared" si="177"/>
        <v>-1.0000000000000009E-2</v>
      </c>
      <c r="X34" s="28">
        <f t="shared" si="177"/>
        <v>-1.000000000000012E-2</v>
      </c>
      <c r="Y34" s="28">
        <f t="shared" si="177"/>
        <v>-9.9999999999998979E-3</v>
      </c>
      <c r="Z34" s="28">
        <f t="shared" si="177"/>
        <v>-1.0000000000000231E-2</v>
      </c>
      <c r="AA34" s="28">
        <f t="shared" si="177"/>
        <v>-1.0000000000000009E-2</v>
      </c>
      <c r="AB34" s="28">
        <f t="shared" si="177"/>
        <v>-9.9999999999997868E-3</v>
      </c>
      <c r="AC34" s="28">
        <f t="shared" si="177"/>
        <v>-1.0000000000000564E-2</v>
      </c>
      <c r="AD34" s="28">
        <f t="shared" si="177"/>
        <v>-9.9999999999997868E-3</v>
      </c>
      <c r="AE34" s="28">
        <f t="shared" si="177"/>
        <v>-1.0000000000000009E-2</v>
      </c>
      <c r="AF34" s="28">
        <f t="shared" si="177"/>
        <v>-1.0000000000000231E-2</v>
      </c>
      <c r="AH34" s="32" t="s">
        <v>125</v>
      </c>
      <c r="AI34" s="19">
        <f>+O!H7*1000</f>
        <v>661761.74899999995</v>
      </c>
    </row>
    <row r="35" spans="1:39" s="28" customFormat="1">
      <c r="A35" s="18"/>
      <c r="B35" s="14" t="s">
        <v>78</v>
      </c>
      <c r="G35" s="28">
        <f t="shared" ref="G35:J35" si="178">+G20/C20-1</f>
        <v>0.32179552466824424</v>
      </c>
      <c r="H35" s="28">
        <f t="shared" si="178"/>
        <v>0.69516796666009628</v>
      </c>
      <c r="I35" s="28">
        <f t="shared" si="178"/>
        <v>5.1764705882352935E-2</v>
      </c>
      <c r="J35" s="28">
        <f t="shared" si="178"/>
        <v>-0.46573895756973349</v>
      </c>
      <c r="K35" s="28">
        <f>+K20/G20-1</f>
        <v>-0.59677510736422246</v>
      </c>
      <c r="L35" s="28">
        <f>+L20/H20-1</f>
        <v>-0.84819893522479051</v>
      </c>
      <c r="M35" s="28">
        <f>+M20/I20-1</f>
        <v>-0.56411737432045528</v>
      </c>
      <c r="N35" s="28">
        <f>+N20/J20-1</f>
        <v>-0.50503701550387581</v>
      </c>
      <c r="O35" s="28">
        <f>+O20/K20-1</f>
        <v>-0.39137276942531962</v>
      </c>
      <c r="T35" s="28">
        <f t="shared" ref="T35:AF35" si="179">+T20/S20-1</f>
        <v>2.0545751192292099</v>
      </c>
      <c r="U35" s="28">
        <f t="shared" si="179"/>
        <v>9.5208897626098743E-2</v>
      </c>
      <c r="V35" s="28">
        <f t="shared" si="179"/>
        <v>-0.65893173036133246</v>
      </c>
      <c r="W35" s="28">
        <f t="shared" si="179"/>
        <v>-9.9999999999998979E-3</v>
      </c>
      <c r="X35" s="28">
        <f t="shared" si="179"/>
        <v>-1.000000000000012E-2</v>
      </c>
      <c r="Y35" s="28">
        <f t="shared" si="179"/>
        <v>-9.9999999999997868E-3</v>
      </c>
      <c r="Z35" s="28">
        <f t="shared" si="179"/>
        <v>-1.0000000000000453E-2</v>
      </c>
      <c r="AA35" s="28">
        <f t="shared" si="179"/>
        <v>-9.9999999999998979E-3</v>
      </c>
      <c r="AB35" s="28">
        <f t="shared" si="179"/>
        <v>-9.9999999999997868E-3</v>
      </c>
      <c r="AC35" s="28">
        <f t="shared" si="179"/>
        <v>-1.0000000000000564E-2</v>
      </c>
      <c r="AD35" s="28">
        <f t="shared" si="179"/>
        <v>-9.9999999999997868E-3</v>
      </c>
      <c r="AE35" s="28">
        <f t="shared" si="179"/>
        <v>-9.9999999999998979E-3</v>
      </c>
      <c r="AF35" s="28">
        <f t="shared" si="179"/>
        <v>-1.0000000000000453E-2</v>
      </c>
      <c r="AH35" s="32" t="s">
        <v>126</v>
      </c>
      <c r="AI35" s="24">
        <f>+AI33/AI34</f>
        <v>1.6377313194769032</v>
      </c>
      <c r="AJ35" s="23"/>
      <c r="AK35" s="19"/>
    </row>
    <row r="36" spans="1:39" s="28" customFormat="1">
      <c r="A36" s="18"/>
      <c r="B36" s="14" t="s">
        <v>62</v>
      </c>
      <c r="G36" s="28">
        <f t="shared" ref="G36:J36" si="180">+G22/C22-1</f>
        <v>0.29641196848132401</v>
      </c>
      <c r="H36" s="28">
        <f t="shared" si="180"/>
        <v>0.64628615581012538</v>
      </c>
      <c r="I36" s="28">
        <f t="shared" si="180"/>
        <v>6.4681832477198942E-2</v>
      </c>
      <c r="J36" s="28">
        <f t="shared" si="180"/>
        <v>-0.44660230786635491</v>
      </c>
      <c r="K36" s="28">
        <f t="shared" ref="K36:O38" si="181">+K22/G22-1</f>
        <v>-0.56682404087114235</v>
      </c>
      <c r="L36" s="28">
        <f t="shared" si="181"/>
        <v>-0.831853892459953</v>
      </c>
      <c r="M36" s="28">
        <f t="shared" si="181"/>
        <v>-0.55391563045068359</v>
      </c>
      <c r="N36" s="28">
        <f t="shared" si="181"/>
        <v>-0.48791777399204983</v>
      </c>
      <c r="O36" s="28">
        <f t="shared" si="181"/>
        <v>-0.3916003451912935</v>
      </c>
      <c r="T36" s="28">
        <f t="shared" ref="T36:AF36" si="182">+T22/S22-1</f>
        <v>1.7360724671031988</v>
      </c>
      <c r="U36" s="28">
        <f t="shared" si="182"/>
        <v>9.0911176187235654E-2</v>
      </c>
      <c r="V36" s="28">
        <f t="shared" si="182"/>
        <v>-0.63885209248862818</v>
      </c>
      <c r="W36" s="28">
        <f t="shared" si="182"/>
        <v>-9.9999999999998979E-3</v>
      </c>
      <c r="X36" s="28">
        <f t="shared" si="182"/>
        <v>-1.000000000000012E-2</v>
      </c>
      <c r="Y36" s="28">
        <f t="shared" si="182"/>
        <v>-9.9999999999997868E-3</v>
      </c>
      <c r="Z36" s="28">
        <f t="shared" si="182"/>
        <v>-1.0000000000000453E-2</v>
      </c>
      <c r="AA36" s="28">
        <f t="shared" si="182"/>
        <v>-9.9999999999997868E-3</v>
      </c>
      <c r="AB36" s="28">
        <f t="shared" si="182"/>
        <v>-9.9999999999996758E-3</v>
      </c>
      <c r="AC36" s="28">
        <f t="shared" si="182"/>
        <v>-1.0000000000000675E-2</v>
      </c>
      <c r="AD36" s="28">
        <f t="shared" si="182"/>
        <v>-9.9999999999997868E-3</v>
      </c>
      <c r="AE36" s="28">
        <f t="shared" si="182"/>
        <v>-9.9999999999997868E-3</v>
      </c>
      <c r="AF36" s="28">
        <f t="shared" si="182"/>
        <v>-1.0000000000000564E-2</v>
      </c>
      <c r="AH36" s="32" t="s">
        <v>127</v>
      </c>
      <c r="AI36" s="24">
        <f>+O!H6</f>
        <v>1.62</v>
      </c>
      <c r="AK36" s="19"/>
    </row>
    <row r="37" spans="1:39" s="28" customFormat="1">
      <c r="A37" s="18"/>
      <c r="B37" s="14" t="s">
        <v>80</v>
      </c>
      <c r="G37" s="28">
        <f t="shared" ref="G37:G38" si="183">+G23/C23-1</f>
        <v>5.6002674674301867E-2</v>
      </c>
      <c r="H37" s="28">
        <f t="shared" ref="H37:H38" si="184">+H23/D23-1</f>
        <v>5.2713740703692391E-2</v>
      </c>
      <c r="I37" s="28">
        <f t="shared" ref="I37" si="185">+I23/E23-1</f>
        <v>0.76922653947507524</v>
      </c>
      <c r="J37" s="28">
        <f t="shared" ref="J37" si="186">+J23/F23-1</f>
        <v>-0.71789232825453975</v>
      </c>
      <c r="K37" s="28">
        <f t="shared" si="181"/>
        <v>-1.3759920212068066E-2</v>
      </c>
      <c r="L37" s="28">
        <f t="shared" si="181"/>
        <v>-1.5933565993047516E-2</v>
      </c>
      <c r="M37" s="28">
        <f t="shared" si="181"/>
        <v>-1.8082452943081528E-2</v>
      </c>
      <c r="N37" s="28">
        <f t="shared" si="181"/>
        <v>-1.1324450218007431E-2</v>
      </c>
      <c r="O37" s="28">
        <f t="shared" si="181"/>
        <v>-2.9144583561725335E-2</v>
      </c>
      <c r="T37" s="28">
        <f t="shared" ref="T37:AF37" si="187">+T23/S23-1</f>
        <v>8.3389056695340136E-2</v>
      </c>
      <c r="U37" s="28">
        <f t="shared" si="187"/>
        <v>1.5683674233979428E-3</v>
      </c>
      <c r="V37" s="28">
        <f t="shared" si="187"/>
        <v>-1.9431964400486446E-2</v>
      </c>
      <c r="W37" s="28">
        <f t="shared" si="187"/>
        <v>0</v>
      </c>
      <c r="X37" s="28">
        <f t="shared" si="187"/>
        <v>0</v>
      </c>
      <c r="Y37" s="28">
        <f t="shared" si="187"/>
        <v>0</v>
      </c>
      <c r="Z37" s="28">
        <f t="shared" si="187"/>
        <v>0</v>
      </c>
      <c r="AA37" s="28">
        <f t="shared" si="187"/>
        <v>0</v>
      </c>
      <c r="AB37" s="28">
        <f t="shared" si="187"/>
        <v>0</v>
      </c>
      <c r="AC37" s="28">
        <f t="shared" si="187"/>
        <v>0</v>
      </c>
      <c r="AD37" s="28">
        <f t="shared" si="187"/>
        <v>0</v>
      </c>
      <c r="AE37" s="28">
        <f t="shared" si="187"/>
        <v>0</v>
      </c>
      <c r="AF37" s="28">
        <f t="shared" si="187"/>
        <v>0</v>
      </c>
      <c r="AH37" s="31" t="s">
        <v>128</v>
      </c>
      <c r="AI37" s="26">
        <f>+AI35/AI36-1</f>
        <v>1.0945258936359892E-2</v>
      </c>
      <c r="AK37" s="29"/>
    </row>
    <row r="38" spans="1:39" s="28" customFormat="1">
      <c r="A38" s="18"/>
      <c r="B38" s="14" t="s">
        <v>81</v>
      </c>
      <c r="G38" s="28">
        <f t="shared" si="183"/>
        <v>0.22765973948046159</v>
      </c>
      <c r="H38" s="28">
        <f t="shared" si="184"/>
        <v>0.5638497838069978</v>
      </c>
      <c r="I38" s="28">
        <f>+I24/E24-1</f>
        <v>-0.39822187338819415</v>
      </c>
      <c r="J38" s="28">
        <f>+J24/F24-1</f>
        <v>0.96165417519366181</v>
      </c>
      <c r="K38" s="28">
        <f t="shared" si="181"/>
        <v>-0.56078041441795579</v>
      </c>
      <c r="L38" s="28">
        <f t="shared" si="181"/>
        <v>-0.8291313454769671</v>
      </c>
      <c r="M38" s="28">
        <f t="shared" si="181"/>
        <v>-0.54570078629681684</v>
      </c>
      <c r="N38" s="28">
        <f t="shared" si="181"/>
        <v>-0.47211414958903497</v>
      </c>
      <c r="O38" s="28">
        <f t="shared" si="181"/>
        <v>-0.37333649840394389</v>
      </c>
      <c r="T38" s="28">
        <f t="shared" ref="T38:AF38" si="188">+T24/S24-1</f>
        <v>1.5254754514957316</v>
      </c>
      <c r="U38" s="28">
        <f t="shared" si="188"/>
        <v>8.9202905832258095E-2</v>
      </c>
      <c r="V38" s="28">
        <f t="shared" si="188"/>
        <v>-0.6316952068597993</v>
      </c>
      <c r="W38" s="28">
        <f t="shared" si="188"/>
        <v>-9.9999999999998979E-3</v>
      </c>
      <c r="X38" s="28">
        <f t="shared" si="188"/>
        <v>-1.000000000000012E-2</v>
      </c>
      <c r="Y38" s="28">
        <f t="shared" si="188"/>
        <v>-9.9999999999998979E-3</v>
      </c>
      <c r="Z38" s="28">
        <f t="shared" si="188"/>
        <v>-1.0000000000000453E-2</v>
      </c>
      <c r="AA38" s="28">
        <f t="shared" si="188"/>
        <v>-9.9999999999996758E-3</v>
      </c>
      <c r="AB38" s="28">
        <f t="shared" si="188"/>
        <v>-9.9999999999997868E-3</v>
      </c>
      <c r="AC38" s="28">
        <f t="shared" si="188"/>
        <v>-1.0000000000000675E-2</v>
      </c>
      <c r="AD38" s="28">
        <f t="shared" si="188"/>
        <v>-9.9999999999997868E-3</v>
      </c>
      <c r="AE38" s="28">
        <f t="shared" si="188"/>
        <v>-9.9999999999996758E-3</v>
      </c>
      <c r="AF38" s="28">
        <f t="shared" si="188"/>
        <v>-1.0000000000000675E-2</v>
      </c>
      <c r="AH38" s="32"/>
      <c r="AK38" s="19"/>
      <c r="AM38" s="19"/>
    </row>
    <row r="39" spans="1:39" s="28" customFormat="1">
      <c r="A39" s="18"/>
      <c r="B39" s="14" t="s">
        <v>83</v>
      </c>
      <c r="C39" s="28">
        <f>+C13/C9</f>
        <v>0.79237887215435276</v>
      </c>
      <c r="D39" s="28">
        <f t="shared" ref="D39:K39" si="189">+D13/D9</f>
        <v>0.79232731192974148</v>
      </c>
      <c r="E39" s="28">
        <f t="shared" si="189"/>
        <v>0.78875662030391525</v>
      </c>
      <c r="F39" s="28">
        <f t="shared" si="189"/>
        <v>0.794081610589917</v>
      </c>
      <c r="G39" s="28">
        <f t="shared" si="189"/>
        <v>0.75836752669230278</v>
      </c>
      <c r="H39" s="28">
        <f t="shared" si="189"/>
        <v>0.74171538574605389</v>
      </c>
      <c r="I39" s="28">
        <f t="shared" si="189"/>
        <v>0.73576116154918558</v>
      </c>
      <c r="J39" s="28">
        <f t="shared" si="189"/>
        <v>0.70447747492751733</v>
      </c>
      <c r="K39" s="28">
        <f t="shared" si="189"/>
        <v>0.71018657667396101</v>
      </c>
      <c r="L39" s="28">
        <f t="shared" ref="L39:N39" si="190">+L13/L9</f>
        <v>0.70940397835977331</v>
      </c>
      <c r="M39" s="28">
        <f t="shared" si="190"/>
        <v>0.67620088219821128</v>
      </c>
      <c r="N39" s="28">
        <f t="shared" si="190"/>
        <v>0.68691246476375378</v>
      </c>
      <c r="O39" s="28">
        <f t="shared" ref="O39" si="191">+O13/O9</f>
        <v>0.72132125452449802</v>
      </c>
      <c r="S39" s="28">
        <f t="shared" ref="S39:U39" si="192">+S13/S9</f>
        <v>0.63626926483613822</v>
      </c>
      <c r="T39" s="28">
        <f t="shared" si="192"/>
        <v>0.79186115498065557</v>
      </c>
      <c r="U39" s="28">
        <f t="shared" si="192"/>
        <v>0.73771429869624605</v>
      </c>
      <c r="V39" s="28">
        <f t="shared" ref="V39:AE39" si="193">+V13/V9</f>
        <v>0.69524765437486358</v>
      </c>
      <c r="W39" s="28">
        <f t="shared" si="193"/>
        <v>0.69524765437486358</v>
      </c>
      <c r="X39" s="28">
        <f t="shared" si="193"/>
        <v>0.69524765437486358</v>
      </c>
      <c r="Y39" s="28">
        <f t="shared" si="193"/>
        <v>0.69524765437486369</v>
      </c>
      <c r="Z39" s="28">
        <f t="shared" si="193"/>
        <v>0.69524765437486358</v>
      </c>
      <c r="AA39" s="28">
        <f t="shared" si="193"/>
        <v>0.69524765437486358</v>
      </c>
      <c r="AB39" s="28">
        <f t="shared" si="193"/>
        <v>0.69524765437486369</v>
      </c>
      <c r="AC39" s="28">
        <f t="shared" si="193"/>
        <v>0.69524765437486358</v>
      </c>
      <c r="AD39" s="28">
        <f t="shared" si="193"/>
        <v>0.69524765437486358</v>
      </c>
      <c r="AE39" s="28">
        <f t="shared" si="193"/>
        <v>0.69524765437486358</v>
      </c>
      <c r="AF39" s="28">
        <f t="shared" ref="AF39" si="194">+AF13/AF9</f>
        <v>0.69524765437486358</v>
      </c>
      <c r="AH39" s="32"/>
      <c r="AI39" s="23"/>
    </row>
    <row r="40" spans="1:39" s="28" customFormat="1">
      <c r="A40" s="18"/>
      <c r="B40" s="14" t="s">
        <v>84</v>
      </c>
      <c r="C40" s="28">
        <f>+C17/C9</f>
        <v>0.69688195802538122</v>
      </c>
      <c r="D40" s="28">
        <f t="shared" ref="D40:K40" si="195">+D17/D9</f>
        <v>0.57023217901185874</v>
      </c>
      <c r="E40" s="28">
        <f t="shared" si="195"/>
        <v>0.60155051230015344</v>
      </c>
      <c r="F40" s="28">
        <f t="shared" si="195"/>
        <v>0.6526084397410179</v>
      </c>
      <c r="G40" s="28">
        <f t="shared" si="195"/>
        <v>0.63852606930331479</v>
      </c>
      <c r="H40" s="28">
        <f t="shared" si="195"/>
        <v>0.61790965514952367</v>
      </c>
      <c r="I40" s="28">
        <f t="shared" si="195"/>
        <v>0.56117175014451359</v>
      </c>
      <c r="J40" s="28">
        <f t="shared" si="195"/>
        <v>0.43944737264861805</v>
      </c>
      <c r="K40" s="28">
        <f t="shared" si="195"/>
        <v>0.40326223558051449</v>
      </c>
      <c r="L40" s="28">
        <f t="shared" ref="L40:N40" si="196">+L17/L9</f>
        <v>0.2662278814730733</v>
      </c>
      <c r="M40" s="28">
        <f t="shared" si="196"/>
        <v>0.3813281534539274</v>
      </c>
      <c r="N40" s="28">
        <f t="shared" si="196"/>
        <v>0.2437050796199153</v>
      </c>
      <c r="O40" s="28">
        <f t="shared" ref="O40" si="197">+O17/O9</f>
        <v>0.3124785149535923</v>
      </c>
      <c r="S40" s="28">
        <f t="shared" ref="S40:U40" si="198">+S17/S9</f>
        <v>0.50457750221434894</v>
      </c>
      <c r="T40" s="28">
        <f t="shared" si="198"/>
        <v>0.62661419033533039</v>
      </c>
      <c r="U40" s="28">
        <f t="shared" si="198"/>
        <v>0.57602012852952122</v>
      </c>
      <c r="V40" s="28">
        <f t="shared" ref="V40:AE40" si="199">+V17/V9</f>
        <v>0.32662011782675104</v>
      </c>
      <c r="W40" s="28">
        <f t="shared" si="199"/>
        <v>0.32662011782675104</v>
      </c>
      <c r="X40" s="28">
        <f t="shared" si="199"/>
        <v>0.32662011782675099</v>
      </c>
      <c r="Y40" s="28">
        <f t="shared" si="199"/>
        <v>0.3266201178267511</v>
      </c>
      <c r="Z40" s="28">
        <f t="shared" si="199"/>
        <v>0.32662011782675099</v>
      </c>
      <c r="AA40" s="28">
        <f t="shared" si="199"/>
        <v>0.32662011782675104</v>
      </c>
      <c r="AB40" s="28">
        <f t="shared" si="199"/>
        <v>0.3266201178267511</v>
      </c>
      <c r="AC40" s="28">
        <f t="shared" si="199"/>
        <v>0.32662011782675099</v>
      </c>
      <c r="AD40" s="28">
        <f t="shared" si="199"/>
        <v>0.32662011782675104</v>
      </c>
      <c r="AE40" s="28">
        <f t="shared" si="199"/>
        <v>0.32662011782675099</v>
      </c>
      <c r="AF40" s="28">
        <f t="shared" ref="AF40" si="200">+AF17/AF9</f>
        <v>0.32662011782675099</v>
      </c>
      <c r="AH40" s="32"/>
      <c r="AI40" s="23"/>
    </row>
    <row r="41" spans="1:39" s="28" customFormat="1">
      <c r="A41" s="18"/>
      <c r="B41" s="14" t="s">
        <v>85</v>
      </c>
      <c r="C41" s="28">
        <f>+C22/C9</f>
        <v>0.47166840220455641</v>
      </c>
      <c r="D41" s="28">
        <f t="shared" ref="D41:K41" si="201">+D22/D9</f>
        <v>0.39135179195919118</v>
      </c>
      <c r="E41" s="28">
        <f t="shared" si="201"/>
        <v>0.41313790031183489</v>
      </c>
      <c r="F41" s="28">
        <f t="shared" si="201"/>
        <v>0.47780754123172653</v>
      </c>
      <c r="G41" s="28">
        <f t="shared" si="201"/>
        <v>0.38790844056800361</v>
      </c>
      <c r="H41" s="28">
        <f t="shared" si="201"/>
        <v>0.46471600688468157</v>
      </c>
      <c r="I41" s="28">
        <f t="shared" si="201"/>
        <v>0.40289253856529178</v>
      </c>
      <c r="J41" s="28">
        <f t="shared" si="201"/>
        <v>0.33678597929942394</v>
      </c>
      <c r="K41" s="28">
        <f t="shared" si="201"/>
        <v>0.2749611115505286</v>
      </c>
      <c r="L41" s="28">
        <f t="shared" ref="L41:N41" si="202">+L22/L9</f>
        <v>0.1508591096749389</v>
      </c>
      <c r="M41" s="28">
        <f t="shared" si="202"/>
        <v>0.2566713609323783</v>
      </c>
      <c r="N41" s="28">
        <f t="shared" si="202"/>
        <v>0.21043198237720989</v>
      </c>
      <c r="O41" s="28">
        <f t="shared" ref="O41" si="203">+O22/O9</f>
        <v>0.1924554627626231</v>
      </c>
      <c r="S41" s="28">
        <f t="shared" ref="S41:U41" si="204">+S22/S9</f>
        <v>0.33871390611160318</v>
      </c>
      <c r="T41" s="28">
        <f t="shared" si="204"/>
        <v>0.43714789467966875</v>
      </c>
      <c r="U41" s="28">
        <f t="shared" si="204"/>
        <v>0.40517469053237803</v>
      </c>
      <c r="V41" s="28">
        <f t="shared" ref="V41:AE41" si="205">+V22/V9</f>
        <v>0.22486362644555968</v>
      </c>
      <c r="W41" s="28">
        <f t="shared" si="205"/>
        <v>0.22486362644555971</v>
      </c>
      <c r="X41" s="28">
        <f t="shared" si="205"/>
        <v>0.22486362644555966</v>
      </c>
      <c r="Y41" s="28">
        <f t="shared" si="205"/>
        <v>0.22486362644555974</v>
      </c>
      <c r="Z41" s="28">
        <f t="shared" si="205"/>
        <v>0.2248636264455596</v>
      </c>
      <c r="AA41" s="28">
        <f t="shared" si="205"/>
        <v>0.22486362644555966</v>
      </c>
      <c r="AB41" s="28">
        <f t="shared" si="205"/>
        <v>0.22486362644555974</v>
      </c>
      <c r="AC41" s="28">
        <f t="shared" si="205"/>
        <v>0.2248636264455596</v>
      </c>
      <c r="AD41" s="28">
        <f t="shared" si="205"/>
        <v>0.22486362644555966</v>
      </c>
      <c r="AE41" s="28">
        <f t="shared" si="205"/>
        <v>0.22486362644555968</v>
      </c>
      <c r="AF41" s="28">
        <f t="shared" ref="AF41" si="206">+AF22/AF9</f>
        <v>0.22486362644555957</v>
      </c>
      <c r="AH41" s="32"/>
    </row>
    <row r="43" spans="1:39">
      <c r="V43" s="28"/>
    </row>
    <row r="44" spans="1:39">
      <c r="B44" s="14" t="s">
        <v>24</v>
      </c>
      <c r="E44" s="19">
        <v>121479</v>
      </c>
      <c r="F44" s="19">
        <v>186388</v>
      </c>
      <c r="G44" s="19">
        <v>143347</v>
      </c>
      <c r="H44" s="19">
        <v>198028</v>
      </c>
      <c r="I44" s="19">
        <v>249399</v>
      </c>
      <c r="J44" s="19">
        <v>322808</v>
      </c>
      <c r="K44" s="19">
        <v>369340</v>
      </c>
      <c r="L44" s="19">
        <v>378418</v>
      </c>
      <c r="M44" s="19">
        <v>429586</v>
      </c>
    </row>
    <row r="45" spans="1:39">
      <c r="B45" s="14" t="s">
        <v>25</v>
      </c>
      <c r="E45" s="19">
        <v>59283</v>
      </c>
      <c r="F45" s="19">
        <v>40779</v>
      </c>
      <c r="G45" s="19">
        <v>68914</v>
      </c>
      <c r="H45" s="19">
        <v>81345</v>
      </c>
      <c r="I45" s="19">
        <v>93286</v>
      </c>
      <c r="J45" s="19">
        <v>46220</v>
      </c>
      <c r="K45" s="19">
        <v>45516</v>
      </c>
      <c r="L45" s="19">
        <v>50298</v>
      </c>
      <c r="M45" s="19">
        <v>51876</v>
      </c>
    </row>
    <row r="46" spans="1:39">
      <c r="B46" s="14" t="s">
        <v>26</v>
      </c>
      <c r="E46" s="19">
        <v>69088</v>
      </c>
      <c r="F46" s="19">
        <v>98399</v>
      </c>
      <c r="G46" s="19">
        <v>117471</v>
      </c>
      <c r="H46" s="19">
        <v>140316</v>
      </c>
      <c r="I46" s="19">
        <v>151283</v>
      </c>
      <c r="J46" s="19">
        <v>144425</v>
      </c>
      <c r="K46" s="19">
        <v>132014</v>
      </c>
      <c r="L46" s="19">
        <v>128509</v>
      </c>
      <c r="M46" s="19">
        <v>112762</v>
      </c>
    </row>
    <row r="47" spans="1:39">
      <c r="B47" s="14" t="s">
        <v>27</v>
      </c>
      <c r="E47" s="19">
        <v>8182</v>
      </c>
      <c r="F47" s="19">
        <v>9621</v>
      </c>
      <c r="G47" s="19">
        <v>8196</v>
      </c>
      <c r="H47" s="19">
        <v>5765</v>
      </c>
      <c r="I47" s="19">
        <v>3277</v>
      </c>
      <c r="J47" s="19">
        <v>8771</v>
      </c>
      <c r="K47" s="19">
        <v>16665</v>
      </c>
      <c r="L47" s="19">
        <v>13398</v>
      </c>
      <c r="M47" s="19">
        <v>6418</v>
      </c>
    </row>
    <row r="48" spans="1:39" s="20" customFormat="1">
      <c r="A48" s="16"/>
      <c r="B48" s="14" t="s">
        <v>28</v>
      </c>
      <c r="E48" s="20">
        <f t="shared" ref="E48:K48" si="207">+SUM(E44:E47)</f>
        <v>258032</v>
      </c>
      <c r="F48" s="20">
        <f t="shared" si="207"/>
        <v>335187</v>
      </c>
      <c r="G48" s="20">
        <f t="shared" si="207"/>
        <v>337928</v>
      </c>
      <c r="H48" s="20">
        <f t="shared" si="207"/>
        <v>425454</v>
      </c>
      <c r="I48" s="20">
        <f t="shared" si="207"/>
        <v>497245</v>
      </c>
      <c r="J48" s="20">
        <f t="shared" si="207"/>
        <v>522224</v>
      </c>
      <c r="K48" s="20">
        <f t="shared" si="207"/>
        <v>563535</v>
      </c>
      <c r="L48" s="20">
        <f t="shared" ref="L48:M48" si="208">+SUM(L44:L47)</f>
        <v>570623</v>
      </c>
      <c r="M48" s="20">
        <f t="shared" si="208"/>
        <v>600642</v>
      </c>
    </row>
    <row r="49" spans="1:13">
      <c r="B49" s="14" t="s">
        <v>29</v>
      </c>
      <c r="E49" s="19">
        <v>806</v>
      </c>
      <c r="F49" s="19">
        <v>747</v>
      </c>
      <c r="G49" s="19">
        <v>740</v>
      </c>
      <c r="H49" s="19">
        <v>670</v>
      </c>
      <c r="I49" s="19">
        <v>614</v>
      </c>
      <c r="J49" s="19">
        <v>1034</v>
      </c>
      <c r="K49" s="19">
        <v>1026</v>
      </c>
      <c r="L49" s="19">
        <v>932</v>
      </c>
      <c r="M49" s="19">
        <v>929</v>
      </c>
    </row>
    <row r="50" spans="1:13">
      <c r="B50" s="14" t="s">
        <v>30</v>
      </c>
      <c r="E50" s="19">
        <v>1054962</v>
      </c>
      <c r="F50" s="19">
        <v>1043344</v>
      </c>
      <c r="G50" s="19">
        <v>1031232</v>
      </c>
      <c r="H50" s="19">
        <v>1019120</v>
      </c>
      <c r="I50" s="19">
        <v>1007267</v>
      </c>
      <c r="J50" s="19">
        <v>995028</v>
      </c>
      <c r="K50" s="19">
        <v>982962</v>
      </c>
      <c r="L50" s="19">
        <v>971715</v>
      </c>
      <c r="M50" s="19">
        <v>959855</v>
      </c>
    </row>
    <row r="51" spans="1:13">
      <c r="B51" s="14" t="s">
        <v>31</v>
      </c>
      <c r="E51" s="19">
        <v>168300</v>
      </c>
      <c r="F51" s="19">
        <v>168300</v>
      </c>
      <c r="G51" s="19">
        <v>168300</v>
      </c>
      <c r="H51" s="19">
        <v>168300</v>
      </c>
      <c r="I51" s="19">
        <v>168300</v>
      </c>
      <c r="J51" s="19">
        <v>168300</v>
      </c>
      <c r="K51" s="19">
        <v>168300</v>
      </c>
      <c r="L51" s="19">
        <v>168300</v>
      </c>
      <c r="M51" s="19">
        <v>168300</v>
      </c>
    </row>
    <row r="52" spans="1:13">
      <c r="B52" s="14" t="s">
        <v>32</v>
      </c>
      <c r="E52" s="19">
        <v>6978</v>
      </c>
      <c r="F52" s="19">
        <v>8344</v>
      </c>
      <c r="G52" s="19">
        <v>10056</v>
      </c>
      <c r="H52" s="19">
        <v>11881</v>
      </c>
      <c r="I52" s="19">
        <v>12876</v>
      </c>
    </row>
    <row r="53" spans="1:13">
      <c r="B53" s="14" t="s">
        <v>33</v>
      </c>
      <c r="E53" s="19">
        <v>4500</v>
      </c>
      <c r="F53" s="19">
        <v>4500</v>
      </c>
      <c r="G53" s="19">
        <v>6364</v>
      </c>
      <c r="H53" s="19">
        <v>6234</v>
      </c>
      <c r="I53" s="19">
        <v>10498</v>
      </c>
      <c r="J53" s="19">
        <v>11089</v>
      </c>
      <c r="K53" s="19">
        <v>10004</v>
      </c>
      <c r="L53" s="19">
        <v>11354</v>
      </c>
      <c r="M53" s="19">
        <v>12441</v>
      </c>
    </row>
    <row r="54" spans="1:13" s="20" customFormat="1">
      <c r="A54" s="16"/>
      <c r="B54" s="14" t="s">
        <v>34</v>
      </c>
      <c r="E54" s="20">
        <f t="shared" ref="E54:K54" si="209">+SUM(E48:E53)</f>
        <v>1493578</v>
      </c>
      <c r="F54" s="20">
        <f t="shared" si="209"/>
        <v>1560422</v>
      </c>
      <c r="G54" s="20">
        <f t="shared" si="209"/>
        <v>1554620</v>
      </c>
      <c r="H54" s="20">
        <f t="shared" si="209"/>
        <v>1631659</v>
      </c>
      <c r="I54" s="20">
        <f t="shared" si="209"/>
        <v>1696800</v>
      </c>
      <c r="J54" s="20">
        <f t="shared" si="209"/>
        <v>1697675</v>
      </c>
      <c r="K54" s="20">
        <f t="shared" si="209"/>
        <v>1725827</v>
      </c>
      <c r="L54" s="20">
        <f t="shared" ref="L54:M54" si="210">+SUM(L48:L53)</f>
        <v>1722924</v>
      </c>
      <c r="M54" s="20">
        <f t="shared" si="210"/>
        <v>1742167</v>
      </c>
    </row>
    <row r="55" spans="1:13">
      <c r="B55" s="14" t="s">
        <v>35</v>
      </c>
    </row>
    <row r="56" spans="1:13">
      <c r="B56" s="14" t="s">
        <v>36</v>
      </c>
      <c r="E56" s="19">
        <v>14303</v>
      </c>
      <c r="F56" s="19">
        <v>19167</v>
      </c>
      <c r="G56" s="19">
        <v>29005</v>
      </c>
      <c r="H56" s="19">
        <v>20699</v>
      </c>
      <c r="I56" s="19">
        <v>23126</v>
      </c>
      <c r="J56" s="19">
        <v>9748</v>
      </c>
      <c r="K56" s="19">
        <v>9408</v>
      </c>
      <c r="L56" s="19">
        <v>13666</v>
      </c>
      <c r="M56" s="19">
        <v>13349</v>
      </c>
    </row>
    <row r="57" spans="1:13">
      <c r="B57" s="14" t="s">
        <v>37</v>
      </c>
      <c r="E57" s="19">
        <v>0</v>
      </c>
      <c r="F57" s="19">
        <v>17332</v>
      </c>
      <c r="G57" s="19">
        <v>11361</v>
      </c>
      <c r="H57" s="19">
        <v>20546</v>
      </c>
      <c r="I57" s="19">
        <v>26031</v>
      </c>
      <c r="J57" s="19">
        <v>3415</v>
      </c>
      <c r="K57" s="19">
        <v>5799</v>
      </c>
      <c r="L57" s="19">
        <v>0</v>
      </c>
      <c r="M57" s="19">
        <v>2503</v>
      </c>
    </row>
    <row r="58" spans="1:13">
      <c r="B58" s="14" t="s">
        <v>38</v>
      </c>
      <c r="E58" s="19">
        <v>30894</v>
      </c>
      <c r="F58" s="19">
        <v>12144</v>
      </c>
      <c r="G58" s="19">
        <v>30895</v>
      </c>
      <c r="H58" s="19">
        <v>18199</v>
      </c>
      <c r="I58" s="19">
        <v>16096</v>
      </c>
      <c r="J58" s="19">
        <v>17107</v>
      </c>
      <c r="K58" s="19">
        <v>19919</v>
      </c>
      <c r="L58" s="19">
        <v>24649</v>
      </c>
      <c r="M58" s="19">
        <v>17409</v>
      </c>
    </row>
    <row r="59" spans="1:13">
      <c r="B59" s="14" t="s">
        <v>39</v>
      </c>
      <c r="E59" s="19">
        <v>20112</v>
      </c>
      <c r="F59" s="19">
        <v>20112</v>
      </c>
      <c r="G59" s="19">
        <v>6750</v>
      </c>
      <c r="H59" s="19">
        <v>6750</v>
      </c>
      <c r="I59" s="19">
        <v>6750</v>
      </c>
      <c r="J59" s="19">
        <v>8438</v>
      </c>
      <c r="K59" s="19">
        <v>6750</v>
      </c>
      <c r="L59" s="19">
        <v>6750</v>
      </c>
      <c r="M59" s="19">
        <v>6750</v>
      </c>
    </row>
    <row r="60" spans="1:13">
      <c r="B60" s="14" t="s">
        <v>40</v>
      </c>
      <c r="E60" s="19">
        <v>0</v>
      </c>
      <c r="F60" s="19">
        <v>4157</v>
      </c>
      <c r="G60" s="19">
        <v>4157</v>
      </c>
      <c r="H60" s="19">
        <v>20786</v>
      </c>
      <c r="I60" s="19">
        <v>16557</v>
      </c>
      <c r="J60" s="19">
        <v>16380</v>
      </c>
      <c r="K60" s="19">
        <v>16352</v>
      </c>
      <c r="L60" s="19">
        <v>16184</v>
      </c>
      <c r="M60" s="19">
        <v>16184</v>
      </c>
    </row>
    <row r="61" spans="1:13" s="20" customFormat="1">
      <c r="A61" s="16"/>
      <c r="B61" s="14" t="s">
        <v>41</v>
      </c>
      <c r="E61" s="20">
        <f t="shared" ref="E61:K61" si="211">+SUM(E56:E60)</f>
        <v>65309</v>
      </c>
      <c r="F61" s="20">
        <f t="shared" si="211"/>
        <v>72912</v>
      </c>
      <c r="G61" s="20">
        <f t="shared" si="211"/>
        <v>82168</v>
      </c>
      <c r="H61" s="20">
        <f t="shared" si="211"/>
        <v>86980</v>
      </c>
      <c r="I61" s="20">
        <f t="shared" si="211"/>
        <v>88560</v>
      </c>
      <c r="J61" s="20">
        <f t="shared" si="211"/>
        <v>55088</v>
      </c>
      <c r="K61" s="20">
        <f t="shared" si="211"/>
        <v>58228</v>
      </c>
      <c r="L61" s="20">
        <f t="shared" ref="L61:M61" si="212">+SUM(L56:L60)</f>
        <v>61249</v>
      </c>
      <c r="M61" s="20">
        <f t="shared" si="212"/>
        <v>56195</v>
      </c>
    </row>
    <row r="62" spans="1:13">
      <c r="B62" s="14" t="s">
        <v>42</v>
      </c>
      <c r="E62" s="19">
        <v>742371</v>
      </c>
      <c r="F62" s="19">
        <v>738090</v>
      </c>
      <c r="G62" s="19">
        <v>658315</v>
      </c>
      <c r="H62" s="19">
        <v>656989</v>
      </c>
      <c r="I62" s="19">
        <v>655662</v>
      </c>
      <c r="J62" s="19">
        <v>654333</v>
      </c>
      <c r="K62" s="19">
        <v>653006</v>
      </c>
      <c r="L62" s="19">
        <v>651678</v>
      </c>
      <c r="M62" s="19">
        <v>650350</v>
      </c>
    </row>
    <row r="63" spans="1:13">
      <c r="B63" s="14" t="s">
        <v>43</v>
      </c>
      <c r="E63" s="19">
        <v>0</v>
      </c>
      <c r="F63" s="19">
        <v>0</v>
      </c>
      <c r="G63" s="19">
        <v>0</v>
      </c>
      <c r="H63" s="19">
        <v>0</v>
      </c>
      <c r="I63" s="19">
        <v>0</v>
      </c>
      <c r="J63" s="19">
        <v>1622</v>
      </c>
      <c r="K63" s="19">
        <v>2301</v>
      </c>
      <c r="L63" s="19">
        <v>2754</v>
      </c>
      <c r="M63" s="19">
        <v>4068</v>
      </c>
    </row>
    <row r="64" spans="1:13">
      <c r="B64" s="14" t="s">
        <v>44</v>
      </c>
      <c r="E64" s="19">
        <v>232893</v>
      </c>
      <c r="F64" s="19">
        <v>225122</v>
      </c>
      <c r="G64" s="19">
        <v>225122</v>
      </c>
      <c r="H64" s="19">
        <v>208493</v>
      </c>
      <c r="I64" s="19">
        <v>208582</v>
      </c>
      <c r="J64" s="19">
        <v>205675</v>
      </c>
      <c r="K64" s="19">
        <v>205675</v>
      </c>
      <c r="L64" s="19">
        <v>189391</v>
      </c>
      <c r="M64" s="19">
        <v>189391</v>
      </c>
    </row>
    <row r="65" spans="1:13">
      <c r="B65" s="14" t="s">
        <v>146</v>
      </c>
      <c r="M65" s="19">
        <v>1768</v>
      </c>
    </row>
    <row r="66" spans="1:13" s="20" customFormat="1">
      <c r="A66" s="16"/>
      <c r="B66" s="14" t="s">
        <v>45</v>
      </c>
      <c r="E66" s="20">
        <f t="shared" ref="E66:K66" si="213">+SUM(E61:E64)</f>
        <v>1040573</v>
      </c>
      <c r="F66" s="20">
        <f t="shared" si="213"/>
        <v>1036124</v>
      </c>
      <c r="G66" s="20">
        <f t="shared" si="213"/>
        <v>965605</v>
      </c>
      <c r="H66" s="20">
        <f t="shared" si="213"/>
        <v>952462</v>
      </c>
      <c r="I66" s="20">
        <f t="shared" si="213"/>
        <v>952804</v>
      </c>
      <c r="J66" s="20">
        <f t="shared" si="213"/>
        <v>916718</v>
      </c>
      <c r="K66" s="20">
        <f t="shared" si="213"/>
        <v>919210</v>
      </c>
      <c r="L66" s="20">
        <f t="shared" ref="L66" si="214">+SUM(L61:L64)</f>
        <v>905072</v>
      </c>
      <c r="M66" s="20">
        <f>+SUM(M61:M65)</f>
        <v>901772</v>
      </c>
    </row>
    <row r="67" spans="1:13">
      <c r="B67" s="14" t="s">
        <v>46</v>
      </c>
      <c r="E67" s="19">
        <v>453005</v>
      </c>
      <c r="F67" s="19">
        <v>524298</v>
      </c>
      <c r="G67" s="19">
        <v>589015</v>
      </c>
      <c r="H67" s="19">
        <v>679197</v>
      </c>
      <c r="I67" s="19">
        <v>743996</v>
      </c>
      <c r="J67" s="19">
        <v>780957</v>
      </c>
      <c r="K67" s="19">
        <v>806617</v>
      </c>
      <c r="L67" s="19">
        <v>817852</v>
      </c>
      <c r="M67" s="19">
        <v>840395</v>
      </c>
    </row>
    <row r="68" spans="1:13" s="20" customFormat="1">
      <c r="A68" s="16"/>
      <c r="B68" s="14" t="s">
        <v>47</v>
      </c>
      <c r="E68" s="20">
        <f t="shared" ref="E68:K68" si="215">+SUM(E66:E67)</f>
        <v>1493578</v>
      </c>
      <c r="F68" s="20">
        <f t="shared" si="215"/>
        <v>1560422</v>
      </c>
      <c r="G68" s="20">
        <f t="shared" si="215"/>
        <v>1554620</v>
      </c>
      <c r="H68" s="20">
        <f t="shared" si="215"/>
        <v>1631659</v>
      </c>
      <c r="I68" s="20">
        <f t="shared" si="215"/>
        <v>1696800</v>
      </c>
      <c r="J68" s="20">
        <f t="shared" si="215"/>
        <v>1697675</v>
      </c>
      <c r="K68" s="20">
        <f t="shared" si="215"/>
        <v>1725827</v>
      </c>
      <c r="L68" s="20">
        <f t="shared" ref="L68:M68" si="216">+SUM(L66:L67)</f>
        <v>1722924</v>
      </c>
      <c r="M68" s="20">
        <f t="shared" si="216"/>
        <v>1742167</v>
      </c>
    </row>
    <row r="69" spans="1:13">
      <c r="B69" s="14" t="s">
        <v>35</v>
      </c>
      <c r="E69" s="19" t="b">
        <f t="shared" ref="E69:J69" si="217">E54=E68</f>
        <v>1</v>
      </c>
      <c r="F69" s="19" t="b">
        <f t="shared" si="217"/>
        <v>1</v>
      </c>
      <c r="G69" s="19" t="b">
        <f t="shared" si="217"/>
        <v>1</v>
      </c>
      <c r="H69" s="19" t="b">
        <f t="shared" si="217"/>
        <v>1</v>
      </c>
      <c r="I69" s="19" t="b">
        <f t="shared" si="217"/>
        <v>1</v>
      </c>
      <c r="J69" s="19" t="b">
        <f t="shared" si="217"/>
        <v>1</v>
      </c>
      <c r="K69" s="19" t="b">
        <f>K54=K68</f>
        <v>1</v>
      </c>
      <c r="L69" s="19" t="b">
        <f>L54=L68</f>
        <v>1</v>
      </c>
      <c r="M69" s="19" t="b">
        <f>M54=M68</f>
        <v>1</v>
      </c>
    </row>
    <row r="70" spans="1:13">
      <c r="B70" s="14" t="s">
        <v>48</v>
      </c>
    </row>
    <row r="71" spans="1:13">
      <c r="B71" s="14" t="s">
        <v>49</v>
      </c>
      <c r="E71" s="19">
        <f t="shared" ref="E71:J71" si="218">+E62+E59</f>
        <v>762483</v>
      </c>
      <c r="F71" s="19">
        <f t="shared" si="218"/>
        <v>758202</v>
      </c>
      <c r="G71" s="19">
        <f t="shared" si="218"/>
        <v>665065</v>
      </c>
      <c r="H71" s="19">
        <f t="shared" si="218"/>
        <v>663739</v>
      </c>
      <c r="I71" s="19">
        <f t="shared" si="218"/>
        <v>662412</v>
      </c>
      <c r="J71" s="19">
        <f t="shared" si="218"/>
        <v>662771</v>
      </c>
      <c r="K71" s="19">
        <f>+K62+K59</f>
        <v>659756</v>
      </c>
      <c r="L71" s="19">
        <f>+L62+L59</f>
        <v>658428</v>
      </c>
      <c r="M71" s="19">
        <f>+M62+M59</f>
        <v>657100</v>
      </c>
    </row>
    <row r="72" spans="1:13">
      <c r="B72" s="14" t="s">
        <v>50</v>
      </c>
      <c r="E72" s="19">
        <f t="shared" ref="E72:J72" si="219">+E71-E44</f>
        <v>641004</v>
      </c>
      <c r="F72" s="19">
        <f t="shared" si="219"/>
        <v>571814</v>
      </c>
      <c r="G72" s="19">
        <f t="shared" si="219"/>
        <v>521718</v>
      </c>
      <c r="H72" s="19">
        <f t="shared" si="219"/>
        <v>465711</v>
      </c>
      <c r="I72" s="19">
        <f t="shared" si="219"/>
        <v>413013</v>
      </c>
      <c r="J72" s="19">
        <f t="shared" si="219"/>
        <v>339963</v>
      </c>
      <c r="K72" s="19">
        <f>+K71-K44</f>
        <v>290416</v>
      </c>
      <c r="L72" s="19">
        <f>+L71-L44</f>
        <v>280010</v>
      </c>
      <c r="M72" s="19">
        <f>+M71-M44</f>
        <v>227514</v>
      </c>
    </row>
    <row r="73" spans="1:13">
      <c r="B73" s="14" t="s">
        <v>51</v>
      </c>
      <c r="E73" s="24">
        <f t="shared" ref="E73:J73" si="220">+E72/E23</f>
        <v>1.6406057598744233</v>
      </c>
      <c r="F73" s="24">
        <f t="shared" si="220"/>
        <v>0.2349678812744051</v>
      </c>
      <c r="G73" s="24">
        <f t="shared" si="220"/>
        <v>0.75281690883358499</v>
      </c>
      <c r="H73" s="24">
        <f t="shared" si="220"/>
        <v>0.67361083002469058</v>
      </c>
      <c r="I73" s="24">
        <f t="shared" si="220"/>
        <v>0.59748054522084182</v>
      </c>
      <c r="J73" s="24">
        <f t="shared" si="220"/>
        <v>0.49518841181506118</v>
      </c>
      <c r="K73" s="24">
        <f>+K72/K23</f>
        <v>0.42490460312569001</v>
      </c>
      <c r="L73" s="24">
        <f>+L72/L23</f>
        <v>0.41156808305375425</v>
      </c>
      <c r="M73" s="24">
        <f>+M72/M23</f>
        <v>0.33519161954064275</v>
      </c>
    </row>
    <row r="74" spans="1:13">
      <c r="B74" s="14" t="s">
        <v>52</v>
      </c>
      <c r="E74" s="30">
        <f t="shared" ref="E74:J74" si="221">(E71/(E71+E67))</f>
        <v>0.62730606966090985</v>
      </c>
      <c r="F74" s="30">
        <f t="shared" si="221"/>
        <v>0.59119064327485382</v>
      </c>
      <c r="G74" s="30">
        <f t="shared" si="221"/>
        <v>0.53032103215105897</v>
      </c>
      <c r="H74" s="30">
        <f t="shared" si="221"/>
        <v>0.49424469967295537</v>
      </c>
      <c r="I74" s="30">
        <f t="shared" si="221"/>
        <v>0.47099561435941772</v>
      </c>
      <c r="J74" s="30">
        <f t="shared" si="221"/>
        <v>0.45906915984174307</v>
      </c>
      <c r="K74" s="30">
        <f>(K71/(K71+K67))</f>
        <v>0.44992372336370079</v>
      </c>
      <c r="L74" s="30">
        <f>(L71/(L71+L67))</f>
        <v>0.44600482293331889</v>
      </c>
      <c r="M74" s="30">
        <f>(M71/(M71+M67))</f>
        <v>0.43879946176781892</v>
      </c>
    </row>
    <row r="75" spans="1:13">
      <c r="B75" s="14" t="s">
        <v>53</v>
      </c>
      <c r="E75" s="19">
        <f t="shared" ref="E75:J75" si="222">+E48/E61</f>
        <v>3.9509409116660796</v>
      </c>
      <c r="F75" s="19">
        <f t="shared" si="222"/>
        <v>4.5971445029624753</v>
      </c>
      <c r="G75" s="19">
        <f t="shared" si="222"/>
        <v>4.1126472592736834</v>
      </c>
      <c r="H75" s="19">
        <f t="shared" si="222"/>
        <v>4.8914003219130837</v>
      </c>
      <c r="I75" s="19">
        <f t="shared" si="222"/>
        <v>5.6147809394760611</v>
      </c>
      <c r="J75" s="19">
        <f t="shared" si="222"/>
        <v>9.4798141155968629</v>
      </c>
      <c r="K75" s="19">
        <f>+K48/K61</f>
        <v>9.6780758398021565</v>
      </c>
      <c r="L75" s="19">
        <f>+L48/L61</f>
        <v>9.3164459827915564</v>
      </c>
      <c r="M75" s="19">
        <f>+M48/M61</f>
        <v>10.688531008096806</v>
      </c>
    </row>
    <row r="76" spans="1:13">
      <c r="B76" s="14" t="s">
        <v>54</v>
      </c>
      <c r="E76" s="19">
        <f t="shared" ref="E76:J76" si="223">+E48-E61</f>
        <v>192723</v>
      </c>
      <c r="F76" s="19">
        <f t="shared" si="223"/>
        <v>262275</v>
      </c>
      <c r="G76" s="19">
        <f t="shared" si="223"/>
        <v>255760</v>
      </c>
      <c r="H76" s="19">
        <f t="shared" si="223"/>
        <v>338474</v>
      </c>
      <c r="I76" s="19">
        <f t="shared" si="223"/>
        <v>408685</v>
      </c>
      <c r="J76" s="19">
        <f t="shared" si="223"/>
        <v>467136</v>
      </c>
      <c r="K76" s="19">
        <f>+K48-K61</f>
        <v>505307</v>
      </c>
      <c r="L76" s="19">
        <f>+L48-L61</f>
        <v>509374</v>
      </c>
      <c r="M76" s="19">
        <f>+M48-M61</f>
        <v>544447</v>
      </c>
    </row>
    <row r="77" spans="1:13">
      <c r="B77" s="14" t="s">
        <v>55</v>
      </c>
      <c r="E77" s="19">
        <f t="shared" ref="E77:J77" si="224">(E48-E44)-(E61-E59)</f>
        <v>91356</v>
      </c>
      <c r="F77" s="19">
        <f t="shared" si="224"/>
        <v>95999</v>
      </c>
      <c r="G77" s="19">
        <f t="shared" si="224"/>
        <v>119163</v>
      </c>
      <c r="H77" s="19">
        <f t="shared" si="224"/>
        <v>147196</v>
      </c>
      <c r="I77" s="19">
        <f t="shared" si="224"/>
        <v>166036</v>
      </c>
      <c r="J77" s="19">
        <f t="shared" si="224"/>
        <v>152766</v>
      </c>
      <c r="K77" s="19">
        <f>(K48-K44)-(K61-K59)</f>
        <v>142717</v>
      </c>
      <c r="L77" s="19">
        <f>(L48-L44)-(L61-L59)</f>
        <v>137706</v>
      </c>
      <c r="M77" s="19">
        <f>(M48-M44)-(M61-M59)</f>
        <v>121611</v>
      </c>
    </row>
    <row r="78" spans="1:13">
      <c r="B78" s="14" t="s">
        <v>35</v>
      </c>
    </row>
    <row r="79" spans="1:13">
      <c r="B79" s="14" t="s">
        <v>56</v>
      </c>
    </row>
    <row r="80" spans="1:13">
      <c r="B80" s="14" t="s">
        <v>57</v>
      </c>
      <c r="E80" s="28"/>
      <c r="F80" s="28">
        <f t="shared" ref="F80:M80" si="225">ABS(SUM(C18:F18))/F71</f>
        <v>8.0648692564778246E-2</v>
      </c>
      <c r="G80" s="28">
        <f t="shared" si="225"/>
        <v>8.5865291362498403E-2</v>
      </c>
      <c r="H80" s="28">
        <f t="shared" si="225"/>
        <v>7.5687883339686235E-2</v>
      </c>
      <c r="I80" s="28">
        <f t="shared" si="225"/>
        <v>6.9064268159393247E-2</v>
      </c>
      <c r="J80" s="28">
        <f t="shared" si="225"/>
        <v>6.2130056988009434E-2</v>
      </c>
      <c r="K80" s="28">
        <f t="shared" si="225"/>
        <v>6.102407556733095E-2</v>
      </c>
      <c r="L80" s="28">
        <f t="shared" si="225"/>
        <v>6.3443535208101726E-2</v>
      </c>
      <c r="M80" s="28">
        <f t="shared" si="225"/>
        <v>6.2066656521077464E-2</v>
      </c>
    </row>
    <row r="81" spans="2:21">
      <c r="B81" s="14" t="s">
        <v>58</v>
      </c>
      <c r="F81" s="19">
        <f t="shared" ref="F81:M81" si="226">F45/((SUM(C9:F9)/365))</f>
        <v>24.87500940061668</v>
      </c>
      <c r="G81" s="19">
        <f t="shared" si="226"/>
        <v>37.743134436305034</v>
      </c>
      <c r="H81" s="19">
        <f t="shared" si="226"/>
        <v>40.940520200049363</v>
      </c>
      <c r="I81" s="19">
        <f t="shared" si="226"/>
        <v>46.009518262930527</v>
      </c>
      <c r="J81" s="19">
        <f t="shared" si="226"/>
        <v>23.954171245850336</v>
      </c>
      <c r="K81" s="19">
        <f t="shared" si="226"/>
        <v>26.292546667405219</v>
      </c>
      <c r="L81" s="19">
        <f t="shared" si="226"/>
        <v>34.625926296154489</v>
      </c>
      <c r="M81" s="19">
        <f t="shared" si="226"/>
        <v>39.670189229505723</v>
      </c>
    </row>
    <row r="82" spans="2:21">
      <c r="B82" s="14" t="s">
        <v>59</v>
      </c>
      <c r="F82" s="30">
        <f t="shared" ref="F82:I82" si="227">SUM(C12:F12)/AVERAGE(E46:F46)</f>
        <v>1.4871960211837336</v>
      </c>
      <c r="G82" s="30">
        <f t="shared" si="227"/>
        <v>1.3434937693982489</v>
      </c>
      <c r="H82" s="30">
        <f t="shared" si="227"/>
        <v>1.3025559861435991</v>
      </c>
      <c r="I82" s="30">
        <f t="shared" si="227"/>
        <v>1.237144160302333</v>
      </c>
      <c r="J82" s="30">
        <f>SUM(G12:J12)/AVERAGE(I46:J46)</f>
        <v>1.2493473291219717</v>
      </c>
      <c r="K82" s="30">
        <f>SUM(H12:K12)/AVERAGE(J46:K46)</f>
        <v>1.2495125506893021</v>
      </c>
      <c r="L82" s="30">
        <f>SUM(I12:L12)/AVERAGE(K46:L46)</f>
        <v>1.1513685931760345</v>
      </c>
      <c r="M82" s="30">
        <f>SUM(J12:M12)/AVERAGE(L46:M46)</f>
        <v>1.1883732400495708</v>
      </c>
    </row>
    <row r="83" spans="2:21">
      <c r="B83" s="14" t="s">
        <v>60</v>
      </c>
      <c r="F83" s="30">
        <f>365/F82</f>
        <v>245.4283058863204</v>
      </c>
      <c r="G83" s="30">
        <f t="shared" ref="G83:K83" si="228">365/G82</f>
        <v>271.67971174401765</v>
      </c>
      <c r="H83" s="30">
        <f t="shared" si="228"/>
        <v>280.21828150407111</v>
      </c>
      <c r="I83" s="30">
        <f t="shared" si="228"/>
        <v>295.03433125433128</v>
      </c>
      <c r="J83" s="30">
        <f t="shared" si="228"/>
        <v>292.15254356570182</v>
      </c>
      <c r="K83" s="30">
        <f t="shared" si="228"/>
        <v>292.113912580266</v>
      </c>
      <c r="L83" s="30">
        <f t="shared" ref="L83" si="229">365/L82</f>
        <v>317.01403196447501</v>
      </c>
      <c r="M83" s="30">
        <f>365/M82</f>
        <v>307.14256068638394</v>
      </c>
    </row>
    <row r="84" spans="2:21">
      <c r="B84" s="14" t="s">
        <v>61</v>
      </c>
      <c r="F84" s="19">
        <f t="shared" ref="F84:J84" si="230">F56/((SUM(C12:F12)/365))</f>
        <v>56.173008519145995</v>
      </c>
      <c r="G84" s="19">
        <f t="shared" si="230"/>
        <v>73.007551203365281</v>
      </c>
      <c r="H84" s="19">
        <f t="shared" si="230"/>
        <v>45.000238249816846</v>
      </c>
      <c r="I84" s="19">
        <f t="shared" si="230"/>
        <v>46.796895356895355</v>
      </c>
      <c r="J84" s="19">
        <f t="shared" si="230"/>
        <v>19.261589099236144</v>
      </c>
      <c r="K84" s="19">
        <f>K56/((SUM(H12:K12)/365))</f>
        <v>19.882923100974484</v>
      </c>
      <c r="L84" s="19">
        <f>L56/((SUM(I12:L12)/365))</f>
        <v>33.258589535868353</v>
      </c>
      <c r="M84" s="19">
        <f>M56/((SUM(J12:M12)/365))</f>
        <v>33.987060546875</v>
      </c>
    </row>
    <row r="85" spans="2:21">
      <c r="B85" s="14" t="s">
        <v>35</v>
      </c>
    </row>
    <row r="86" spans="2:21">
      <c r="B86" s="14" t="s">
        <v>35</v>
      </c>
    </row>
    <row r="87" spans="2:21">
      <c r="B87" s="14" t="s">
        <v>62</v>
      </c>
      <c r="C87" s="19">
        <v>45531</v>
      </c>
      <c r="D87" s="19">
        <f>94882-C87</f>
        <v>49351</v>
      </c>
      <c r="E87" s="19">
        <f>151473-SUM(C87:D87)</f>
        <v>56591</v>
      </c>
      <c r="F87" s="19">
        <f>+T87-SUM(C87:E87)</f>
        <v>110101</v>
      </c>
      <c r="G87" s="19">
        <v>61961</v>
      </c>
      <c r="H87" s="19">
        <f>149676-G87</f>
        <v>87715</v>
      </c>
      <c r="I87" s="19">
        <f>210439-SUM(G87:H87)</f>
        <v>60763</v>
      </c>
      <c r="J87" s="19">
        <f>+U87-SUM(G87:I87)</f>
        <v>74915</v>
      </c>
      <c r="K87" s="19">
        <f>+K22</f>
        <v>31287</v>
      </c>
      <c r="L87" s="19">
        <f>27120-K87</f>
        <v>-4167</v>
      </c>
      <c r="S87" s="19">
        <f t="shared" ref="S87:T87" si="231">+S22</f>
        <v>95602</v>
      </c>
      <c r="T87" s="19">
        <f t="shared" si="231"/>
        <v>261574</v>
      </c>
      <c r="U87" s="19">
        <f>+U22</f>
        <v>285354</v>
      </c>
    </row>
    <row r="88" spans="2:21">
      <c r="B88" s="14" t="s">
        <v>63</v>
      </c>
      <c r="C88" s="19">
        <v>2451</v>
      </c>
      <c r="D88" s="19">
        <f>4719-C88</f>
        <v>2268</v>
      </c>
      <c r="E88" s="19">
        <f>6399-SUM(C88:D88)</f>
        <v>1680</v>
      </c>
      <c r="F88" s="19">
        <f>+T88-SUM(C88:E88)</f>
        <v>1590</v>
      </c>
      <c r="G88" s="19">
        <v>1769</v>
      </c>
      <c r="H88" s="19">
        <f>3949-G88</f>
        <v>2180</v>
      </c>
      <c r="I88" s="19">
        <f>5091-SUM(G88:H88)</f>
        <v>1142</v>
      </c>
      <c r="J88" s="19">
        <f>+U88-SUM(G88:I88)</f>
        <v>2409</v>
      </c>
      <c r="K88" s="19">
        <v>1742</v>
      </c>
      <c r="L88" s="19">
        <f>3706-K88</f>
        <v>1964</v>
      </c>
      <c r="S88" s="19">
        <v>6052</v>
      </c>
      <c r="T88" s="19">
        <v>7989</v>
      </c>
      <c r="U88" s="19">
        <v>7500</v>
      </c>
    </row>
    <row r="89" spans="2:21">
      <c r="B89" s="14" t="s">
        <v>64</v>
      </c>
      <c r="C89" s="19">
        <v>10182</v>
      </c>
      <c r="D89" s="19">
        <f>20365-C89</f>
        <v>10183</v>
      </c>
      <c r="E89" s="19">
        <f>30547-SUM(C89:D89)</f>
        <v>10182</v>
      </c>
      <c r="F89" s="19">
        <f>+T89-SUM(C89:E89)</f>
        <v>10243</v>
      </c>
      <c r="G89" s="19">
        <v>10266</v>
      </c>
      <c r="H89" s="19">
        <f>20561-G89</f>
        <v>10295</v>
      </c>
      <c r="I89" s="19">
        <f>30890-SUM(G89:H89)</f>
        <v>10329</v>
      </c>
      <c r="J89" s="19">
        <f>+U89-SUM(G89:I89)</f>
        <v>10392</v>
      </c>
      <c r="K89" s="19">
        <v>10323</v>
      </c>
      <c r="L89" s="19">
        <f>20647-K89</f>
        <v>10324</v>
      </c>
      <c r="S89" s="19">
        <v>39825</v>
      </c>
      <c r="T89" s="19">
        <v>40790</v>
      </c>
      <c r="U89" s="19">
        <v>41282</v>
      </c>
    </row>
    <row r="90" spans="2:21">
      <c r="B90" s="14" t="s">
        <v>88</v>
      </c>
      <c r="C90" s="19">
        <v>0</v>
      </c>
      <c r="D90" s="19">
        <f>0-C90</f>
        <v>0</v>
      </c>
      <c r="E90" s="19">
        <f>0-SUM(C90:D90)</f>
        <v>0</v>
      </c>
      <c r="F90" s="19">
        <f>+T90-SUM(C90:E90)</f>
        <v>0</v>
      </c>
      <c r="G90" s="19">
        <v>4324</v>
      </c>
      <c r="H90" s="19">
        <f>4324-G90</f>
        <v>0</v>
      </c>
      <c r="I90" s="19">
        <f>5958-SUM(G90:H90)</f>
        <v>1634</v>
      </c>
      <c r="J90" s="19">
        <f>+U90-SUM(G90:I90)</f>
        <v>2222</v>
      </c>
      <c r="K90" s="19">
        <v>2610</v>
      </c>
      <c r="L90" s="19">
        <f>6167-K90</f>
        <v>3557</v>
      </c>
      <c r="S90" s="19">
        <v>0</v>
      </c>
      <c r="T90" s="19">
        <v>0</v>
      </c>
      <c r="U90" s="19">
        <v>8180</v>
      </c>
    </row>
    <row r="91" spans="2:21">
      <c r="B91" s="14" t="s">
        <v>89</v>
      </c>
      <c r="C91" s="19">
        <v>0</v>
      </c>
      <c r="D91" s="19">
        <f>0-C91</f>
        <v>0</v>
      </c>
      <c r="E91" s="19">
        <f>87-SUM(C91:D91)</f>
        <v>87</v>
      </c>
      <c r="F91" s="19">
        <f>+T91-SUM(C91:E91)</f>
        <v>75</v>
      </c>
      <c r="G91" s="19">
        <v>75</v>
      </c>
      <c r="H91" s="19">
        <f>152-G91</f>
        <v>77</v>
      </c>
      <c r="I91" s="19">
        <f>233-SUM(G91:H91)</f>
        <v>81</v>
      </c>
      <c r="J91" s="19">
        <f>+U91-SUM(G91:I91)</f>
        <v>130</v>
      </c>
      <c r="K91" s="19">
        <v>116</v>
      </c>
      <c r="L91" s="19">
        <f>230-K91</f>
        <v>114</v>
      </c>
      <c r="S91" s="19">
        <v>0</v>
      </c>
      <c r="T91" s="19">
        <v>162</v>
      </c>
      <c r="U91" s="19">
        <v>363</v>
      </c>
    </row>
    <row r="92" spans="2:21">
      <c r="B92" s="14" t="s">
        <v>112</v>
      </c>
      <c r="F92" s="19">
        <f>+T92-SUM(C92:E92)</f>
        <v>0</v>
      </c>
      <c r="J92" s="19">
        <f>+U92-SUM(G92:I92)</f>
        <v>0</v>
      </c>
      <c r="L92" s="19">
        <v>0</v>
      </c>
      <c r="S92" s="19">
        <v>44721</v>
      </c>
      <c r="T92" s="19">
        <v>0</v>
      </c>
      <c r="U92" s="19">
        <v>0</v>
      </c>
    </row>
    <row r="93" spans="2:21">
      <c r="B93" s="14" t="s">
        <v>90</v>
      </c>
      <c r="C93" s="19">
        <v>690</v>
      </c>
      <c r="D93" s="19">
        <f>1380-C93</f>
        <v>690</v>
      </c>
      <c r="E93" s="19">
        <f>2084-SUM(C93:D93)</f>
        <v>704</v>
      </c>
      <c r="F93" s="19">
        <f>+T93-SUM(C93:E93)</f>
        <v>746</v>
      </c>
      <c r="G93" s="19">
        <v>146</v>
      </c>
      <c r="H93" s="19">
        <f>636-G93</f>
        <v>490</v>
      </c>
      <c r="I93" s="19">
        <f>2955-SUM(G93:H93)</f>
        <v>2319</v>
      </c>
      <c r="J93" s="19">
        <f>+U93-SUM(G93:I93)</f>
        <v>-1412</v>
      </c>
      <c r="K93" s="19">
        <v>453</v>
      </c>
      <c r="L93" s="19">
        <f>906-K93</f>
        <v>453</v>
      </c>
      <c r="S93" s="19">
        <v>1752</v>
      </c>
      <c r="T93" s="19">
        <v>2830</v>
      </c>
      <c r="U93" s="19">
        <v>1543</v>
      </c>
    </row>
    <row r="94" spans="2:21">
      <c r="B94" s="14" t="s">
        <v>91</v>
      </c>
      <c r="C94" s="19">
        <v>1937</v>
      </c>
      <c r="D94" s="19">
        <f>1331-C94</f>
        <v>-606</v>
      </c>
      <c r="E94" s="19">
        <f>3852-SUM(C94:D94)</f>
        <v>2521</v>
      </c>
      <c r="F94" s="19">
        <f>+T94-SUM(C94:E94)</f>
        <v>-1366</v>
      </c>
      <c r="G94" s="19">
        <v>-1712</v>
      </c>
      <c r="H94" s="19">
        <f>+-3537-G94</f>
        <v>-1825</v>
      </c>
      <c r="I94" s="19">
        <f>+-4532-SUM(G94:H94)</f>
        <v>-995</v>
      </c>
      <c r="J94" s="19">
        <f>+U94-SUM(G94:I94)</f>
        <v>13711</v>
      </c>
      <c r="K94" s="19">
        <v>847</v>
      </c>
      <c r="L94" s="19">
        <f>1240-K94</f>
        <v>393</v>
      </c>
      <c r="S94" s="19">
        <v>-4428</v>
      </c>
      <c r="T94" s="19">
        <v>2486</v>
      </c>
      <c r="U94" s="19">
        <v>9179</v>
      </c>
    </row>
    <row r="95" spans="2:21">
      <c r="B95" s="14" t="s">
        <v>113</v>
      </c>
      <c r="F95" s="19">
        <f>+T95-SUM(C95:E95)</f>
        <v>-3615</v>
      </c>
      <c r="J95" s="19">
        <f>+U95-SUM(G95:I95)</f>
        <v>-3084</v>
      </c>
      <c r="L95" s="19">
        <f>0-K95</f>
        <v>0</v>
      </c>
      <c r="S95" s="19">
        <v>0</v>
      </c>
      <c r="T95" s="19">
        <v>-3615</v>
      </c>
      <c r="U95" s="19">
        <v>-3084</v>
      </c>
    </row>
    <row r="96" spans="2:21">
      <c r="B96" s="14" t="s">
        <v>92</v>
      </c>
      <c r="C96" s="19">
        <v>627</v>
      </c>
      <c r="D96" s="19">
        <f>1174-C96</f>
        <v>547</v>
      </c>
      <c r="E96" s="19">
        <f>3119-SUM(C96:D96)</f>
        <v>1945</v>
      </c>
      <c r="F96" s="19">
        <f>+T96-SUM(C96:E96)</f>
        <v>844</v>
      </c>
      <c r="G96" s="19">
        <v>1696</v>
      </c>
      <c r="H96" s="19">
        <f>3423-G96</f>
        <v>1727</v>
      </c>
      <c r="I96" s="19">
        <f>5454-SUM(G96:H96)</f>
        <v>2031</v>
      </c>
      <c r="J96" s="19">
        <f>+U96-SUM(G96:I96)</f>
        <v>1821</v>
      </c>
      <c r="K96" s="19">
        <v>2018</v>
      </c>
      <c r="L96" s="19">
        <f>4652-K96</f>
        <v>2634</v>
      </c>
      <c r="S96" s="19">
        <v>1527</v>
      </c>
      <c r="T96" s="19">
        <v>3963</v>
      </c>
      <c r="U96" s="19">
        <v>7275</v>
      </c>
    </row>
    <row r="97" spans="1:21">
      <c r="B97" s="14" t="s">
        <v>93</v>
      </c>
      <c r="C97" s="19">
        <v>0</v>
      </c>
      <c r="D97" s="19">
        <f>0-C97</f>
        <v>0</v>
      </c>
      <c r="E97" s="19">
        <f>0-SUM(C97:D97)</f>
        <v>0</v>
      </c>
      <c r="F97" s="19">
        <f>+T97-SUM(C97:E97)</f>
        <v>0</v>
      </c>
      <c r="G97" s="19">
        <v>18803</v>
      </c>
      <c r="H97" s="19">
        <f>18803-G97</f>
        <v>0</v>
      </c>
      <c r="I97" s="19">
        <f>18803-SUM(G97:H97)</f>
        <v>0</v>
      </c>
      <c r="J97" s="19">
        <f>+U97-SUM(G97:I97)</f>
        <v>0</v>
      </c>
      <c r="K97" s="19">
        <v>0</v>
      </c>
      <c r="L97" s="19">
        <f>0-K97</f>
        <v>0</v>
      </c>
      <c r="S97" s="19">
        <v>0</v>
      </c>
      <c r="T97" s="19">
        <v>0</v>
      </c>
      <c r="U97" s="19">
        <v>18803</v>
      </c>
    </row>
    <row r="98" spans="1:21">
      <c r="B98" s="14" t="s">
        <v>94</v>
      </c>
      <c r="C98" s="19">
        <v>0</v>
      </c>
      <c r="D98" s="19">
        <f>0-C98</f>
        <v>0</v>
      </c>
      <c r="E98" s="19">
        <f>0-SUM(C98:D98)</f>
        <v>0</v>
      </c>
      <c r="F98" s="19">
        <f>+T98-SUM(C98:E98)</f>
        <v>0</v>
      </c>
      <c r="G98" s="19">
        <v>0</v>
      </c>
      <c r="H98" s="19">
        <f>0-G98</f>
        <v>0</v>
      </c>
      <c r="I98" s="19">
        <f>147-SUM(G98:H98)</f>
        <v>147</v>
      </c>
      <c r="J98" s="19">
        <f>+U98-SUM(G98:I98)</f>
        <v>265</v>
      </c>
      <c r="K98" s="19">
        <v>265</v>
      </c>
      <c r="L98" s="19">
        <f>530-K98</f>
        <v>265</v>
      </c>
      <c r="S98" s="19">
        <v>0</v>
      </c>
      <c r="T98" s="19">
        <v>0</v>
      </c>
      <c r="U98" s="19">
        <v>412</v>
      </c>
    </row>
    <row r="99" spans="1:21">
      <c r="B99" s="14" t="s">
        <v>25</v>
      </c>
      <c r="C99" s="19">
        <v>-20394</v>
      </c>
      <c r="D99" s="19">
        <f>+-28715-C99</f>
        <v>-8321</v>
      </c>
      <c r="E99" s="19">
        <f>+-44906-SUM(C99:D99)</f>
        <v>-16191</v>
      </c>
      <c r="F99" s="19">
        <f>+T99-SUM(C99:E99)</f>
        <v>18504</v>
      </c>
      <c r="G99" s="19">
        <v>-28135</v>
      </c>
      <c r="H99" s="19">
        <f>+-40566-G99</f>
        <v>-12431</v>
      </c>
      <c r="I99" s="19">
        <f>+-52507-SUM(G99:H99)</f>
        <v>-11941</v>
      </c>
      <c r="J99" s="19">
        <f>+U99-SUM(G99:I99)</f>
        <v>47066</v>
      </c>
      <c r="K99" s="19">
        <v>704</v>
      </c>
      <c r="L99" s="19">
        <f>+-4078-K99</f>
        <v>-4782</v>
      </c>
      <c r="S99" s="19">
        <v>-7118</v>
      </c>
      <c r="T99" s="19">
        <v>-26402</v>
      </c>
      <c r="U99" s="19">
        <v>-5441</v>
      </c>
    </row>
    <row r="100" spans="1:21">
      <c r="B100" s="14" t="s">
        <v>26</v>
      </c>
      <c r="C100" s="19">
        <v>-8865</v>
      </c>
      <c r="D100" s="19">
        <f>+-23777-C100</f>
        <v>-14912</v>
      </c>
      <c r="E100" s="19">
        <f>+-35090-SUM(C100:D100)</f>
        <v>-11313</v>
      </c>
      <c r="F100" s="19">
        <f>+T100-SUM(C100:E100)</f>
        <v>-28634</v>
      </c>
      <c r="G100" s="19">
        <v>-22899</v>
      </c>
      <c r="H100" s="19">
        <f>+-45657-G100</f>
        <v>-22758</v>
      </c>
      <c r="I100" s="19">
        <f>+-57132-SUM(G100:H100)</f>
        <v>-11475</v>
      </c>
      <c r="J100" s="19">
        <f>+U100-SUM(G100:I100)</f>
        <v>4492</v>
      </c>
      <c r="K100" s="19">
        <v>10407</v>
      </c>
      <c r="L100" s="19">
        <f>10657-K100</f>
        <v>250</v>
      </c>
      <c r="S100" s="19">
        <v>-14242</v>
      </c>
      <c r="T100" s="19">
        <v>-63724</v>
      </c>
      <c r="U100" s="19">
        <v>-52640</v>
      </c>
    </row>
    <row r="101" spans="1:21">
      <c r="B101" s="14" t="s">
        <v>27</v>
      </c>
      <c r="C101" s="19">
        <v>-2633</v>
      </c>
      <c r="D101" s="19">
        <f>-3421-C101</f>
        <v>-788</v>
      </c>
      <c r="E101" s="19">
        <f>-5760-SUM(C101:D101)</f>
        <v>-2339</v>
      </c>
      <c r="F101" s="19">
        <f>+T101-SUM(C101:E101)</f>
        <v>-1439</v>
      </c>
      <c r="G101" s="19">
        <v>1425</v>
      </c>
      <c r="H101" s="19">
        <f>3856-G101</f>
        <v>2431</v>
      </c>
      <c r="I101" s="19">
        <f>6344-SUM(G101:H101)</f>
        <v>2488</v>
      </c>
      <c r="J101" s="19">
        <f>+U101-SUM(G101:I101)</f>
        <v>-5494</v>
      </c>
      <c r="K101" s="19">
        <v>-7108</v>
      </c>
      <c r="L101" s="19">
        <f>+-4627-K101</f>
        <v>2481</v>
      </c>
      <c r="S101" s="19">
        <v>-2094</v>
      </c>
      <c r="T101" s="19">
        <v>-7199</v>
      </c>
      <c r="U101" s="19">
        <v>850</v>
      </c>
    </row>
    <row r="102" spans="1:21">
      <c r="B102" s="14" t="s">
        <v>36</v>
      </c>
      <c r="C102" s="19">
        <v>-5422</v>
      </c>
      <c r="D102" s="19">
        <f>723-C102</f>
        <v>6145</v>
      </c>
      <c r="E102" s="19">
        <f>9165-SUM(C102:D102)</f>
        <v>8442</v>
      </c>
      <c r="F102" s="19">
        <f>+T102-SUM(C102:E102)</f>
        <v>-6813</v>
      </c>
      <c r="G102" s="19">
        <v>9838</v>
      </c>
      <c r="H102" s="19">
        <f>1532-G102</f>
        <v>-8306</v>
      </c>
      <c r="I102" s="19">
        <f>3959-SUM(G102:H102)</f>
        <v>2427</v>
      </c>
      <c r="J102" s="19">
        <f>+U102-SUM(G102:I102)</f>
        <v>-13378</v>
      </c>
      <c r="K102" s="19">
        <v>-340</v>
      </c>
      <c r="L102" s="19">
        <f>3918-K102</f>
        <v>4258</v>
      </c>
      <c r="S102" s="19">
        <v>14865</v>
      </c>
      <c r="T102" s="19">
        <v>2352</v>
      </c>
      <c r="U102" s="19">
        <v>-9419</v>
      </c>
    </row>
    <row r="103" spans="1:21">
      <c r="B103" s="14" t="s">
        <v>95</v>
      </c>
      <c r="C103" s="19">
        <v>17186</v>
      </c>
      <c r="D103" s="19">
        <f>6292-C103</f>
        <v>-10894</v>
      </c>
      <c r="E103" s="19">
        <f>9355-SUM(C103:D103)</f>
        <v>3063</v>
      </c>
      <c r="F103" s="19">
        <f>+T103-SUM(C103:E103)</f>
        <v>10258</v>
      </c>
      <c r="G103" s="19">
        <v>14412</v>
      </c>
      <c r="H103" s="19">
        <f>10901-G103</f>
        <v>-3511</v>
      </c>
      <c r="I103" s="19">
        <f>14283-SUM(G103:H103)</f>
        <v>3382</v>
      </c>
      <c r="J103" s="19">
        <f>+U103-SUM(G103:I103)</f>
        <v>-21605</v>
      </c>
      <c r="K103" s="19">
        <v>5116</v>
      </c>
      <c r="L103" s="19">
        <f>4047-K103</f>
        <v>-1069</v>
      </c>
      <c r="S103" s="19">
        <v>8837</v>
      </c>
      <c r="T103" s="19">
        <v>19613</v>
      </c>
      <c r="U103" s="19">
        <v>-7322</v>
      </c>
    </row>
    <row r="104" spans="1:21">
      <c r="B104" s="14" t="s">
        <v>96</v>
      </c>
      <c r="C104" s="19">
        <v>0</v>
      </c>
      <c r="D104" s="19">
        <f>0-C104</f>
        <v>0</v>
      </c>
      <c r="E104" s="19">
        <f>0-SUM(C104:D104)</f>
        <v>0</v>
      </c>
      <c r="F104" s="19">
        <f>+T104-SUM(C104:E104)</f>
        <v>0</v>
      </c>
      <c r="G104" s="19">
        <v>0</v>
      </c>
      <c r="H104" s="19">
        <f>0-G104</f>
        <v>0</v>
      </c>
      <c r="I104" s="19">
        <f>+-8578-SUM(G104:H104)</f>
        <v>-8578</v>
      </c>
      <c r="J104" s="19">
        <f>+U104-SUM(G104:I104)</f>
        <v>2349</v>
      </c>
      <c r="K104" s="19">
        <v>-28</v>
      </c>
      <c r="L104" s="19">
        <f>+-28-K104</f>
        <v>0</v>
      </c>
      <c r="S104" s="19">
        <v>0</v>
      </c>
      <c r="T104" s="19">
        <v>0</v>
      </c>
      <c r="U104" s="19">
        <v>-6229</v>
      </c>
    </row>
    <row r="105" spans="1:21" s="20" customFormat="1">
      <c r="A105" s="16"/>
      <c r="B105" s="16" t="s">
        <v>87</v>
      </c>
      <c r="C105" s="20">
        <f t="shared" ref="C105:L105" si="232">+SUM(C87:C104)</f>
        <v>41290</v>
      </c>
      <c r="D105" s="20">
        <f t="shared" si="232"/>
        <v>33663</v>
      </c>
      <c r="E105" s="20">
        <f t="shared" si="232"/>
        <v>55372</v>
      </c>
      <c r="F105" s="20">
        <f t="shared" si="232"/>
        <v>110494</v>
      </c>
      <c r="G105" s="20">
        <f t="shared" si="232"/>
        <v>71969</v>
      </c>
      <c r="H105" s="20">
        <f t="shared" si="232"/>
        <v>56084</v>
      </c>
      <c r="I105" s="20">
        <f t="shared" si="232"/>
        <v>53754</v>
      </c>
      <c r="J105" s="20">
        <f t="shared" si="232"/>
        <v>114799</v>
      </c>
      <c r="K105" s="20">
        <f t="shared" si="232"/>
        <v>58412</v>
      </c>
      <c r="L105" s="20">
        <f t="shared" si="232"/>
        <v>16675</v>
      </c>
      <c r="S105" s="20">
        <f>+SUM(S87:S104)</f>
        <v>185299</v>
      </c>
      <c r="T105" s="20">
        <f>+SUM(T87:T104)</f>
        <v>240819</v>
      </c>
      <c r="U105" s="20">
        <f>+SUM(U87:U104)</f>
        <v>296606</v>
      </c>
    </row>
    <row r="107" spans="1:21">
      <c r="B107" s="14" t="s">
        <v>97</v>
      </c>
      <c r="C107" s="19">
        <v>0</v>
      </c>
      <c r="D107" s="19">
        <f>+-64-C107</f>
        <v>-64</v>
      </c>
      <c r="E107" s="19">
        <f>+-859-SUM(C107:D107)</f>
        <v>-795</v>
      </c>
      <c r="F107" s="19">
        <f>+T107-SUM(C107:E107)</f>
        <v>-16</v>
      </c>
      <c r="G107" s="19">
        <v>-68</v>
      </c>
      <c r="H107" s="19">
        <f>+-75-G107</f>
        <v>-7</v>
      </c>
      <c r="I107" s="19">
        <f>+-100-SUM(G107:H107)</f>
        <v>-25</v>
      </c>
      <c r="J107" s="19">
        <f>+U107-SUM(G107:I107)</f>
        <v>-550</v>
      </c>
      <c r="K107" s="19">
        <v>-107</v>
      </c>
      <c r="L107" s="19">
        <f>+-128-K107</f>
        <v>-21</v>
      </c>
      <c r="S107" s="19">
        <v>-27</v>
      </c>
      <c r="T107" s="19">
        <v>-875</v>
      </c>
      <c r="U107" s="19">
        <v>-650</v>
      </c>
    </row>
    <row r="108" spans="1:21">
      <c r="B108" s="14" t="s">
        <v>98</v>
      </c>
      <c r="C108" s="19">
        <v>0</v>
      </c>
      <c r="D108" s="19">
        <f>0-C108</f>
        <v>0</v>
      </c>
      <c r="E108" s="19">
        <f>0-SUM(C108:D108)</f>
        <v>0</v>
      </c>
      <c r="F108" s="19">
        <f>+T108-SUM(C108:E108)</f>
        <v>-890</v>
      </c>
      <c r="G108" s="19">
        <v>-421</v>
      </c>
      <c r="H108" s="19">
        <f>+-870-G108</f>
        <v>-449</v>
      </c>
      <c r="I108" s="19">
        <f>+-1612-SUM(G108:H108)</f>
        <v>-742</v>
      </c>
      <c r="J108" s="19">
        <f>+U108-SUM(G108:I108)</f>
        <v>-420</v>
      </c>
      <c r="K108" s="19">
        <v>-524</v>
      </c>
      <c r="L108" s="19">
        <f>+-1368-K108</f>
        <v>-844</v>
      </c>
      <c r="T108" s="19">
        <v>-890</v>
      </c>
      <c r="U108" s="19">
        <v>-2032</v>
      </c>
    </row>
    <row r="109" spans="1:21">
      <c r="B109" s="14" t="s">
        <v>117</v>
      </c>
      <c r="F109" s="19">
        <f>+T109-SUM(C109:E109)</f>
        <v>0</v>
      </c>
      <c r="J109" s="19">
        <f>+U109-SUM(G109:I109)</f>
        <v>0</v>
      </c>
      <c r="L109" s="19">
        <v>0</v>
      </c>
      <c r="S109" s="19">
        <v>-1381582</v>
      </c>
    </row>
    <row r="110" spans="1:21">
      <c r="B110" s="14" t="s">
        <v>111</v>
      </c>
      <c r="E110" s="19">
        <f>+-4500-SUM(C110:D110)</f>
        <v>-4500</v>
      </c>
      <c r="F110" s="19">
        <f>+T110-SUM(C110:E110)</f>
        <v>0</v>
      </c>
      <c r="J110" s="19">
        <f>+U110-SUM(G110:I110)</f>
        <v>0</v>
      </c>
      <c r="L110" s="19">
        <v>0</v>
      </c>
      <c r="S110" s="19">
        <v>0</v>
      </c>
      <c r="T110" s="19">
        <v>-4500</v>
      </c>
    </row>
    <row r="111" spans="1:21">
      <c r="B111" s="14" t="s">
        <v>143</v>
      </c>
      <c r="L111" s="19">
        <f>+-500-K111</f>
        <v>-500</v>
      </c>
    </row>
    <row r="112" spans="1:21" s="20" customFormat="1">
      <c r="A112" s="16"/>
      <c r="B112" s="16" t="s">
        <v>99</v>
      </c>
      <c r="C112" s="20">
        <f t="shared" ref="C112:K112" si="233">+SUM(C107:C110)</f>
        <v>0</v>
      </c>
      <c r="D112" s="20">
        <f>+SUM(D107:D110)</f>
        <v>-64</v>
      </c>
      <c r="E112" s="20">
        <f t="shared" si="233"/>
        <v>-5295</v>
      </c>
      <c r="F112" s="20">
        <f t="shared" si="233"/>
        <v>-906</v>
      </c>
      <c r="G112" s="20">
        <f t="shared" si="233"/>
        <v>-489</v>
      </c>
      <c r="H112" s="20">
        <f t="shared" si="233"/>
        <v>-456</v>
      </c>
      <c r="I112" s="20">
        <f t="shared" si="233"/>
        <v>-767</v>
      </c>
      <c r="J112" s="20">
        <f t="shared" si="233"/>
        <v>-970</v>
      </c>
      <c r="K112" s="20">
        <f t="shared" si="233"/>
        <v>-631</v>
      </c>
      <c r="L112" s="20">
        <f>+SUM(L107:L111)</f>
        <v>-1365</v>
      </c>
      <c r="S112" s="20">
        <f t="shared" ref="S112" si="234">+SUM(S107:S110)</f>
        <v>-1381609</v>
      </c>
      <c r="T112" s="20">
        <f t="shared" ref="T112" si="235">+SUM(T107:T110)</f>
        <v>-6265</v>
      </c>
      <c r="U112" s="20">
        <f t="shared" ref="U112" si="236">+SUM(U107:U110)</f>
        <v>-2682</v>
      </c>
    </row>
    <row r="114" spans="1:21">
      <c r="B114" s="14" t="s">
        <v>114</v>
      </c>
      <c r="F114" s="19">
        <f>+T114-SUM(C114:E114)</f>
        <v>0</v>
      </c>
      <c r="J114" s="19">
        <f>+U114-SUM(G114:I114)</f>
        <v>0</v>
      </c>
      <c r="S114" s="19">
        <v>-470000</v>
      </c>
      <c r="T114" s="19">
        <v>0</v>
      </c>
      <c r="U114" s="19">
        <v>0</v>
      </c>
    </row>
    <row r="115" spans="1:21">
      <c r="B115" s="14" t="s">
        <v>110</v>
      </c>
      <c r="C115" s="19">
        <v>633</v>
      </c>
      <c r="D115" s="19">
        <f>633-C115</f>
        <v>0</v>
      </c>
      <c r="F115" s="19">
        <f>+T115-SUM(C115:E115)</f>
        <v>0</v>
      </c>
      <c r="J115" s="19">
        <f>+U115-SUM(G115:I115)</f>
        <v>0</v>
      </c>
      <c r="S115" s="19">
        <v>959868</v>
      </c>
      <c r="T115" s="19">
        <v>633</v>
      </c>
      <c r="U115" s="19">
        <v>0</v>
      </c>
    </row>
    <row r="116" spans="1:21">
      <c r="B116" s="14" t="s">
        <v>100</v>
      </c>
      <c r="C116" s="19">
        <v>0</v>
      </c>
      <c r="D116" s="19">
        <f>0-C116</f>
        <v>0</v>
      </c>
      <c r="E116" s="19">
        <f>633-SUM(C116:D116)</f>
        <v>633</v>
      </c>
      <c r="F116" s="19">
        <f>+T116-SUM(C116:E116)</f>
        <v>505</v>
      </c>
      <c r="G116" s="19">
        <v>0</v>
      </c>
      <c r="H116" s="19">
        <f>740-G116</f>
        <v>740</v>
      </c>
      <c r="I116" s="19">
        <f>814-SUM(G116:H116)</f>
        <v>74</v>
      </c>
      <c r="J116" s="19">
        <f>+U116-SUM(G116:I116)</f>
        <v>1062</v>
      </c>
      <c r="K116" s="19">
        <v>2513</v>
      </c>
      <c r="L116" s="19">
        <f>4097-K116</f>
        <v>1584</v>
      </c>
      <c r="S116" s="19">
        <v>0</v>
      </c>
      <c r="T116" s="19">
        <v>1138</v>
      </c>
      <c r="U116" s="19">
        <v>1876</v>
      </c>
    </row>
    <row r="117" spans="1:21">
      <c r="B117" s="14" t="s">
        <v>115</v>
      </c>
      <c r="F117" s="19">
        <f>+T117-SUM(C117:E117)</f>
        <v>0</v>
      </c>
      <c r="J117" s="19">
        <f>+U117-SUM(G117:I117)</f>
        <v>0</v>
      </c>
      <c r="S117" s="19">
        <v>50000</v>
      </c>
      <c r="T117" s="19">
        <v>0</v>
      </c>
      <c r="U117" s="19">
        <v>0</v>
      </c>
    </row>
    <row r="118" spans="1:21">
      <c r="B118" s="14" t="s">
        <v>116</v>
      </c>
      <c r="F118" s="19">
        <f>+T118-SUM(C118:E118)</f>
        <v>0</v>
      </c>
      <c r="J118" s="19">
        <f>+U118-SUM(G118:I118)</f>
        <v>0</v>
      </c>
      <c r="S118" s="19">
        <v>-50000</v>
      </c>
      <c r="T118" s="19">
        <v>0</v>
      </c>
      <c r="U118" s="19">
        <v>0</v>
      </c>
    </row>
    <row r="119" spans="1:21">
      <c r="B119" s="14" t="s">
        <v>101</v>
      </c>
      <c r="C119" s="19">
        <v>0</v>
      </c>
      <c r="D119" s="19">
        <f>0-C119</f>
        <v>0</v>
      </c>
      <c r="E119" s="19">
        <f>0-SUM(C119:D119)</f>
        <v>0</v>
      </c>
      <c r="F119" s="19">
        <f>+T119-SUM(C119:E119)</f>
        <v>0</v>
      </c>
      <c r="G119" s="19">
        <v>-572</v>
      </c>
      <c r="H119" s="19">
        <f>+-572-G119</f>
        <v>0</v>
      </c>
      <c r="I119" s="19">
        <f>-572-SUM(G119:H119)</f>
        <v>0</v>
      </c>
      <c r="J119" s="19">
        <f>+U119-SUM(G119:I119)</f>
        <v>-202</v>
      </c>
      <c r="K119" s="19">
        <v>-64</v>
      </c>
      <c r="L119" s="19">
        <f>+-64-K119</f>
        <v>0</v>
      </c>
      <c r="S119" s="19">
        <v>0</v>
      </c>
      <c r="T119" s="19">
        <v>0</v>
      </c>
      <c r="U119" s="19">
        <v>-774</v>
      </c>
    </row>
    <row r="120" spans="1:21">
      <c r="B120" s="14" t="s">
        <v>102</v>
      </c>
      <c r="C120" s="19">
        <v>-5028</v>
      </c>
      <c r="D120" s="19">
        <f>+-10056-C120</f>
        <v>-5028</v>
      </c>
      <c r="E120" s="19">
        <f>+-15084-SUM(C120:D120)</f>
        <v>-5028</v>
      </c>
      <c r="F120" s="19">
        <f>+T120-SUM(C120:E120)</f>
        <v>-5027</v>
      </c>
      <c r="G120" s="19">
        <v>-777005</v>
      </c>
      <c r="H120" s="19">
        <f>+-778692-G120</f>
        <v>-1687</v>
      </c>
      <c r="I120" s="19">
        <f>+-780382-SUM(G120:H120)</f>
        <v>-1690</v>
      </c>
      <c r="J120" s="19">
        <f>+U120-SUM(G120:I120)</f>
        <v>2</v>
      </c>
      <c r="K120" s="19">
        <v>-3375</v>
      </c>
      <c r="L120" s="19">
        <f>+-5062-K120</f>
        <v>-1687</v>
      </c>
      <c r="S120" s="19">
        <v>-10653</v>
      </c>
      <c r="T120" s="19">
        <v>-20111</v>
      </c>
      <c r="U120" s="19">
        <v>-780380</v>
      </c>
    </row>
    <row r="121" spans="1:21">
      <c r="B121" s="14" t="s">
        <v>103</v>
      </c>
      <c r="C121" s="19">
        <v>0</v>
      </c>
      <c r="D121" s="19">
        <f>0-C121</f>
        <v>0</v>
      </c>
      <c r="E121" s="19">
        <f>0-SUM(C121:D121)</f>
        <v>0</v>
      </c>
      <c r="F121" s="19">
        <f>+T121-SUM(C121:E121)</f>
        <v>0</v>
      </c>
      <c r="G121" s="19">
        <v>675000</v>
      </c>
      <c r="H121" s="19">
        <f>675000-G121</f>
        <v>0</v>
      </c>
      <c r="I121" s="19">
        <f>675000-SUM(G121:H121)</f>
        <v>0</v>
      </c>
      <c r="J121" s="19">
        <f>+U121-SUM(G121:I121)</f>
        <v>0</v>
      </c>
      <c r="K121" s="19">
        <v>0</v>
      </c>
      <c r="S121" s="19">
        <v>800000</v>
      </c>
      <c r="T121" s="19">
        <v>0</v>
      </c>
      <c r="U121" s="19">
        <v>675000</v>
      </c>
    </row>
    <row r="122" spans="1:21">
      <c r="B122" s="14" t="s">
        <v>104</v>
      </c>
      <c r="C122" s="19">
        <v>0</v>
      </c>
      <c r="D122" s="19">
        <f>0-C122</f>
        <v>0</v>
      </c>
      <c r="E122" s="19">
        <f>0-SUM(C122:D122)</f>
        <v>0</v>
      </c>
      <c r="F122" s="19">
        <f>+T122-SUM(C122:E122)</f>
        <v>0</v>
      </c>
      <c r="G122" s="19">
        <v>-11944</v>
      </c>
      <c r="H122" s="19">
        <f>+-11944-G122</f>
        <v>0</v>
      </c>
      <c r="I122" s="19">
        <f>+-11944-SUM(G122:H122)</f>
        <v>0</v>
      </c>
      <c r="J122" s="19">
        <f>+U122-SUM(G122:I122)</f>
        <v>0</v>
      </c>
      <c r="K122" s="19">
        <v>0</v>
      </c>
      <c r="L122" s="19">
        <f>0-K122</f>
        <v>0</v>
      </c>
      <c r="S122" s="19">
        <v>-15617</v>
      </c>
      <c r="T122" s="19">
        <v>0</v>
      </c>
      <c r="U122" s="19">
        <v>-11944</v>
      </c>
    </row>
    <row r="123" spans="1:21">
      <c r="B123" s="14" t="s">
        <v>144</v>
      </c>
    </row>
    <row r="124" spans="1:21">
      <c r="B124" s="14" t="s">
        <v>145</v>
      </c>
      <c r="L124" s="19">
        <f>+-16452-K124</f>
        <v>-16452</v>
      </c>
    </row>
    <row r="125" spans="1:21" s="20" customFormat="1">
      <c r="A125" s="16"/>
      <c r="B125" s="16" t="s">
        <v>105</v>
      </c>
      <c r="C125" s="20">
        <f t="shared" ref="C125:K125" si="237">+SUM(C115:C122)</f>
        <v>-4395</v>
      </c>
      <c r="D125" s="20">
        <f>+SUM(D115:D122)</f>
        <v>-5028</v>
      </c>
      <c r="E125" s="20">
        <f t="shared" si="237"/>
        <v>-4395</v>
      </c>
      <c r="F125" s="20">
        <f t="shared" si="237"/>
        <v>-4522</v>
      </c>
      <c r="G125" s="20">
        <f t="shared" si="237"/>
        <v>-114521</v>
      </c>
      <c r="H125" s="20">
        <f t="shared" si="237"/>
        <v>-947</v>
      </c>
      <c r="I125" s="20">
        <f t="shared" si="237"/>
        <v>-1616</v>
      </c>
      <c r="J125" s="20">
        <f t="shared" si="237"/>
        <v>862</v>
      </c>
      <c r="K125" s="20">
        <f t="shared" si="237"/>
        <v>-926</v>
      </c>
      <c r="L125" s="20">
        <f>+SUM(L115:L124)</f>
        <v>-16555</v>
      </c>
      <c r="S125" s="20">
        <f>+SUM(S114:S122)</f>
        <v>1263598</v>
      </c>
      <c r="T125" s="20">
        <f>+SUM(T114:T122)</f>
        <v>-18340</v>
      </c>
      <c r="U125" s="20">
        <f>+SUM(U114:U122)</f>
        <v>-116222</v>
      </c>
    </row>
    <row r="127" spans="1:21">
      <c r="B127" s="14" t="s">
        <v>106</v>
      </c>
      <c r="C127" s="19">
        <f t="shared" ref="C127:L127" si="238">+C105+C112+C125</f>
        <v>36895</v>
      </c>
      <c r="D127" s="19">
        <f t="shared" si="238"/>
        <v>28571</v>
      </c>
      <c r="E127" s="19">
        <f t="shared" si="238"/>
        <v>45682</v>
      </c>
      <c r="F127" s="19">
        <f t="shared" si="238"/>
        <v>105066</v>
      </c>
      <c r="G127" s="19">
        <f t="shared" si="238"/>
        <v>-43041</v>
      </c>
      <c r="H127" s="19">
        <f t="shared" si="238"/>
        <v>54681</v>
      </c>
      <c r="I127" s="19">
        <f t="shared" si="238"/>
        <v>51371</v>
      </c>
      <c r="J127" s="19">
        <f t="shared" si="238"/>
        <v>114691</v>
      </c>
      <c r="K127" s="19">
        <f t="shared" si="238"/>
        <v>56855</v>
      </c>
      <c r="L127" s="19">
        <f t="shared" si="238"/>
        <v>-1245</v>
      </c>
      <c r="S127" s="19">
        <f>+S105+S112+S125</f>
        <v>67288</v>
      </c>
      <c r="T127" s="19">
        <f>+T105+T112+T125</f>
        <v>216214</v>
      </c>
      <c r="U127" s="19">
        <f>+U105+U112+U125</f>
        <v>177702</v>
      </c>
    </row>
    <row r="128" spans="1:21">
      <c r="B128" s="14" t="s">
        <v>107</v>
      </c>
      <c r="C128" s="19">
        <v>10964</v>
      </c>
      <c r="D128" s="19">
        <f t="shared" ref="D128:K128" si="239">+C129</f>
        <v>47859</v>
      </c>
      <c r="E128" s="19">
        <f t="shared" si="239"/>
        <v>76430</v>
      </c>
      <c r="F128" s="19">
        <f t="shared" si="239"/>
        <v>122112</v>
      </c>
      <c r="G128" s="19">
        <f t="shared" si="239"/>
        <v>227178</v>
      </c>
      <c r="H128" s="19">
        <f t="shared" si="239"/>
        <v>184137</v>
      </c>
      <c r="I128" s="19">
        <f t="shared" si="239"/>
        <v>238818</v>
      </c>
      <c r="J128" s="19">
        <f t="shared" si="239"/>
        <v>290189</v>
      </c>
      <c r="K128" s="19">
        <f t="shared" si="239"/>
        <v>404880</v>
      </c>
      <c r="L128" s="19">
        <f>+K129</f>
        <v>461735</v>
      </c>
      <c r="S128" s="19">
        <v>0</v>
      </c>
      <c r="T128" s="19">
        <v>10964</v>
      </c>
      <c r="U128" s="19">
        <f>+F44</f>
        <v>186388</v>
      </c>
    </row>
    <row r="129" spans="1:21" s="20" customFormat="1">
      <c r="A129" s="16"/>
      <c r="B129" s="16" t="s">
        <v>108</v>
      </c>
      <c r="C129" s="20">
        <f>+SUM(C127:C128)</f>
        <v>47859</v>
      </c>
      <c r="D129" s="20">
        <f>SUM(D127:D128)</f>
        <v>76430</v>
      </c>
      <c r="E129" s="20">
        <f>+SUM(E127:E128)</f>
        <v>122112</v>
      </c>
      <c r="F129" s="20">
        <f>+SUM(F127:F128)</f>
        <v>227178</v>
      </c>
      <c r="G129" s="20">
        <f>+SUM(G127:G128)</f>
        <v>184137</v>
      </c>
      <c r="H129" s="20">
        <f>SUM(H127:H128)</f>
        <v>238818</v>
      </c>
      <c r="I129" s="20">
        <f>+SUM(I127:I128)</f>
        <v>290189</v>
      </c>
      <c r="J129" s="20">
        <f>+SUM(J127:J128)</f>
        <v>404880</v>
      </c>
      <c r="K129" s="20">
        <f>+SUM(K127:K128)</f>
        <v>461735</v>
      </c>
      <c r="L129" s="20">
        <f>SUM(L127:L128)</f>
        <v>460490</v>
      </c>
      <c r="S129" s="20">
        <f>+SUM(S127:S128)</f>
        <v>67288</v>
      </c>
      <c r="T129" s="20">
        <f>+SUM(T127:T128)</f>
        <v>227178</v>
      </c>
      <c r="U129" s="20">
        <f>+SUM(U127:U128)</f>
        <v>364090</v>
      </c>
    </row>
    <row r="132" spans="1:21" s="20" customFormat="1">
      <c r="A132" s="16"/>
      <c r="B132" s="16" t="s">
        <v>109</v>
      </c>
      <c r="C132" s="20">
        <f t="shared" ref="C132:J132" si="240">+C105+C107</f>
        <v>41290</v>
      </c>
      <c r="D132" s="20">
        <f t="shared" si="240"/>
        <v>33599</v>
      </c>
      <c r="E132" s="20">
        <f t="shared" si="240"/>
        <v>54577</v>
      </c>
      <c r="F132" s="20">
        <f t="shared" si="240"/>
        <v>110478</v>
      </c>
      <c r="G132" s="20">
        <f t="shared" si="240"/>
        <v>71901</v>
      </c>
      <c r="H132" s="20">
        <f t="shared" si="240"/>
        <v>56077</v>
      </c>
      <c r="I132" s="20">
        <f t="shared" si="240"/>
        <v>53729</v>
      </c>
      <c r="J132" s="20">
        <f t="shared" si="240"/>
        <v>114249</v>
      </c>
      <c r="K132" s="20">
        <f>+K105+K107</f>
        <v>58305</v>
      </c>
      <c r="L132" s="20">
        <f>+L105+L107</f>
        <v>16654</v>
      </c>
    </row>
    <row r="133" spans="1:21">
      <c r="B133" s="14" t="s">
        <v>62</v>
      </c>
      <c r="C133" s="19">
        <f>+C22</f>
        <v>55713</v>
      </c>
      <c r="D133" s="19">
        <f t="shared" ref="D133:K133" si="241">+D22</f>
        <v>59534</v>
      </c>
      <c r="E133" s="19">
        <f t="shared" si="241"/>
        <v>66773</v>
      </c>
      <c r="F133" s="19">
        <f t="shared" si="241"/>
        <v>79554</v>
      </c>
      <c r="G133" s="19">
        <f t="shared" si="241"/>
        <v>72227</v>
      </c>
      <c r="H133" s="19">
        <f t="shared" si="241"/>
        <v>98010</v>
      </c>
      <c r="I133" s="19">
        <f t="shared" si="241"/>
        <v>71092</v>
      </c>
      <c r="J133" s="19">
        <f t="shared" si="241"/>
        <v>44025</v>
      </c>
      <c r="K133" s="19">
        <f t="shared" si="241"/>
        <v>31287</v>
      </c>
      <c r="L133" s="19">
        <f t="shared" ref="L133" si="242">+L22</f>
        <v>16480</v>
      </c>
    </row>
    <row r="135" spans="1:21">
      <c r="B135" s="14" t="s">
        <v>118</v>
      </c>
      <c r="F135" s="19">
        <f t="shared" ref="F135:J135" si="243">SUM(C132:F132)</f>
        <v>239944</v>
      </c>
      <c r="G135" s="19">
        <f t="shared" si="243"/>
        <v>270555</v>
      </c>
      <c r="H135" s="19">
        <f t="shared" si="243"/>
        <v>293033</v>
      </c>
      <c r="I135" s="19">
        <f t="shared" si="243"/>
        <v>292185</v>
      </c>
      <c r="J135" s="19">
        <f t="shared" si="243"/>
        <v>295956</v>
      </c>
      <c r="K135" s="19">
        <f>SUM(H132:K132)</f>
        <v>282360</v>
      </c>
      <c r="L135" s="19">
        <f>SUM(I132:L132)</f>
        <v>242937</v>
      </c>
    </row>
    <row r="136" spans="1:21">
      <c r="B136" s="14" t="s">
        <v>119</v>
      </c>
      <c r="F136" s="19">
        <f t="shared" ref="F136:J136" si="244">SUM(C133:F133)</f>
        <v>261574</v>
      </c>
      <c r="G136" s="19">
        <f t="shared" si="244"/>
        <v>278088</v>
      </c>
      <c r="H136" s="19">
        <f t="shared" si="244"/>
        <v>316564</v>
      </c>
      <c r="I136" s="19">
        <f t="shared" si="244"/>
        <v>320883</v>
      </c>
      <c r="J136" s="19">
        <f t="shared" si="244"/>
        <v>285354</v>
      </c>
      <c r="K136" s="19">
        <f>SUM(H133:K133)</f>
        <v>244414</v>
      </c>
      <c r="L136" s="19">
        <f>SUM(I133:L133)</f>
        <v>162884</v>
      </c>
    </row>
    <row r="137" spans="1:21">
      <c r="B137" s="14" t="s">
        <v>120</v>
      </c>
      <c r="F137" s="19">
        <f>+F135-F136</f>
        <v>-21630</v>
      </c>
      <c r="G137" s="19">
        <f t="shared" ref="G137:K137" si="245">+G135-G136</f>
        <v>-7533</v>
      </c>
      <c r="H137" s="19">
        <f t="shared" si="245"/>
        <v>-23531</v>
      </c>
      <c r="I137" s="19">
        <f t="shared" si="245"/>
        <v>-28698</v>
      </c>
      <c r="J137" s="19">
        <f t="shared" si="245"/>
        <v>10602</v>
      </c>
      <c r="K137" s="19">
        <f t="shared" si="245"/>
        <v>37946</v>
      </c>
      <c r="L137" s="19">
        <f t="shared" ref="L137" si="246">+L135-L136</f>
        <v>80053</v>
      </c>
    </row>
  </sheetData>
  <pageMargins left="0.7" right="0.7" top="0.75" bottom="0.75" header="0.3" footer="0.3"/>
  <ignoredErrors>
    <ignoredError sqref="S12:U12 G12 C12 F12 C13 F13 C19 C16:C17 F16:F17 C14 F14 C22 C20 C18 F18 F19 C24 C23 C21 S9 F82:K82 L82:M82 U9" formulaRange="1"/>
    <ignoredError sqref="I12 D12:E12 D22:E22 D24:E24 D21:E21 D23:E23 D19:E19 D18:E18 D20:E20 D14:E14 D16:E17 D13:E13 F21 F20" formula="1" formulaRange="1"/>
    <ignoredError sqref="D11:E11 J12 D10:E10 G10 G11 G14 G18 G19 G21 F24:G24 G13 G16:G17 G20 G22 G23 J9 I10:J10 I11:J11 I13:J13 I14:J14 I16:J17 I18:J18 I19:J19 I20:J20 I21:J21 I22:J22 I23:J23 I24:J24 F9:H9 W9:AE14 W16:AE24 M9:N24" formula="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A726B-C5BF-8F48-858F-5B0F837B9AFC}">
  <dimension ref="A1:G583"/>
  <sheetViews>
    <sheetView zoomScale="171" workbookViewId="0">
      <pane xSplit="1" ySplit="1" topLeftCell="B227" activePane="bottomRight" state="frozen"/>
      <selection pane="topRight" activeCell="B1" sqref="B1"/>
      <selection pane="bottomLeft" activeCell="A2" sqref="A2"/>
      <selection pane="bottomRight" activeCell="F267" sqref="F267"/>
    </sheetView>
  </sheetViews>
  <sheetFormatPr baseColWidth="10" defaultRowHeight="13"/>
  <cols>
    <col min="1" max="16384" width="10.83203125" style="7"/>
  </cols>
  <sheetData>
    <row r="1" spans="1:7">
      <c r="A1" s="7" t="s">
        <v>150</v>
      </c>
      <c r="B1" s="8" t="s">
        <v>149</v>
      </c>
      <c r="C1" s="7" t="s">
        <v>148</v>
      </c>
    </row>
    <row r="2" spans="1:7">
      <c r="A2" s="9">
        <v>44469</v>
      </c>
      <c r="B2" s="7">
        <v>24.5</v>
      </c>
      <c r="C2" s="7">
        <v>37102400</v>
      </c>
      <c r="E2" s="9">
        <v>44929</v>
      </c>
      <c r="F2" s="7">
        <v>5.18</v>
      </c>
      <c r="G2" s="7">
        <v>3094900</v>
      </c>
    </row>
    <row r="3" spans="1:7">
      <c r="A3" s="9">
        <v>44470</v>
      </c>
      <c r="B3" s="7">
        <v>22.9</v>
      </c>
      <c r="C3" s="7">
        <v>9712400</v>
      </c>
      <c r="E3" s="9">
        <v>44930</v>
      </c>
      <c r="F3" s="7">
        <v>5.73</v>
      </c>
      <c r="G3" s="7">
        <v>2301400</v>
      </c>
    </row>
    <row r="4" spans="1:7">
      <c r="A4" s="9">
        <v>44473</v>
      </c>
      <c r="B4" s="7">
        <v>23.799999</v>
      </c>
      <c r="C4" s="7">
        <v>7583800</v>
      </c>
      <c r="E4" s="9">
        <v>44931</v>
      </c>
      <c r="F4" s="7">
        <v>5.41</v>
      </c>
      <c r="G4" s="7">
        <v>1931600</v>
      </c>
    </row>
    <row r="5" spans="1:7">
      <c r="A5" s="9">
        <v>44474</v>
      </c>
      <c r="B5" s="7">
        <v>26.290001</v>
      </c>
      <c r="C5" s="7">
        <v>9313700</v>
      </c>
      <c r="E5" s="9">
        <v>44932</v>
      </c>
      <c r="F5" s="7">
        <v>5.66</v>
      </c>
      <c r="G5" s="7">
        <v>2410400</v>
      </c>
    </row>
    <row r="6" spans="1:7">
      <c r="A6" s="9">
        <v>44475</v>
      </c>
      <c r="B6" s="7">
        <v>25.030000999999999</v>
      </c>
      <c r="C6" s="7">
        <v>11683900</v>
      </c>
      <c r="E6" s="9">
        <v>44935</v>
      </c>
      <c r="F6" s="7">
        <v>6.05</v>
      </c>
      <c r="G6" s="7">
        <v>8738800</v>
      </c>
    </row>
    <row r="7" spans="1:7">
      <c r="A7" s="9">
        <v>44476</v>
      </c>
      <c r="B7" s="7">
        <v>25.200001</v>
      </c>
      <c r="C7" s="7">
        <v>2059400</v>
      </c>
      <c r="E7" s="9">
        <v>44936</v>
      </c>
      <c r="F7" s="7">
        <v>6.05</v>
      </c>
      <c r="G7" s="7">
        <v>2758400</v>
      </c>
    </row>
    <row r="8" spans="1:7">
      <c r="A8" s="9">
        <v>44477</v>
      </c>
      <c r="B8" s="7">
        <v>25.51</v>
      </c>
      <c r="C8" s="7">
        <v>1940000</v>
      </c>
      <c r="E8" s="9">
        <v>44937</v>
      </c>
      <c r="F8" s="7">
        <v>6.24</v>
      </c>
      <c r="G8" s="7">
        <v>2392300</v>
      </c>
    </row>
    <row r="9" spans="1:7">
      <c r="A9" s="9">
        <v>44480</v>
      </c>
      <c r="B9" s="7">
        <v>25.09</v>
      </c>
      <c r="C9" s="7">
        <v>2314300</v>
      </c>
      <c r="E9" s="9">
        <v>44938</v>
      </c>
      <c r="F9" s="7">
        <v>6.35</v>
      </c>
      <c r="G9" s="7">
        <v>2174900</v>
      </c>
    </row>
    <row r="10" spans="1:7">
      <c r="A10" s="9">
        <v>44481</v>
      </c>
      <c r="B10" s="7">
        <v>25.32</v>
      </c>
      <c r="C10" s="7">
        <v>678300</v>
      </c>
      <c r="E10" s="9">
        <v>44939</v>
      </c>
      <c r="F10" s="7">
        <v>6.3</v>
      </c>
      <c r="G10" s="7">
        <v>2091500</v>
      </c>
    </row>
    <row r="11" spans="1:7">
      <c r="A11" s="9">
        <v>44482</v>
      </c>
      <c r="B11" s="7">
        <v>25.16</v>
      </c>
      <c r="C11" s="7">
        <v>1140400</v>
      </c>
      <c r="E11" s="9">
        <v>44943</v>
      </c>
      <c r="F11" s="7">
        <v>6.42</v>
      </c>
      <c r="G11" s="7">
        <v>1636100</v>
      </c>
    </row>
    <row r="12" spans="1:7">
      <c r="A12" s="9">
        <v>44483</v>
      </c>
      <c r="B12" s="7">
        <v>24.41</v>
      </c>
      <c r="C12" s="7">
        <v>1477100</v>
      </c>
      <c r="E12" s="9">
        <v>44944</v>
      </c>
      <c r="F12" s="7">
        <v>6.04</v>
      </c>
      <c r="G12" s="7">
        <v>1155400</v>
      </c>
    </row>
    <row r="13" spans="1:7">
      <c r="A13" s="9">
        <v>44484</v>
      </c>
      <c r="B13" s="7">
        <v>24.85</v>
      </c>
      <c r="C13" s="7">
        <v>630600</v>
      </c>
      <c r="E13" s="9">
        <v>44945</v>
      </c>
      <c r="F13" s="7">
        <v>5.91</v>
      </c>
      <c r="G13" s="7">
        <v>1290200</v>
      </c>
    </row>
    <row r="14" spans="1:7">
      <c r="A14" s="9">
        <v>44487</v>
      </c>
      <c r="B14" s="7">
        <v>24.77</v>
      </c>
      <c r="C14" s="7">
        <v>747800</v>
      </c>
      <c r="E14" s="9">
        <v>44946</v>
      </c>
      <c r="F14" s="7">
        <v>6.07</v>
      </c>
      <c r="G14" s="7">
        <v>988200</v>
      </c>
    </row>
    <row r="15" spans="1:7">
      <c r="A15" s="9">
        <v>44488</v>
      </c>
      <c r="B15" s="7">
        <v>25.91</v>
      </c>
      <c r="C15" s="7">
        <v>2088200</v>
      </c>
      <c r="E15" s="9">
        <v>44949</v>
      </c>
      <c r="F15" s="7">
        <v>6.16</v>
      </c>
      <c r="G15" s="7">
        <v>877900</v>
      </c>
    </row>
    <row r="16" spans="1:7">
      <c r="A16" s="9">
        <v>44489</v>
      </c>
      <c r="B16" s="7">
        <v>26.5</v>
      </c>
      <c r="C16" s="7">
        <v>1299400</v>
      </c>
      <c r="E16" s="9">
        <v>44950</v>
      </c>
      <c r="F16" s="7">
        <v>5.88</v>
      </c>
      <c r="G16" s="7">
        <v>1187800</v>
      </c>
    </row>
    <row r="17" spans="1:7">
      <c r="A17" s="9">
        <v>44490</v>
      </c>
      <c r="B17" s="7">
        <v>28.57</v>
      </c>
      <c r="C17" s="7">
        <v>4428800</v>
      </c>
      <c r="E17" s="9">
        <v>44951</v>
      </c>
      <c r="F17" s="7">
        <v>5.81</v>
      </c>
      <c r="G17" s="7">
        <v>964200</v>
      </c>
    </row>
    <row r="18" spans="1:7">
      <c r="A18" s="9">
        <v>44491</v>
      </c>
      <c r="B18" s="7">
        <v>29</v>
      </c>
      <c r="C18" s="7">
        <v>2161600</v>
      </c>
      <c r="E18" s="9">
        <v>44952</v>
      </c>
      <c r="F18" s="7">
        <v>5.91</v>
      </c>
      <c r="G18" s="7">
        <v>813200</v>
      </c>
    </row>
    <row r="19" spans="1:7">
      <c r="A19" s="9">
        <v>44494</v>
      </c>
      <c r="B19" s="7">
        <v>28.209999</v>
      </c>
      <c r="C19" s="7">
        <v>1666500</v>
      </c>
      <c r="E19" s="9">
        <v>44953</v>
      </c>
      <c r="F19" s="7">
        <v>6.14</v>
      </c>
      <c r="G19" s="7">
        <v>1021800</v>
      </c>
    </row>
    <row r="20" spans="1:7">
      <c r="A20" s="9">
        <v>44495</v>
      </c>
      <c r="B20" s="7">
        <v>27.559999000000001</v>
      </c>
      <c r="C20" s="7">
        <v>1916500</v>
      </c>
      <c r="E20" s="9">
        <v>44956</v>
      </c>
      <c r="F20" s="7">
        <v>6.11</v>
      </c>
      <c r="G20" s="7">
        <v>1783800</v>
      </c>
    </row>
    <row r="21" spans="1:7">
      <c r="A21" s="9">
        <v>44496</v>
      </c>
      <c r="B21" s="7">
        <v>26.459999</v>
      </c>
      <c r="C21" s="7">
        <v>1697200</v>
      </c>
      <c r="E21" s="9">
        <v>44957</v>
      </c>
      <c r="F21" s="7">
        <v>6.31</v>
      </c>
      <c r="G21" s="7">
        <v>1491000</v>
      </c>
    </row>
    <row r="22" spans="1:7">
      <c r="A22" s="9">
        <v>44497</v>
      </c>
      <c r="B22" s="7">
        <v>26.18</v>
      </c>
      <c r="C22" s="7">
        <v>2856700</v>
      </c>
      <c r="E22" s="9">
        <v>44958</v>
      </c>
      <c r="F22" s="7">
        <v>6.57</v>
      </c>
      <c r="G22" s="7">
        <v>1975900</v>
      </c>
    </row>
    <row r="23" spans="1:7">
      <c r="A23" s="9">
        <v>44498</v>
      </c>
      <c r="B23" s="7">
        <v>27.91</v>
      </c>
      <c r="C23" s="7">
        <v>1570100</v>
      </c>
      <c r="E23" s="9">
        <v>44959</v>
      </c>
      <c r="F23" s="7">
        <v>6.89</v>
      </c>
      <c r="G23" s="7">
        <v>2275500</v>
      </c>
    </row>
    <row r="24" spans="1:7">
      <c r="A24" s="9">
        <v>44501</v>
      </c>
      <c r="B24" s="7">
        <v>28.67</v>
      </c>
      <c r="C24" s="7">
        <v>2044500</v>
      </c>
      <c r="E24" s="9">
        <v>44960</v>
      </c>
      <c r="F24" s="7">
        <v>6.6</v>
      </c>
      <c r="G24" s="7">
        <v>2171600</v>
      </c>
    </row>
    <row r="25" spans="1:7">
      <c r="A25" s="9">
        <v>44502</v>
      </c>
      <c r="B25" s="7">
        <v>27.860001</v>
      </c>
      <c r="C25" s="7">
        <v>787400</v>
      </c>
      <c r="E25" s="9">
        <v>44963</v>
      </c>
      <c r="F25" s="7">
        <v>6.38</v>
      </c>
      <c r="G25" s="7">
        <v>1883300</v>
      </c>
    </row>
    <row r="26" spans="1:7">
      <c r="A26" s="9">
        <v>44503</v>
      </c>
      <c r="B26" s="7">
        <v>28.52</v>
      </c>
      <c r="C26" s="7">
        <v>749000</v>
      </c>
      <c r="E26" s="9">
        <v>44964</v>
      </c>
      <c r="F26" s="7">
        <v>6.71</v>
      </c>
      <c r="G26" s="7">
        <v>3420300</v>
      </c>
    </row>
    <row r="27" spans="1:7">
      <c r="A27" s="9">
        <v>44504</v>
      </c>
      <c r="B27" s="7">
        <v>28.9</v>
      </c>
      <c r="C27" s="7">
        <v>1509100</v>
      </c>
      <c r="E27" s="9">
        <v>44965</v>
      </c>
      <c r="F27" s="7">
        <v>6.66</v>
      </c>
      <c r="G27" s="7">
        <v>1531900</v>
      </c>
    </row>
    <row r="28" spans="1:7">
      <c r="A28" s="9">
        <v>44505</v>
      </c>
      <c r="B28" s="7">
        <v>27.030000999999999</v>
      </c>
      <c r="C28" s="7">
        <v>1381000</v>
      </c>
      <c r="E28" s="9">
        <v>44966</v>
      </c>
      <c r="F28" s="7">
        <v>6.64</v>
      </c>
      <c r="G28" s="7">
        <v>2461500</v>
      </c>
    </row>
    <row r="29" spans="1:7">
      <c r="A29" s="9">
        <v>44508</v>
      </c>
      <c r="B29" s="7">
        <v>28.209999</v>
      </c>
      <c r="C29" s="7">
        <v>2357400</v>
      </c>
      <c r="E29" s="9">
        <v>44967</v>
      </c>
      <c r="F29" s="7">
        <v>6.36</v>
      </c>
      <c r="G29" s="7">
        <v>1580300</v>
      </c>
    </row>
    <row r="30" spans="1:7">
      <c r="A30" s="9">
        <v>44509</v>
      </c>
      <c r="B30" s="7">
        <v>28.184999000000001</v>
      </c>
      <c r="C30" s="7">
        <v>2010100</v>
      </c>
      <c r="E30" s="9">
        <v>44970</v>
      </c>
      <c r="F30" s="7">
        <v>6.62</v>
      </c>
      <c r="G30" s="7">
        <v>1673900</v>
      </c>
    </row>
    <row r="31" spans="1:7">
      <c r="A31" s="9">
        <v>44510</v>
      </c>
      <c r="B31" s="7">
        <v>26.6</v>
      </c>
      <c r="C31" s="7">
        <v>4618800</v>
      </c>
      <c r="E31" s="9">
        <v>44971</v>
      </c>
      <c r="F31" s="7">
        <v>6.55</v>
      </c>
      <c r="G31" s="7">
        <v>1288100</v>
      </c>
    </row>
    <row r="32" spans="1:7">
      <c r="A32" s="9">
        <v>44511</v>
      </c>
      <c r="B32" s="7">
        <v>25.26</v>
      </c>
      <c r="C32" s="7">
        <v>3216700</v>
      </c>
      <c r="E32" s="9">
        <v>44972</v>
      </c>
      <c r="F32" s="7">
        <v>6.54</v>
      </c>
      <c r="G32" s="7">
        <v>1624300</v>
      </c>
    </row>
    <row r="33" spans="1:7">
      <c r="A33" s="9">
        <v>44512</v>
      </c>
      <c r="B33" s="7">
        <v>26.940000999999999</v>
      </c>
      <c r="C33" s="7">
        <v>2234000</v>
      </c>
      <c r="E33" s="9">
        <v>44973</v>
      </c>
      <c r="F33" s="7">
        <v>5.81</v>
      </c>
      <c r="G33" s="7">
        <v>2940000</v>
      </c>
    </row>
    <row r="34" spans="1:7">
      <c r="A34" s="9">
        <v>44515</v>
      </c>
      <c r="B34" s="7">
        <v>26.73</v>
      </c>
      <c r="C34" s="7">
        <v>1665500</v>
      </c>
      <c r="E34" s="9">
        <v>44974</v>
      </c>
      <c r="F34" s="7">
        <v>5.49</v>
      </c>
      <c r="G34" s="7">
        <v>4605400</v>
      </c>
    </row>
    <row r="35" spans="1:7">
      <c r="A35" s="9">
        <v>44516</v>
      </c>
      <c r="B35" s="7">
        <v>27.610001</v>
      </c>
      <c r="C35" s="7">
        <v>2227200</v>
      </c>
      <c r="E35" s="9">
        <v>44978</v>
      </c>
      <c r="F35" s="7">
        <v>5.19</v>
      </c>
      <c r="G35" s="7">
        <v>5236400</v>
      </c>
    </row>
    <row r="36" spans="1:7">
      <c r="A36" s="9">
        <v>44517</v>
      </c>
      <c r="B36" s="7">
        <v>28.35</v>
      </c>
      <c r="C36" s="7">
        <v>2250500</v>
      </c>
      <c r="E36" s="9">
        <v>44979</v>
      </c>
      <c r="F36" s="7">
        <v>5.44</v>
      </c>
      <c r="G36" s="7">
        <v>3607800</v>
      </c>
    </row>
    <row r="37" spans="1:7">
      <c r="A37" s="9">
        <v>44518</v>
      </c>
      <c r="B37" s="7">
        <v>28.99</v>
      </c>
      <c r="C37" s="7">
        <v>1998400</v>
      </c>
      <c r="E37" s="9">
        <v>44980</v>
      </c>
      <c r="F37" s="7">
        <v>5.58</v>
      </c>
      <c r="G37" s="7">
        <v>2174100</v>
      </c>
    </row>
    <row r="38" spans="1:7">
      <c r="A38" s="9">
        <v>44519</v>
      </c>
      <c r="B38" s="7">
        <v>27.98</v>
      </c>
      <c r="C38" s="7">
        <v>2487300</v>
      </c>
      <c r="E38" s="9">
        <v>44981</v>
      </c>
      <c r="F38" s="7">
        <v>5.52</v>
      </c>
      <c r="G38" s="7">
        <v>1923800</v>
      </c>
    </row>
    <row r="39" spans="1:7">
      <c r="A39" s="9">
        <v>44522</v>
      </c>
      <c r="B39" s="7">
        <v>26.07</v>
      </c>
      <c r="C39" s="7">
        <v>2364100</v>
      </c>
      <c r="E39" s="9">
        <v>44984</v>
      </c>
      <c r="F39" s="7">
        <v>5.41</v>
      </c>
      <c r="G39" s="7">
        <v>3883600</v>
      </c>
    </row>
    <row r="40" spans="1:7">
      <c r="A40" s="9">
        <v>44523</v>
      </c>
      <c r="B40" s="7">
        <v>25.9</v>
      </c>
      <c r="C40" s="7">
        <v>1827200</v>
      </c>
      <c r="E40" s="9">
        <v>44985</v>
      </c>
      <c r="F40" s="7">
        <v>4.92</v>
      </c>
      <c r="G40" s="7">
        <v>9754900</v>
      </c>
    </row>
    <row r="41" spans="1:7">
      <c r="A41" s="9">
        <v>44524</v>
      </c>
      <c r="B41" s="7">
        <v>26.879999000000002</v>
      </c>
      <c r="C41" s="7">
        <v>1056100</v>
      </c>
      <c r="E41" s="9">
        <v>44986</v>
      </c>
      <c r="F41" s="7">
        <v>4.58</v>
      </c>
      <c r="G41" s="7">
        <v>7150600</v>
      </c>
    </row>
    <row r="42" spans="1:7">
      <c r="A42" s="9">
        <v>44526</v>
      </c>
      <c r="B42" s="7">
        <v>26.35</v>
      </c>
      <c r="C42" s="7">
        <v>685800</v>
      </c>
      <c r="E42" s="9">
        <v>44987</v>
      </c>
      <c r="F42" s="7">
        <v>4.67</v>
      </c>
      <c r="G42" s="7">
        <v>2799200</v>
      </c>
    </row>
    <row r="43" spans="1:7">
      <c r="A43" s="9">
        <v>44529</v>
      </c>
      <c r="B43" s="7">
        <v>26.75</v>
      </c>
      <c r="C43" s="7">
        <v>1334200</v>
      </c>
      <c r="E43" s="9">
        <v>44988</v>
      </c>
      <c r="F43" s="7">
        <v>4.6500000000000004</v>
      </c>
      <c r="G43" s="7">
        <v>3991600</v>
      </c>
    </row>
    <row r="44" spans="1:7">
      <c r="A44" s="9">
        <v>44530</v>
      </c>
      <c r="B44" s="7">
        <v>26.950001</v>
      </c>
      <c r="C44" s="7">
        <v>2207600</v>
      </c>
      <c r="E44" s="9">
        <v>44991</v>
      </c>
      <c r="F44" s="7">
        <v>4.26</v>
      </c>
      <c r="G44" s="7">
        <v>6454900</v>
      </c>
    </row>
    <row r="45" spans="1:7">
      <c r="A45" s="9">
        <v>44531</v>
      </c>
      <c r="B45" s="7">
        <v>25.98</v>
      </c>
      <c r="C45" s="7">
        <v>1072500</v>
      </c>
      <c r="E45" s="9">
        <v>44992</v>
      </c>
      <c r="F45" s="7">
        <v>4.26</v>
      </c>
      <c r="G45" s="7">
        <v>4057700</v>
      </c>
    </row>
    <row r="46" spans="1:7">
      <c r="A46" s="9">
        <v>44532</v>
      </c>
      <c r="B46" s="7">
        <v>25.67</v>
      </c>
      <c r="C46" s="7">
        <v>1749200</v>
      </c>
      <c r="E46" s="9">
        <v>44993</v>
      </c>
      <c r="F46" s="7">
        <v>4.22</v>
      </c>
      <c r="G46" s="7">
        <v>2307900</v>
      </c>
    </row>
    <row r="47" spans="1:7">
      <c r="A47" s="9">
        <v>44533</v>
      </c>
      <c r="B47" s="7">
        <v>25.299999</v>
      </c>
      <c r="C47" s="7">
        <v>1738200</v>
      </c>
      <c r="E47" s="9">
        <v>44994</v>
      </c>
      <c r="F47" s="7">
        <v>4.01</v>
      </c>
      <c r="G47" s="7">
        <v>4092100</v>
      </c>
    </row>
    <row r="48" spans="1:7">
      <c r="A48" s="9">
        <v>44536</v>
      </c>
      <c r="B48" s="7">
        <v>25.049999</v>
      </c>
      <c r="C48" s="7">
        <v>3564400</v>
      </c>
      <c r="E48" s="9">
        <v>44995</v>
      </c>
      <c r="F48" s="7">
        <v>3.99</v>
      </c>
      <c r="G48" s="7">
        <v>4396800</v>
      </c>
    </row>
    <row r="49" spans="1:7">
      <c r="A49" s="9">
        <v>44537</v>
      </c>
      <c r="B49" s="7">
        <v>26.700001</v>
      </c>
      <c r="C49" s="7">
        <v>1214900</v>
      </c>
      <c r="E49" s="9">
        <v>44998</v>
      </c>
      <c r="F49" s="7">
        <v>4.05</v>
      </c>
      <c r="G49" s="7">
        <v>2973700</v>
      </c>
    </row>
    <row r="50" spans="1:7">
      <c r="A50" s="9">
        <v>44538</v>
      </c>
      <c r="B50" s="7">
        <v>26.42</v>
      </c>
      <c r="C50" s="7">
        <v>867600</v>
      </c>
      <c r="E50" s="9">
        <v>44999</v>
      </c>
      <c r="F50" s="7">
        <v>3.98</v>
      </c>
      <c r="G50" s="7">
        <v>4247500</v>
      </c>
    </row>
    <row r="51" spans="1:7">
      <c r="A51" s="9">
        <v>44539</v>
      </c>
      <c r="B51" s="7">
        <v>26.93</v>
      </c>
      <c r="C51" s="7">
        <v>893300</v>
      </c>
      <c r="E51" s="9">
        <v>45000</v>
      </c>
      <c r="F51" s="7">
        <v>4.01</v>
      </c>
      <c r="G51" s="7">
        <v>3013600</v>
      </c>
    </row>
    <row r="52" spans="1:7">
      <c r="A52" s="9">
        <v>44540</v>
      </c>
      <c r="B52" s="7">
        <v>27.57</v>
      </c>
      <c r="C52" s="7">
        <v>1605400</v>
      </c>
      <c r="E52" s="9">
        <v>45001</v>
      </c>
      <c r="F52" s="7">
        <v>3.96</v>
      </c>
      <c r="G52" s="7">
        <v>3646100</v>
      </c>
    </row>
    <row r="53" spans="1:7">
      <c r="A53" s="9">
        <v>44543</v>
      </c>
      <c r="B53" s="7">
        <v>26.15</v>
      </c>
      <c r="C53" s="7">
        <v>1736900</v>
      </c>
      <c r="E53" s="9">
        <v>45002</v>
      </c>
      <c r="F53" s="7">
        <v>3.87</v>
      </c>
      <c r="G53" s="7">
        <v>14142300</v>
      </c>
    </row>
    <row r="54" spans="1:7">
      <c r="A54" s="9">
        <v>44544</v>
      </c>
      <c r="B54" s="7">
        <v>26.200001</v>
      </c>
      <c r="C54" s="7">
        <v>1765800</v>
      </c>
      <c r="E54" s="9">
        <v>45005</v>
      </c>
      <c r="F54" s="7">
        <v>3.94</v>
      </c>
      <c r="G54" s="7">
        <v>3128400</v>
      </c>
    </row>
    <row r="55" spans="1:7">
      <c r="A55" s="9">
        <v>44545</v>
      </c>
      <c r="B55" s="7">
        <v>26.93</v>
      </c>
      <c r="C55" s="7">
        <v>1469700</v>
      </c>
      <c r="E55" s="9">
        <v>45006</v>
      </c>
      <c r="F55" s="7">
        <v>4.0599999999999996</v>
      </c>
      <c r="G55" s="7">
        <v>1924300</v>
      </c>
    </row>
    <row r="56" spans="1:7">
      <c r="A56" s="9">
        <v>44546</v>
      </c>
      <c r="B56" s="7">
        <v>25.299999</v>
      </c>
      <c r="C56" s="7">
        <v>2109300</v>
      </c>
      <c r="E56" s="9">
        <v>45007</v>
      </c>
      <c r="F56" s="7">
        <v>4</v>
      </c>
      <c r="G56" s="7">
        <v>2961500</v>
      </c>
    </row>
    <row r="57" spans="1:7">
      <c r="A57" s="9">
        <v>44547</v>
      </c>
      <c r="B57" s="7">
        <v>23.950001</v>
      </c>
      <c r="C57" s="7">
        <v>12642800</v>
      </c>
      <c r="E57" s="9">
        <v>45008</v>
      </c>
      <c r="F57" s="7">
        <v>3.9</v>
      </c>
      <c r="G57" s="7">
        <v>3783700</v>
      </c>
    </row>
    <row r="58" spans="1:7">
      <c r="A58" s="9">
        <v>44550</v>
      </c>
      <c r="B58" s="7">
        <v>25.059999000000001</v>
      </c>
      <c r="C58" s="7">
        <v>1922100</v>
      </c>
      <c r="E58" s="9">
        <v>45009</v>
      </c>
      <c r="F58" s="7">
        <v>3.93</v>
      </c>
      <c r="G58" s="7">
        <v>1961900</v>
      </c>
    </row>
    <row r="59" spans="1:7">
      <c r="A59" s="9">
        <v>44551</v>
      </c>
      <c r="B59" s="7">
        <v>24.9</v>
      </c>
      <c r="C59" s="7">
        <v>1801300</v>
      </c>
      <c r="E59" s="9">
        <v>45012</v>
      </c>
      <c r="F59" s="7">
        <v>3.99</v>
      </c>
      <c r="G59" s="7">
        <v>1807700</v>
      </c>
    </row>
    <row r="60" spans="1:7">
      <c r="A60" s="9">
        <v>44552</v>
      </c>
      <c r="B60" s="7">
        <v>25.67</v>
      </c>
      <c r="C60" s="7">
        <v>722200</v>
      </c>
      <c r="E60" s="9">
        <v>45013</v>
      </c>
      <c r="F60" s="7">
        <v>4.01</v>
      </c>
      <c r="G60" s="7">
        <v>1766000</v>
      </c>
    </row>
    <row r="61" spans="1:7">
      <c r="A61" s="9">
        <v>44553</v>
      </c>
      <c r="B61" s="7">
        <v>26.809999000000001</v>
      </c>
      <c r="C61" s="7">
        <v>1019000</v>
      </c>
      <c r="E61" s="9">
        <v>45014</v>
      </c>
      <c r="F61" s="7">
        <v>4.04</v>
      </c>
      <c r="G61" s="7">
        <v>2166500</v>
      </c>
    </row>
    <row r="62" spans="1:7">
      <c r="A62" s="9">
        <v>44557</v>
      </c>
      <c r="B62" s="7">
        <v>26.9</v>
      </c>
      <c r="C62" s="7">
        <v>553600</v>
      </c>
      <c r="E62" s="9">
        <v>45015</v>
      </c>
      <c r="F62" s="7">
        <v>4.09</v>
      </c>
      <c r="G62" s="7">
        <v>2279600</v>
      </c>
    </row>
    <row r="63" spans="1:7">
      <c r="A63" s="9">
        <v>44558</v>
      </c>
      <c r="B63" s="7">
        <v>26.389999</v>
      </c>
      <c r="C63" s="7">
        <v>482800</v>
      </c>
      <c r="E63" s="9">
        <v>45016</v>
      </c>
      <c r="F63" s="7">
        <v>4.2699999999999996</v>
      </c>
      <c r="G63" s="7">
        <v>2480300</v>
      </c>
    </row>
    <row r="64" spans="1:7">
      <c r="A64" s="9">
        <v>44559</v>
      </c>
      <c r="B64" s="7">
        <v>26.969999000000001</v>
      </c>
      <c r="C64" s="7">
        <v>634200</v>
      </c>
      <c r="E64" s="9">
        <v>45019</v>
      </c>
      <c r="F64" s="7">
        <v>4.2300000000000004</v>
      </c>
      <c r="G64" s="7">
        <v>2355000</v>
      </c>
    </row>
    <row r="65" spans="1:7">
      <c r="A65" s="9">
        <v>44560</v>
      </c>
      <c r="B65" s="7">
        <v>28.59</v>
      </c>
      <c r="C65" s="7">
        <v>1378900</v>
      </c>
      <c r="E65" s="9">
        <v>45020</v>
      </c>
      <c r="F65" s="7">
        <v>4.16</v>
      </c>
      <c r="G65" s="7">
        <v>1347500</v>
      </c>
    </row>
    <row r="66" spans="1:7">
      <c r="A66" s="9">
        <v>44561</v>
      </c>
      <c r="B66" s="7">
        <v>29.129999000000002</v>
      </c>
      <c r="C66" s="7">
        <v>2058300</v>
      </c>
      <c r="E66" s="9">
        <v>45021</v>
      </c>
      <c r="F66" s="7">
        <v>4.05</v>
      </c>
      <c r="G66" s="7">
        <v>1074400</v>
      </c>
    </row>
    <row r="67" spans="1:7">
      <c r="A67" s="9">
        <v>44564</v>
      </c>
      <c r="B67" s="7">
        <v>29.41</v>
      </c>
      <c r="C67" s="7">
        <v>2259400</v>
      </c>
      <c r="E67" s="9">
        <v>45022</v>
      </c>
      <c r="F67" s="7">
        <v>4.16</v>
      </c>
      <c r="G67" s="7">
        <v>1859100</v>
      </c>
    </row>
    <row r="68" spans="1:7">
      <c r="A68" s="9">
        <v>44565</v>
      </c>
      <c r="B68" s="7">
        <v>27.74</v>
      </c>
      <c r="C68" s="7">
        <v>2456800</v>
      </c>
      <c r="E68" s="9">
        <v>45026</v>
      </c>
      <c r="F68" s="7">
        <v>4.16</v>
      </c>
      <c r="G68" s="7">
        <v>2608700</v>
      </c>
    </row>
    <row r="69" spans="1:7">
      <c r="A69" s="9">
        <v>44566</v>
      </c>
      <c r="B69" s="7">
        <v>25.030000999999999</v>
      </c>
      <c r="C69" s="7">
        <v>2155800</v>
      </c>
      <c r="E69" s="9">
        <v>45027</v>
      </c>
      <c r="F69" s="7">
        <v>4.22</v>
      </c>
      <c r="G69" s="7">
        <v>1097500</v>
      </c>
    </row>
    <row r="70" spans="1:7">
      <c r="A70" s="9">
        <v>44567</v>
      </c>
      <c r="B70" s="7">
        <v>25.09</v>
      </c>
      <c r="C70" s="7">
        <v>1215200</v>
      </c>
      <c r="E70" s="9">
        <v>45028</v>
      </c>
      <c r="F70" s="7">
        <v>4.04</v>
      </c>
      <c r="G70" s="7">
        <v>1558400</v>
      </c>
    </row>
    <row r="71" spans="1:7">
      <c r="A71" s="9">
        <v>44568</v>
      </c>
      <c r="B71" s="7">
        <v>24.48</v>
      </c>
      <c r="C71" s="7">
        <v>1767400</v>
      </c>
      <c r="E71" s="9">
        <v>45029</v>
      </c>
      <c r="F71" s="7">
        <v>4.12</v>
      </c>
      <c r="G71" s="7">
        <v>953600</v>
      </c>
    </row>
    <row r="72" spans="1:7">
      <c r="A72" s="9">
        <v>44571</v>
      </c>
      <c r="B72" s="7">
        <v>24.280000999999999</v>
      </c>
      <c r="C72" s="7">
        <v>2017200</v>
      </c>
      <c r="E72" s="9">
        <v>45030</v>
      </c>
      <c r="F72" s="7">
        <v>4.03</v>
      </c>
      <c r="G72" s="7">
        <v>1275000</v>
      </c>
    </row>
    <row r="73" spans="1:7">
      <c r="A73" s="9">
        <v>44572</v>
      </c>
      <c r="B73" s="7">
        <v>25.049999</v>
      </c>
      <c r="C73" s="7">
        <v>1338300</v>
      </c>
      <c r="E73" s="9">
        <v>45033</v>
      </c>
      <c r="F73" s="7">
        <v>3.91</v>
      </c>
      <c r="G73" s="7">
        <v>1525200</v>
      </c>
    </row>
    <row r="74" spans="1:7">
      <c r="A74" s="9">
        <v>44573</v>
      </c>
      <c r="B74" s="7">
        <v>23.889999</v>
      </c>
      <c r="C74" s="7">
        <v>1650100</v>
      </c>
      <c r="E74" s="9">
        <v>45034</v>
      </c>
      <c r="F74" s="7">
        <v>3.9</v>
      </c>
      <c r="G74" s="7">
        <v>1624500</v>
      </c>
    </row>
    <row r="75" spans="1:7">
      <c r="A75" s="9">
        <v>44574</v>
      </c>
      <c r="B75" s="7">
        <v>22.84</v>
      </c>
      <c r="C75" s="7">
        <v>2380900</v>
      </c>
      <c r="E75" s="9">
        <v>45035</v>
      </c>
      <c r="F75" s="7">
        <v>3.89</v>
      </c>
      <c r="G75" s="7">
        <v>1465000</v>
      </c>
    </row>
    <row r="76" spans="1:7">
      <c r="A76" s="9">
        <v>44575</v>
      </c>
      <c r="B76" s="7">
        <v>22.84</v>
      </c>
      <c r="C76" s="7">
        <v>1461900</v>
      </c>
      <c r="E76" s="9">
        <v>45036</v>
      </c>
      <c r="F76" s="7">
        <v>3.82</v>
      </c>
      <c r="G76" s="7">
        <v>1473400</v>
      </c>
    </row>
    <row r="77" spans="1:7">
      <c r="A77" s="9">
        <v>44579</v>
      </c>
      <c r="B77" s="7">
        <v>20.84</v>
      </c>
      <c r="C77" s="7">
        <v>1898500</v>
      </c>
      <c r="E77" s="9">
        <v>45037</v>
      </c>
      <c r="F77" s="7">
        <v>3.8</v>
      </c>
      <c r="G77" s="7">
        <v>1439600</v>
      </c>
    </row>
    <row r="78" spans="1:7">
      <c r="A78" s="9">
        <v>44580</v>
      </c>
      <c r="B78" s="7">
        <v>20.530000999999999</v>
      </c>
      <c r="C78" s="7">
        <v>2714500</v>
      </c>
      <c r="E78" s="9">
        <v>45040</v>
      </c>
      <c r="F78" s="7">
        <v>3.73</v>
      </c>
      <c r="G78" s="7">
        <v>2270200</v>
      </c>
    </row>
    <row r="79" spans="1:7">
      <c r="A79" s="9">
        <v>44581</v>
      </c>
      <c r="B79" s="7">
        <v>20.309999000000001</v>
      </c>
      <c r="C79" s="7">
        <v>2181500</v>
      </c>
      <c r="E79" s="9">
        <v>45041</v>
      </c>
      <c r="F79" s="7">
        <v>3.63</v>
      </c>
      <c r="G79" s="7">
        <v>1487900</v>
      </c>
    </row>
    <row r="80" spans="1:7">
      <c r="A80" s="9">
        <v>44582</v>
      </c>
      <c r="B80" s="7">
        <v>19.079999999999998</v>
      </c>
      <c r="C80" s="7">
        <v>2744500</v>
      </c>
      <c r="E80" s="9">
        <v>45042</v>
      </c>
      <c r="F80" s="7">
        <v>3.65</v>
      </c>
      <c r="G80" s="7">
        <v>1796700</v>
      </c>
    </row>
    <row r="81" spans="1:7">
      <c r="A81" s="9">
        <v>44585</v>
      </c>
      <c r="B81" s="7">
        <v>20.719999000000001</v>
      </c>
      <c r="C81" s="7">
        <v>3946300</v>
      </c>
      <c r="E81" s="9">
        <v>45043</v>
      </c>
      <c r="F81" s="7">
        <v>3.82</v>
      </c>
      <c r="G81" s="7">
        <v>2149400</v>
      </c>
    </row>
    <row r="82" spans="1:7">
      <c r="A82" s="9">
        <v>44586</v>
      </c>
      <c r="B82" s="7">
        <v>21.35</v>
      </c>
      <c r="C82" s="7">
        <v>4087900</v>
      </c>
      <c r="E82" s="9">
        <v>45044</v>
      </c>
      <c r="F82" s="7">
        <v>3.7</v>
      </c>
      <c r="G82" s="7">
        <v>2345800</v>
      </c>
    </row>
    <row r="83" spans="1:7">
      <c r="A83" s="9">
        <v>44587</v>
      </c>
      <c r="B83" s="7">
        <v>20.540001</v>
      </c>
      <c r="C83" s="7">
        <v>4869100</v>
      </c>
      <c r="E83" s="9">
        <v>45047</v>
      </c>
      <c r="F83" s="7">
        <v>3.69</v>
      </c>
      <c r="G83" s="7">
        <v>1894900</v>
      </c>
    </row>
    <row r="84" spans="1:7">
      <c r="A84" s="9">
        <v>44588</v>
      </c>
      <c r="B84" s="7">
        <v>19.700001</v>
      </c>
      <c r="C84" s="7">
        <v>2250700</v>
      </c>
      <c r="E84" s="9">
        <v>45048</v>
      </c>
      <c r="F84" s="7">
        <v>3.62</v>
      </c>
      <c r="G84" s="7">
        <v>1561500</v>
      </c>
    </row>
    <row r="85" spans="1:7">
      <c r="A85" s="9">
        <v>44589</v>
      </c>
      <c r="B85" s="7">
        <v>20.219999000000001</v>
      </c>
      <c r="C85" s="7">
        <v>1689900</v>
      </c>
      <c r="E85" s="9">
        <v>45049</v>
      </c>
      <c r="F85" s="7">
        <v>3.66</v>
      </c>
      <c r="G85" s="7">
        <v>1776000</v>
      </c>
    </row>
    <row r="86" spans="1:7">
      <c r="A86" s="9">
        <v>44592</v>
      </c>
      <c r="B86" s="7">
        <v>21.84</v>
      </c>
      <c r="C86" s="7">
        <v>1360000</v>
      </c>
      <c r="E86" s="9">
        <v>45050</v>
      </c>
      <c r="F86" s="7">
        <v>3.63</v>
      </c>
      <c r="G86" s="7">
        <v>2059600</v>
      </c>
    </row>
    <row r="87" spans="1:7">
      <c r="A87" s="9">
        <v>44593</v>
      </c>
      <c r="B87" s="7">
        <v>22.120000999999998</v>
      </c>
      <c r="C87" s="7">
        <v>1012100</v>
      </c>
      <c r="E87" s="9">
        <v>45051</v>
      </c>
      <c r="F87" s="7">
        <v>3.87</v>
      </c>
      <c r="G87" s="7">
        <v>1613500</v>
      </c>
    </row>
    <row r="88" spans="1:7">
      <c r="A88" s="9">
        <v>44594</v>
      </c>
      <c r="B88" s="7">
        <v>21.719999000000001</v>
      </c>
      <c r="C88" s="7">
        <v>757700</v>
      </c>
      <c r="E88" s="9">
        <v>45054</v>
      </c>
      <c r="F88" s="7">
        <v>3.97</v>
      </c>
      <c r="G88" s="7">
        <v>3614200</v>
      </c>
    </row>
    <row r="89" spans="1:7">
      <c r="A89" s="9">
        <v>44595</v>
      </c>
      <c r="B89" s="7">
        <v>19.879999000000002</v>
      </c>
      <c r="C89" s="7">
        <v>1822900</v>
      </c>
      <c r="E89" s="9">
        <v>45055</v>
      </c>
      <c r="F89" s="7">
        <v>3.7</v>
      </c>
      <c r="G89" s="7">
        <v>4277500</v>
      </c>
    </row>
    <row r="90" spans="1:7">
      <c r="A90" s="9">
        <v>44596</v>
      </c>
      <c r="B90" s="7">
        <v>20.100000000000001</v>
      </c>
      <c r="C90" s="7">
        <v>1267800</v>
      </c>
      <c r="E90" s="9">
        <v>45056</v>
      </c>
      <c r="F90" s="7">
        <v>3.55</v>
      </c>
      <c r="G90" s="7">
        <v>2498100</v>
      </c>
    </row>
    <row r="91" spans="1:7">
      <c r="A91" s="9">
        <v>44599</v>
      </c>
      <c r="B91" s="7">
        <v>20.58</v>
      </c>
      <c r="C91" s="7">
        <v>1152000</v>
      </c>
      <c r="E91" s="9">
        <v>45057</v>
      </c>
      <c r="F91" s="7">
        <v>3.37</v>
      </c>
      <c r="G91" s="7">
        <v>7328500</v>
      </c>
    </row>
    <row r="92" spans="1:7">
      <c r="A92" s="9">
        <v>44600</v>
      </c>
      <c r="B92" s="7">
        <v>20.25</v>
      </c>
      <c r="C92" s="7">
        <v>1441000</v>
      </c>
      <c r="E92" s="9">
        <v>45058</v>
      </c>
      <c r="F92" s="7">
        <v>3.5</v>
      </c>
      <c r="G92" s="7">
        <v>2141100</v>
      </c>
    </row>
    <row r="93" spans="1:7">
      <c r="A93" s="9">
        <v>44601</v>
      </c>
      <c r="B93" s="7">
        <v>21.200001</v>
      </c>
      <c r="C93" s="7">
        <v>1221800</v>
      </c>
      <c r="E93" s="9">
        <v>45061</v>
      </c>
      <c r="F93" s="7">
        <v>3.7</v>
      </c>
      <c r="G93" s="7">
        <v>1987600</v>
      </c>
    </row>
    <row r="94" spans="1:7">
      <c r="A94" s="9">
        <v>44602</v>
      </c>
      <c r="B94" s="7">
        <v>21.07</v>
      </c>
      <c r="C94" s="7">
        <v>1469800</v>
      </c>
      <c r="E94" s="9">
        <v>45062</v>
      </c>
      <c r="F94" s="7">
        <v>3.3450000000000002</v>
      </c>
      <c r="G94" s="7">
        <v>2549800</v>
      </c>
    </row>
    <row r="95" spans="1:7">
      <c r="A95" s="9">
        <v>44603</v>
      </c>
      <c r="B95" s="7">
        <v>20.290001</v>
      </c>
      <c r="C95" s="7">
        <v>1263900</v>
      </c>
      <c r="E95" s="9">
        <v>45063</v>
      </c>
      <c r="F95" s="7">
        <v>3.34</v>
      </c>
      <c r="G95" s="7">
        <v>1267200</v>
      </c>
    </row>
    <row r="96" spans="1:7">
      <c r="A96" s="9">
        <v>44606</v>
      </c>
      <c r="B96" s="7">
        <v>19.879999000000002</v>
      </c>
      <c r="C96" s="7">
        <v>1661900</v>
      </c>
      <c r="E96" s="9">
        <v>45064</v>
      </c>
      <c r="F96" s="7">
        <v>3.33</v>
      </c>
      <c r="G96" s="7">
        <v>1636200</v>
      </c>
    </row>
    <row r="97" spans="1:7">
      <c r="A97" s="9">
        <v>44607</v>
      </c>
      <c r="B97" s="7">
        <v>19.989999999999998</v>
      </c>
      <c r="C97" s="7">
        <v>1176200</v>
      </c>
      <c r="E97" s="9">
        <v>45065</v>
      </c>
      <c r="F97" s="7">
        <v>3.36</v>
      </c>
      <c r="G97" s="7">
        <v>1610400</v>
      </c>
    </row>
    <row r="98" spans="1:7">
      <c r="A98" s="9">
        <v>44608</v>
      </c>
      <c r="B98" s="7">
        <v>19.420000000000002</v>
      </c>
      <c r="C98" s="7">
        <v>1320400</v>
      </c>
      <c r="E98" s="9">
        <v>45068</v>
      </c>
      <c r="F98" s="7">
        <v>3.4</v>
      </c>
      <c r="G98" s="7">
        <v>2881500</v>
      </c>
    </row>
    <row r="99" spans="1:7">
      <c r="A99" s="9">
        <v>44609</v>
      </c>
      <c r="B99" s="7">
        <v>18.030000999999999</v>
      </c>
      <c r="C99" s="7">
        <v>2131100</v>
      </c>
      <c r="E99" s="9">
        <v>45069</v>
      </c>
      <c r="F99" s="7">
        <v>3.46</v>
      </c>
      <c r="G99" s="7">
        <v>1425100</v>
      </c>
    </row>
    <row r="100" spans="1:7">
      <c r="A100" s="9">
        <v>44610</v>
      </c>
      <c r="B100" s="7">
        <v>18.079999999999998</v>
      </c>
      <c r="C100" s="7">
        <v>5292300</v>
      </c>
      <c r="E100" s="9">
        <v>45070</v>
      </c>
      <c r="F100" s="7">
        <v>3.36</v>
      </c>
      <c r="G100" s="7">
        <v>1080800</v>
      </c>
    </row>
    <row r="101" spans="1:7">
      <c r="A101" s="9">
        <v>44614</v>
      </c>
      <c r="B101" s="7">
        <v>16.93</v>
      </c>
      <c r="C101" s="7">
        <v>3818300</v>
      </c>
      <c r="E101" s="9">
        <v>45071</v>
      </c>
      <c r="F101" s="7">
        <v>3.24</v>
      </c>
      <c r="G101" s="7">
        <v>823800</v>
      </c>
    </row>
    <row r="102" spans="1:7">
      <c r="A102" s="9">
        <v>44615</v>
      </c>
      <c r="B102" s="7">
        <v>17.059999000000001</v>
      </c>
      <c r="C102" s="7">
        <v>8037900</v>
      </c>
      <c r="E102" s="9">
        <v>45072</v>
      </c>
      <c r="F102" s="7">
        <v>3.29</v>
      </c>
      <c r="G102" s="7">
        <v>1447000</v>
      </c>
    </row>
    <row r="103" spans="1:7">
      <c r="A103" s="9">
        <v>44616</v>
      </c>
      <c r="B103" s="7">
        <v>17.52</v>
      </c>
      <c r="C103" s="7">
        <v>5028200</v>
      </c>
      <c r="E103" s="9">
        <v>45076</v>
      </c>
      <c r="F103" s="7">
        <v>3.23</v>
      </c>
      <c r="G103" s="7">
        <v>1359300</v>
      </c>
    </row>
    <row r="104" spans="1:7">
      <c r="A104" s="9">
        <v>44617</v>
      </c>
      <c r="B104" s="7">
        <v>17.440000999999999</v>
      </c>
      <c r="C104" s="7">
        <v>1529100</v>
      </c>
      <c r="E104" s="9">
        <v>45077</v>
      </c>
      <c r="F104" s="7">
        <v>3.16</v>
      </c>
      <c r="G104" s="7">
        <v>3767100</v>
      </c>
    </row>
    <row r="105" spans="1:7">
      <c r="A105" s="9">
        <v>44620</v>
      </c>
      <c r="B105" s="7">
        <v>16.780000999999999</v>
      </c>
      <c r="C105" s="7">
        <v>3059700</v>
      </c>
      <c r="E105" s="9">
        <v>45078</v>
      </c>
      <c r="F105" s="7">
        <v>3.21</v>
      </c>
      <c r="G105" s="7">
        <v>1655500</v>
      </c>
    </row>
    <row r="106" spans="1:7">
      <c r="A106" s="9">
        <v>44621</v>
      </c>
      <c r="B106" s="7">
        <v>15.81</v>
      </c>
      <c r="C106" s="7">
        <v>4561800</v>
      </c>
      <c r="E106" s="9">
        <v>45079</v>
      </c>
      <c r="F106" s="7">
        <v>3.47</v>
      </c>
      <c r="G106" s="7">
        <v>1529000</v>
      </c>
    </row>
    <row r="107" spans="1:7">
      <c r="A107" s="9">
        <v>44622</v>
      </c>
      <c r="B107" s="7">
        <v>16.649999999999999</v>
      </c>
      <c r="C107" s="7">
        <v>2593400</v>
      </c>
      <c r="E107" s="9">
        <v>45082</v>
      </c>
      <c r="F107" s="7">
        <v>3.48</v>
      </c>
      <c r="G107" s="7">
        <v>1607200</v>
      </c>
    </row>
    <row r="108" spans="1:7">
      <c r="A108" s="9">
        <v>44623</v>
      </c>
      <c r="B108" s="7">
        <v>15.75</v>
      </c>
      <c r="C108" s="7">
        <v>2807500</v>
      </c>
      <c r="E108" s="9">
        <v>45083</v>
      </c>
      <c r="F108" s="7">
        <v>3.64</v>
      </c>
      <c r="G108" s="7">
        <v>956900</v>
      </c>
    </row>
    <row r="109" spans="1:7">
      <c r="A109" s="9">
        <v>44624</v>
      </c>
      <c r="B109" s="7">
        <v>15.92</v>
      </c>
      <c r="C109" s="7">
        <v>3366200</v>
      </c>
      <c r="E109" s="9">
        <v>45084</v>
      </c>
      <c r="F109" s="7">
        <v>3.83</v>
      </c>
      <c r="G109" s="7">
        <v>1977600</v>
      </c>
    </row>
    <row r="110" spans="1:7">
      <c r="A110" s="9">
        <v>44627</v>
      </c>
      <c r="B110" s="7">
        <v>14.06</v>
      </c>
      <c r="C110" s="7">
        <v>5241100</v>
      </c>
      <c r="E110" s="9">
        <v>45085</v>
      </c>
      <c r="F110" s="7">
        <v>3.72</v>
      </c>
      <c r="G110" s="7">
        <v>1517000</v>
      </c>
    </row>
    <row r="111" spans="1:7">
      <c r="A111" s="9">
        <v>44628</v>
      </c>
      <c r="B111" s="7">
        <v>13.41</v>
      </c>
      <c r="C111" s="7">
        <v>6349000</v>
      </c>
      <c r="E111" s="9">
        <v>45086</v>
      </c>
      <c r="F111" s="7">
        <v>3.55</v>
      </c>
      <c r="G111" s="7">
        <v>2148700</v>
      </c>
    </row>
    <row r="112" spans="1:7">
      <c r="A112" s="9">
        <v>44629</v>
      </c>
      <c r="B112" s="7">
        <v>15.36</v>
      </c>
      <c r="C112" s="7">
        <v>4978400</v>
      </c>
      <c r="E112" s="9">
        <v>45089</v>
      </c>
      <c r="F112" s="7">
        <v>3.63</v>
      </c>
      <c r="G112" s="7">
        <v>2133000</v>
      </c>
    </row>
    <row r="113" spans="1:7">
      <c r="A113" s="9">
        <v>44630</v>
      </c>
      <c r="B113" s="7">
        <v>14.88</v>
      </c>
      <c r="C113" s="7">
        <v>2083400</v>
      </c>
      <c r="E113" s="9">
        <v>45090</v>
      </c>
      <c r="F113" s="7">
        <v>3.68</v>
      </c>
      <c r="G113" s="7">
        <v>1462900</v>
      </c>
    </row>
    <row r="114" spans="1:7">
      <c r="A114" s="9">
        <v>44631</v>
      </c>
      <c r="B114" s="7">
        <v>14.47</v>
      </c>
      <c r="C114" s="7">
        <v>1911100</v>
      </c>
      <c r="E114" s="9">
        <v>45091</v>
      </c>
      <c r="F114" s="7">
        <v>3.59</v>
      </c>
      <c r="G114" s="7">
        <v>1794000</v>
      </c>
    </row>
    <row r="115" spans="1:7">
      <c r="A115" s="9">
        <v>44634</v>
      </c>
      <c r="B115" s="7">
        <v>14.16</v>
      </c>
      <c r="C115" s="7">
        <v>1916400</v>
      </c>
      <c r="E115" s="9">
        <v>45092</v>
      </c>
      <c r="F115" s="7">
        <v>3.65</v>
      </c>
      <c r="G115" s="7">
        <v>1184600</v>
      </c>
    </row>
    <row r="116" spans="1:7">
      <c r="A116" s="9">
        <v>44635</v>
      </c>
      <c r="B116" s="7">
        <v>14.72</v>
      </c>
      <c r="C116" s="7">
        <v>1759100</v>
      </c>
      <c r="E116" s="9">
        <v>45093</v>
      </c>
      <c r="F116" s="7">
        <v>3.66</v>
      </c>
      <c r="G116" s="7">
        <v>2390900</v>
      </c>
    </row>
    <row r="117" spans="1:7">
      <c r="A117" s="9">
        <v>44636</v>
      </c>
      <c r="B117" s="7">
        <v>15.23</v>
      </c>
      <c r="C117" s="7">
        <v>1649300</v>
      </c>
      <c r="E117" s="9">
        <v>45097</v>
      </c>
      <c r="F117" s="7">
        <v>3.62</v>
      </c>
      <c r="G117" s="7">
        <v>1509900</v>
      </c>
    </row>
    <row r="118" spans="1:7">
      <c r="A118" s="9">
        <v>44637</v>
      </c>
      <c r="B118" s="7">
        <v>15.85</v>
      </c>
      <c r="C118" s="7">
        <v>1937600</v>
      </c>
      <c r="E118" s="9">
        <v>45098</v>
      </c>
      <c r="F118" s="7">
        <v>3.57</v>
      </c>
      <c r="G118" s="7">
        <v>954600</v>
      </c>
    </row>
    <row r="119" spans="1:7">
      <c r="A119" s="9">
        <v>44638</v>
      </c>
      <c r="B119" s="7">
        <v>16.809999000000001</v>
      </c>
      <c r="C119" s="7">
        <v>4182600</v>
      </c>
      <c r="E119" s="9">
        <v>45099</v>
      </c>
      <c r="F119" s="7">
        <v>3.6</v>
      </c>
      <c r="G119" s="7">
        <v>1186100</v>
      </c>
    </row>
    <row r="120" spans="1:7">
      <c r="A120" s="9">
        <v>44641</v>
      </c>
      <c r="B120" s="7">
        <v>17.040001</v>
      </c>
      <c r="C120" s="7">
        <v>2716200</v>
      </c>
      <c r="E120" s="9">
        <v>45100</v>
      </c>
      <c r="F120" s="7">
        <v>3.46</v>
      </c>
      <c r="G120" s="7">
        <v>4262700</v>
      </c>
    </row>
    <row r="121" spans="1:7">
      <c r="A121" s="9">
        <v>44642</v>
      </c>
      <c r="B121" s="7">
        <v>16.66</v>
      </c>
      <c r="C121" s="7">
        <v>2020500</v>
      </c>
      <c r="E121" s="9">
        <v>45103</v>
      </c>
      <c r="F121" s="7">
        <v>3.58</v>
      </c>
      <c r="G121" s="7">
        <v>1591000</v>
      </c>
    </row>
    <row r="122" spans="1:7">
      <c r="A122" s="9">
        <v>44643</v>
      </c>
      <c r="B122" s="7">
        <v>16.049999</v>
      </c>
      <c r="C122" s="7">
        <v>1727000</v>
      </c>
      <c r="E122" s="9">
        <v>45104</v>
      </c>
      <c r="F122" s="7">
        <v>3.59</v>
      </c>
      <c r="G122" s="7">
        <v>1439800</v>
      </c>
    </row>
    <row r="123" spans="1:7">
      <c r="A123" s="9">
        <v>44644</v>
      </c>
      <c r="B123" s="7">
        <v>15.75</v>
      </c>
      <c r="C123" s="7">
        <v>2282300</v>
      </c>
      <c r="E123" s="9">
        <v>45105</v>
      </c>
      <c r="F123" s="7">
        <v>3.59</v>
      </c>
      <c r="G123" s="7">
        <v>2384300</v>
      </c>
    </row>
    <row r="124" spans="1:7">
      <c r="A124" s="9">
        <v>44645</v>
      </c>
      <c r="B124" s="7">
        <v>15.69</v>
      </c>
      <c r="C124" s="7">
        <v>1426200</v>
      </c>
      <c r="E124" s="9">
        <v>45106</v>
      </c>
      <c r="F124" s="7">
        <v>3.74</v>
      </c>
      <c r="G124" s="7">
        <v>2417600</v>
      </c>
    </row>
    <row r="125" spans="1:7">
      <c r="A125" s="9">
        <v>44648</v>
      </c>
      <c r="B125" s="7">
        <v>16.079999999999998</v>
      </c>
      <c r="C125" s="7">
        <v>2738100</v>
      </c>
      <c r="E125" s="9">
        <v>45107</v>
      </c>
      <c r="F125" s="7">
        <v>3.72</v>
      </c>
      <c r="G125" s="7">
        <v>945900</v>
      </c>
    </row>
    <row r="126" spans="1:7">
      <c r="A126" s="9">
        <v>44649</v>
      </c>
      <c r="B126" s="7">
        <v>16.760000000000002</v>
      </c>
      <c r="C126" s="7">
        <v>2379500</v>
      </c>
      <c r="E126" s="9">
        <v>45110</v>
      </c>
      <c r="F126" s="7">
        <v>3.92</v>
      </c>
      <c r="G126" s="7">
        <v>1349900</v>
      </c>
    </row>
    <row r="127" spans="1:7">
      <c r="A127" s="9">
        <v>44650</v>
      </c>
      <c r="B127" s="7">
        <v>16.219999000000001</v>
      </c>
      <c r="C127" s="7">
        <v>1247100</v>
      </c>
      <c r="E127" s="9">
        <v>45112</v>
      </c>
      <c r="F127" s="7">
        <v>3.73</v>
      </c>
      <c r="G127" s="7">
        <v>2615000</v>
      </c>
    </row>
    <row r="128" spans="1:7">
      <c r="A128" s="9">
        <v>44651</v>
      </c>
      <c r="B128" s="7">
        <v>15.63</v>
      </c>
      <c r="C128" s="7">
        <v>1601300</v>
      </c>
      <c r="E128" s="9">
        <v>45113</v>
      </c>
      <c r="F128" s="7">
        <v>3.75</v>
      </c>
      <c r="G128" s="7">
        <v>1613700</v>
      </c>
    </row>
    <row r="129" spans="1:7">
      <c r="A129" s="9">
        <v>44652</v>
      </c>
      <c r="B129" s="7">
        <v>15.78</v>
      </c>
      <c r="C129" s="7">
        <v>1408800</v>
      </c>
      <c r="E129" s="9">
        <v>45114</v>
      </c>
      <c r="F129" s="7">
        <v>3.87</v>
      </c>
      <c r="G129" s="7">
        <v>1821900</v>
      </c>
    </row>
    <row r="130" spans="1:7">
      <c r="A130" s="9">
        <v>44655</v>
      </c>
      <c r="B130" s="7">
        <v>16.459999</v>
      </c>
      <c r="C130" s="7">
        <v>2477500</v>
      </c>
      <c r="E130" s="9">
        <v>45117</v>
      </c>
      <c r="F130" s="7">
        <v>4.0199999999999996</v>
      </c>
      <c r="G130" s="7">
        <v>2096900</v>
      </c>
    </row>
    <row r="131" spans="1:7">
      <c r="A131" s="9">
        <v>44656</v>
      </c>
      <c r="B131" s="7">
        <v>15.68</v>
      </c>
      <c r="C131" s="7">
        <v>2098700</v>
      </c>
      <c r="E131" s="9">
        <v>45118</v>
      </c>
      <c r="F131" s="7">
        <v>4.13</v>
      </c>
      <c r="G131" s="7">
        <v>2557600</v>
      </c>
    </row>
    <row r="132" spans="1:7">
      <c r="A132" s="9">
        <v>44657</v>
      </c>
      <c r="B132" s="7">
        <v>14.96</v>
      </c>
      <c r="C132" s="7">
        <v>2081200</v>
      </c>
      <c r="E132" s="9">
        <v>45119</v>
      </c>
      <c r="F132" s="7">
        <v>4.2300000000000004</v>
      </c>
      <c r="G132" s="7">
        <v>3111000</v>
      </c>
    </row>
    <row r="133" spans="1:7">
      <c r="A133" s="9">
        <v>44658</v>
      </c>
      <c r="B133" s="7">
        <v>15.01</v>
      </c>
      <c r="C133" s="7">
        <v>2256200</v>
      </c>
      <c r="E133" s="9">
        <v>45120</v>
      </c>
      <c r="F133" s="7">
        <v>4.12</v>
      </c>
      <c r="G133" s="7">
        <v>1665900</v>
      </c>
    </row>
    <row r="134" spans="1:7">
      <c r="A134" s="9">
        <v>44659</v>
      </c>
      <c r="B134" s="7">
        <v>15.45</v>
      </c>
      <c r="C134" s="7">
        <v>1756600</v>
      </c>
      <c r="E134" s="9">
        <v>45121</v>
      </c>
      <c r="F134" s="7">
        <v>3.97</v>
      </c>
      <c r="G134" s="7">
        <v>908900</v>
      </c>
    </row>
    <row r="135" spans="1:7">
      <c r="A135" s="9">
        <v>44662</v>
      </c>
      <c r="B135" s="7">
        <v>14.95</v>
      </c>
      <c r="C135" s="7">
        <v>1407800</v>
      </c>
      <c r="E135" s="9">
        <v>45124</v>
      </c>
      <c r="F135" s="7">
        <v>3.99</v>
      </c>
      <c r="G135" s="7">
        <v>1616500</v>
      </c>
    </row>
    <row r="136" spans="1:7">
      <c r="A136" s="9">
        <v>44663</v>
      </c>
      <c r="B136" s="7">
        <v>14.67</v>
      </c>
      <c r="C136" s="7">
        <v>1400400</v>
      </c>
      <c r="E136" s="9">
        <v>45125</v>
      </c>
      <c r="F136" s="7">
        <v>4.08</v>
      </c>
      <c r="G136" s="7">
        <v>877500</v>
      </c>
    </row>
    <row r="137" spans="1:7">
      <c r="A137" s="9">
        <v>44664</v>
      </c>
      <c r="B137" s="7">
        <v>15.43</v>
      </c>
      <c r="C137" s="7">
        <v>997500</v>
      </c>
      <c r="E137" s="9">
        <v>45126</v>
      </c>
      <c r="F137" s="7">
        <v>4.0599999999999996</v>
      </c>
      <c r="G137" s="7">
        <v>985100</v>
      </c>
    </row>
    <row r="138" spans="1:7">
      <c r="A138" s="9">
        <v>44665</v>
      </c>
      <c r="B138" s="7">
        <v>15.22</v>
      </c>
      <c r="C138" s="7">
        <v>957100</v>
      </c>
      <c r="E138" s="9">
        <v>45127</v>
      </c>
      <c r="F138" s="7">
        <v>3.79</v>
      </c>
      <c r="G138" s="7">
        <v>2158300</v>
      </c>
    </row>
    <row r="139" spans="1:7">
      <c r="A139" s="9">
        <v>44669</v>
      </c>
      <c r="B139" s="7">
        <v>14.96</v>
      </c>
      <c r="C139" s="7">
        <v>1281100</v>
      </c>
      <c r="E139" s="9">
        <v>45128</v>
      </c>
      <c r="F139" s="7">
        <v>3.8250000000000002</v>
      </c>
      <c r="G139" s="7">
        <v>1031600</v>
      </c>
    </row>
    <row r="140" spans="1:7">
      <c r="A140" s="9">
        <v>44670</v>
      </c>
      <c r="B140" s="7">
        <v>15.79</v>
      </c>
      <c r="C140" s="7">
        <v>1332200</v>
      </c>
      <c r="E140" s="9">
        <v>45131</v>
      </c>
      <c r="F140" s="7">
        <v>3.94</v>
      </c>
      <c r="G140" s="7">
        <v>1084000</v>
      </c>
    </row>
    <row r="141" spans="1:7">
      <c r="A141" s="9">
        <v>44671</v>
      </c>
      <c r="B141" s="7">
        <v>15.55</v>
      </c>
      <c r="C141" s="7">
        <v>1454700</v>
      </c>
      <c r="E141" s="9">
        <v>45132</v>
      </c>
      <c r="F141" s="7">
        <v>3.9</v>
      </c>
      <c r="G141" s="7">
        <v>1028900</v>
      </c>
    </row>
    <row r="142" spans="1:7">
      <c r="A142" s="9">
        <v>44672</v>
      </c>
      <c r="B142" s="7">
        <v>13.92</v>
      </c>
      <c r="C142" s="7">
        <v>2765800</v>
      </c>
      <c r="E142" s="9">
        <v>45133</v>
      </c>
      <c r="F142" s="7">
        <v>3.98</v>
      </c>
      <c r="G142" s="7">
        <v>1582800</v>
      </c>
    </row>
    <row r="143" spans="1:7">
      <c r="A143" s="9">
        <v>44673</v>
      </c>
      <c r="B143" s="7">
        <v>14.09</v>
      </c>
      <c r="C143" s="7">
        <v>1983100</v>
      </c>
      <c r="E143" s="9">
        <v>45134</v>
      </c>
      <c r="F143" s="7">
        <v>3.68</v>
      </c>
      <c r="G143" s="7">
        <v>1288200</v>
      </c>
    </row>
    <row r="144" spans="1:7">
      <c r="A144" s="9">
        <v>44676</v>
      </c>
      <c r="B144" s="7">
        <v>14.85</v>
      </c>
      <c r="C144" s="7">
        <v>1283300</v>
      </c>
      <c r="E144" s="9">
        <v>45135</v>
      </c>
      <c r="F144" s="7">
        <v>3.71</v>
      </c>
      <c r="G144" s="7">
        <v>1583200</v>
      </c>
    </row>
    <row r="145" spans="1:7">
      <c r="A145" s="9">
        <v>44677</v>
      </c>
      <c r="B145" s="7">
        <v>14.07</v>
      </c>
      <c r="C145" s="7">
        <v>1347500</v>
      </c>
      <c r="E145" s="9">
        <v>45138</v>
      </c>
      <c r="F145" s="7">
        <v>3.6</v>
      </c>
      <c r="G145" s="7">
        <v>1778500</v>
      </c>
    </row>
    <row r="146" spans="1:7">
      <c r="A146" s="9">
        <v>44678</v>
      </c>
      <c r="B146" s="7">
        <v>14.22</v>
      </c>
      <c r="C146" s="7">
        <v>1418600</v>
      </c>
      <c r="E146" s="9">
        <v>45139</v>
      </c>
      <c r="F146" s="7">
        <v>3.46</v>
      </c>
      <c r="G146" s="7">
        <v>1762600</v>
      </c>
    </row>
    <row r="147" spans="1:7">
      <c r="A147" s="9">
        <v>44679</v>
      </c>
      <c r="B147" s="7">
        <v>14.91</v>
      </c>
      <c r="C147" s="7">
        <v>1774400</v>
      </c>
      <c r="E147" s="9">
        <v>45140</v>
      </c>
      <c r="F147" s="7">
        <v>3.44</v>
      </c>
      <c r="G147" s="7">
        <v>1509700</v>
      </c>
    </row>
    <row r="148" spans="1:7">
      <c r="A148" s="9">
        <v>44680</v>
      </c>
      <c r="B148" s="7">
        <v>14.7</v>
      </c>
      <c r="C148" s="7">
        <v>1743000</v>
      </c>
      <c r="E148" s="9">
        <v>45141</v>
      </c>
      <c r="F148" s="7">
        <v>3.43</v>
      </c>
      <c r="G148" s="7">
        <v>2842800</v>
      </c>
    </row>
    <row r="149" spans="1:7">
      <c r="A149" s="9">
        <v>44683</v>
      </c>
      <c r="B149" s="7">
        <v>14.34</v>
      </c>
      <c r="C149" s="7">
        <v>4205600</v>
      </c>
      <c r="E149" s="9">
        <v>45142</v>
      </c>
      <c r="F149" s="7">
        <v>3.49</v>
      </c>
      <c r="G149" s="7">
        <v>1719700</v>
      </c>
    </row>
    <row r="150" spans="1:7">
      <c r="A150" s="9">
        <v>44684</v>
      </c>
      <c r="B150" s="7">
        <v>14.2</v>
      </c>
      <c r="C150" s="7">
        <v>2498700</v>
      </c>
      <c r="E150" s="9">
        <v>45145</v>
      </c>
      <c r="F150" s="7">
        <v>3.57</v>
      </c>
      <c r="G150" s="7">
        <v>3182700</v>
      </c>
    </row>
    <row r="151" spans="1:7">
      <c r="A151" s="9">
        <v>44685</v>
      </c>
      <c r="B151" s="7">
        <v>14.45</v>
      </c>
      <c r="C151" s="7">
        <v>1739900</v>
      </c>
      <c r="E151" s="9">
        <v>45146</v>
      </c>
      <c r="F151" s="7">
        <v>3.23</v>
      </c>
      <c r="G151" s="7">
        <v>14027400</v>
      </c>
    </row>
    <row r="152" spans="1:7">
      <c r="A152" s="9">
        <v>44686</v>
      </c>
      <c r="B152" s="7">
        <v>13.34</v>
      </c>
      <c r="C152" s="7">
        <v>1775000</v>
      </c>
      <c r="E152" s="9">
        <v>45147</v>
      </c>
      <c r="F152" s="7">
        <v>2.8</v>
      </c>
      <c r="G152" s="7">
        <v>4814300</v>
      </c>
    </row>
    <row r="153" spans="1:7">
      <c r="A153" s="9">
        <v>44687</v>
      </c>
      <c r="B153" s="7">
        <v>13.39</v>
      </c>
      <c r="C153" s="7">
        <v>3909200</v>
      </c>
      <c r="E153" s="9">
        <v>45148</v>
      </c>
      <c r="F153" s="7">
        <v>2.62</v>
      </c>
      <c r="G153" s="7">
        <v>4181900</v>
      </c>
    </row>
    <row r="154" spans="1:7">
      <c r="A154" s="9">
        <v>44690</v>
      </c>
      <c r="B154" s="7">
        <v>12.94</v>
      </c>
      <c r="C154" s="7">
        <v>2072500</v>
      </c>
      <c r="E154" s="9">
        <v>45149</v>
      </c>
      <c r="F154" s="7">
        <v>2.6</v>
      </c>
      <c r="G154" s="7">
        <v>3672700</v>
      </c>
    </row>
    <row r="155" spans="1:7">
      <c r="A155" s="9">
        <v>44691</v>
      </c>
      <c r="B155" s="7">
        <v>12.16</v>
      </c>
      <c r="C155" s="7">
        <v>5376100</v>
      </c>
      <c r="E155" s="9">
        <v>45152</v>
      </c>
      <c r="F155" s="7">
        <v>2.63</v>
      </c>
      <c r="G155" s="7">
        <v>4138600</v>
      </c>
    </row>
    <row r="156" spans="1:7">
      <c r="A156" s="9">
        <v>44692</v>
      </c>
      <c r="B156" s="7">
        <v>12.27</v>
      </c>
      <c r="C156" s="7">
        <v>7008800</v>
      </c>
      <c r="E156" s="9">
        <v>45153</v>
      </c>
      <c r="F156" s="7">
        <v>2.79</v>
      </c>
      <c r="G156" s="7">
        <v>5342700</v>
      </c>
    </row>
    <row r="157" spans="1:7">
      <c r="A157" s="9">
        <v>44693</v>
      </c>
      <c r="B157" s="7">
        <v>12.92</v>
      </c>
      <c r="C157" s="7">
        <v>3929600</v>
      </c>
      <c r="E157" s="9">
        <v>45154</v>
      </c>
      <c r="F157" s="7">
        <v>2.75</v>
      </c>
      <c r="G157" s="7">
        <v>3398800</v>
      </c>
    </row>
    <row r="158" spans="1:7">
      <c r="A158" s="9">
        <v>44694</v>
      </c>
      <c r="B158" s="7">
        <v>13.8</v>
      </c>
      <c r="C158" s="7">
        <v>3269500</v>
      </c>
      <c r="E158" s="9">
        <v>45155</v>
      </c>
      <c r="F158" s="7">
        <v>2.71</v>
      </c>
      <c r="G158" s="7">
        <v>3141500</v>
      </c>
    </row>
    <row r="159" spans="1:7">
      <c r="A159" s="9">
        <v>44697</v>
      </c>
      <c r="B159" s="7">
        <v>14.1</v>
      </c>
      <c r="C159" s="7">
        <v>2088100</v>
      </c>
      <c r="E159" s="9">
        <v>45156</v>
      </c>
      <c r="F159" s="7">
        <v>2.7</v>
      </c>
      <c r="G159" s="7">
        <v>2014300</v>
      </c>
    </row>
    <row r="160" spans="1:7">
      <c r="A160" s="9">
        <v>44698</v>
      </c>
      <c r="B160" s="7">
        <v>14.83</v>
      </c>
      <c r="C160" s="7">
        <v>2724500</v>
      </c>
      <c r="E160" s="9">
        <v>45159</v>
      </c>
      <c r="F160" s="7">
        <v>2.73</v>
      </c>
      <c r="G160" s="7">
        <v>1976700</v>
      </c>
    </row>
    <row r="161" spans="1:7">
      <c r="A161" s="9">
        <v>44699</v>
      </c>
      <c r="B161" s="7">
        <v>13.92</v>
      </c>
      <c r="C161" s="7">
        <v>2559800</v>
      </c>
      <c r="E161" s="9">
        <v>45160</v>
      </c>
      <c r="F161" s="7">
        <v>2.74</v>
      </c>
      <c r="G161" s="7">
        <v>1045600</v>
      </c>
    </row>
    <row r="162" spans="1:7">
      <c r="A162" s="9">
        <v>44700</v>
      </c>
      <c r="B162" s="7">
        <v>14.2</v>
      </c>
      <c r="C162" s="7">
        <v>2357400</v>
      </c>
      <c r="E162" s="9">
        <v>45161</v>
      </c>
      <c r="F162" s="7">
        <v>2.645</v>
      </c>
      <c r="G162" s="7">
        <v>2276700</v>
      </c>
    </row>
    <row r="163" spans="1:7">
      <c r="A163" s="9">
        <v>44701</v>
      </c>
      <c r="B163" s="7">
        <v>14.48</v>
      </c>
      <c r="C163" s="7">
        <v>3346400</v>
      </c>
      <c r="E163" s="9">
        <v>45162</v>
      </c>
      <c r="F163" s="7">
        <v>2.61</v>
      </c>
      <c r="G163" s="7">
        <v>1684000</v>
      </c>
    </row>
    <row r="164" spans="1:7">
      <c r="A164" s="9">
        <v>44704</v>
      </c>
      <c r="B164" s="7">
        <v>15.2</v>
      </c>
      <c r="C164" s="7">
        <v>4751000</v>
      </c>
      <c r="E164" s="9">
        <v>45163</v>
      </c>
      <c r="F164" s="7">
        <v>2.64</v>
      </c>
      <c r="G164" s="7">
        <v>2535800</v>
      </c>
    </row>
    <row r="165" spans="1:7">
      <c r="A165" s="9">
        <v>44705</v>
      </c>
      <c r="B165" s="7">
        <v>14.48</v>
      </c>
      <c r="C165" s="7">
        <v>4104100</v>
      </c>
      <c r="E165" s="9">
        <v>45166</v>
      </c>
      <c r="F165" s="7">
        <v>2.7</v>
      </c>
      <c r="G165" s="7">
        <v>1631500</v>
      </c>
    </row>
    <row r="166" spans="1:7">
      <c r="A166" s="9">
        <v>44706</v>
      </c>
      <c r="B166" s="7">
        <v>14.29</v>
      </c>
      <c r="C166" s="7">
        <v>1722200</v>
      </c>
      <c r="E166" s="9">
        <v>45167</v>
      </c>
      <c r="F166" s="7">
        <v>2.75</v>
      </c>
      <c r="G166" s="7">
        <v>1106300</v>
      </c>
    </row>
    <row r="167" spans="1:7">
      <c r="A167" s="9">
        <v>44707</v>
      </c>
      <c r="B167" s="7">
        <v>15.58</v>
      </c>
      <c r="C167" s="7">
        <v>2933300</v>
      </c>
      <c r="E167" s="9">
        <v>45168</v>
      </c>
      <c r="F167" s="7">
        <v>2.75</v>
      </c>
      <c r="G167" s="7">
        <v>924600</v>
      </c>
    </row>
    <row r="168" spans="1:7">
      <c r="A168" s="9">
        <v>44708</v>
      </c>
      <c r="B168" s="7">
        <v>17.360001</v>
      </c>
      <c r="C168" s="7">
        <v>3322800</v>
      </c>
      <c r="E168" s="9">
        <v>45169</v>
      </c>
      <c r="F168" s="7">
        <v>2.71</v>
      </c>
      <c r="G168" s="7">
        <v>1581900</v>
      </c>
    </row>
    <row r="169" spans="1:7">
      <c r="A169" s="9">
        <v>44712</v>
      </c>
      <c r="B169" s="7">
        <v>16.120000999999998</v>
      </c>
      <c r="C169" s="7">
        <v>1778700</v>
      </c>
      <c r="E169" s="9">
        <v>45170</v>
      </c>
      <c r="F169" s="7">
        <v>2.68</v>
      </c>
      <c r="G169" s="7">
        <v>1249500</v>
      </c>
    </row>
    <row r="170" spans="1:7">
      <c r="A170" s="9">
        <v>44713</v>
      </c>
      <c r="B170" s="7">
        <v>15.66</v>
      </c>
      <c r="C170" s="7">
        <v>1596000</v>
      </c>
      <c r="E170" s="9">
        <v>45174</v>
      </c>
      <c r="F170" s="7">
        <v>2.59</v>
      </c>
      <c r="G170" s="7">
        <v>1112500</v>
      </c>
    </row>
    <row r="171" spans="1:7">
      <c r="A171" s="9">
        <v>44714</v>
      </c>
      <c r="B171" s="7">
        <v>16.91</v>
      </c>
      <c r="C171" s="7">
        <v>2365500</v>
      </c>
      <c r="E171" s="9">
        <v>45175</v>
      </c>
      <c r="F171" s="7">
        <v>2.5499999999999998</v>
      </c>
      <c r="G171" s="7">
        <v>1468600</v>
      </c>
    </row>
    <row r="172" spans="1:7">
      <c r="A172" s="9">
        <v>44715</v>
      </c>
      <c r="B172" s="7">
        <v>16.25</v>
      </c>
      <c r="C172" s="7">
        <v>1663200</v>
      </c>
      <c r="E172" s="9">
        <v>45176</v>
      </c>
      <c r="F172" s="7">
        <v>2.4500000000000002</v>
      </c>
      <c r="G172" s="7">
        <v>2291800</v>
      </c>
    </row>
    <row r="173" spans="1:7">
      <c r="A173" s="9">
        <v>44718</v>
      </c>
      <c r="B173" s="7">
        <v>16.700001</v>
      </c>
      <c r="C173" s="7">
        <v>1188000</v>
      </c>
      <c r="E173" s="9">
        <v>45177</v>
      </c>
      <c r="F173" s="7">
        <v>2.4300000000000002</v>
      </c>
      <c r="G173" s="7">
        <v>1130700</v>
      </c>
    </row>
    <row r="174" spans="1:7">
      <c r="A174" s="9">
        <v>44719</v>
      </c>
      <c r="B174" s="7">
        <v>16.670000000000002</v>
      </c>
      <c r="C174" s="7">
        <v>1056400</v>
      </c>
      <c r="E174" s="9">
        <v>45180</v>
      </c>
      <c r="F174" s="7">
        <v>2.4</v>
      </c>
      <c r="G174" s="7">
        <v>1757200</v>
      </c>
    </row>
    <row r="175" spans="1:7">
      <c r="A175" s="9">
        <v>44720</v>
      </c>
      <c r="B175" s="7">
        <v>16.510000000000002</v>
      </c>
      <c r="C175" s="7">
        <v>1081700</v>
      </c>
      <c r="E175" s="9">
        <v>45181</v>
      </c>
      <c r="F175" s="7">
        <v>2.41</v>
      </c>
      <c r="G175" s="7">
        <v>1701900</v>
      </c>
    </row>
    <row r="176" spans="1:7">
      <c r="A176" s="9">
        <v>44721</v>
      </c>
      <c r="B176" s="7">
        <v>16.420000000000002</v>
      </c>
      <c r="C176" s="7">
        <v>2105000</v>
      </c>
      <c r="E176" s="9">
        <v>45182</v>
      </c>
      <c r="F176" s="7">
        <v>2.4</v>
      </c>
      <c r="G176" s="7">
        <v>1355100</v>
      </c>
    </row>
    <row r="177" spans="1:7">
      <c r="A177" s="9">
        <v>44722</v>
      </c>
      <c r="B177" s="7">
        <v>15.24</v>
      </c>
      <c r="C177" s="7">
        <v>1885000</v>
      </c>
      <c r="E177" s="9">
        <v>45183</v>
      </c>
      <c r="F177" s="7">
        <v>2.41</v>
      </c>
      <c r="G177" s="7">
        <v>1327100</v>
      </c>
    </row>
    <row r="178" spans="1:7">
      <c r="A178" s="9">
        <v>44725</v>
      </c>
      <c r="B178" s="7">
        <v>14.02</v>
      </c>
      <c r="C178" s="7">
        <v>1916900</v>
      </c>
      <c r="E178" s="9">
        <v>45184</v>
      </c>
      <c r="F178" s="7">
        <v>2.2599999999999998</v>
      </c>
      <c r="G178" s="7">
        <v>6693300</v>
      </c>
    </row>
    <row r="179" spans="1:7">
      <c r="A179" s="9">
        <v>44726</v>
      </c>
      <c r="B179" s="7">
        <v>14.84</v>
      </c>
      <c r="C179" s="7">
        <v>1970900</v>
      </c>
      <c r="E179" s="9">
        <v>45187</v>
      </c>
      <c r="F179" s="7">
        <v>2.09</v>
      </c>
      <c r="G179" s="7">
        <v>3209200</v>
      </c>
    </row>
    <row r="180" spans="1:7">
      <c r="A180" s="9">
        <v>44727</v>
      </c>
      <c r="B180" s="7">
        <v>15.19</v>
      </c>
      <c r="C180" s="7">
        <v>3219700</v>
      </c>
      <c r="E180" s="9">
        <v>45188</v>
      </c>
      <c r="F180" s="7">
        <v>2.11</v>
      </c>
      <c r="G180" s="7">
        <v>2114200</v>
      </c>
    </row>
    <row r="181" spans="1:7">
      <c r="A181" s="9">
        <v>44728</v>
      </c>
      <c r="B181" s="7">
        <v>13.26</v>
      </c>
      <c r="C181" s="7">
        <v>2714500</v>
      </c>
      <c r="E181" s="9">
        <v>45189</v>
      </c>
      <c r="F181" s="7">
        <v>2.0699999999999998</v>
      </c>
      <c r="G181" s="7">
        <v>1660500</v>
      </c>
    </row>
    <row r="182" spans="1:7">
      <c r="A182" s="9">
        <v>44729</v>
      </c>
      <c r="B182" s="7">
        <v>14.01</v>
      </c>
      <c r="C182" s="7">
        <v>2713800</v>
      </c>
      <c r="E182" s="9">
        <v>45190</v>
      </c>
      <c r="F182" s="7">
        <v>2.09</v>
      </c>
      <c r="G182" s="7">
        <v>2340700</v>
      </c>
    </row>
    <row r="183" spans="1:7">
      <c r="A183" s="9">
        <v>44733</v>
      </c>
      <c r="B183" s="7">
        <v>13.91</v>
      </c>
      <c r="C183" s="7">
        <v>2077400</v>
      </c>
      <c r="E183" s="9">
        <v>45191</v>
      </c>
      <c r="F183" s="7">
        <v>2.0699999999999998</v>
      </c>
      <c r="G183" s="7">
        <v>1659500</v>
      </c>
    </row>
    <row r="184" spans="1:7">
      <c r="A184" s="9">
        <v>44734</v>
      </c>
      <c r="B184" s="7">
        <v>13.93</v>
      </c>
      <c r="C184" s="7">
        <v>2263300</v>
      </c>
      <c r="E184" s="9">
        <v>45194</v>
      </c>
      <c r="F184" s="7">
        <v>2.02</v>
      </c>
      <c r="G184" s="7">
        <v>2141100</v>
      </c>
    </row>
    <row r="185" spans="1:7">
      <c r="A185" s="9">
        <v>44735</v>
      </c>
      <c r="B185" s="7">
        <v>14.73</v>
      </c>
      <c r="C185" s="7">
        <v>1315300</v>
      </c>
      <c r="E185" s="9">
        <v>45195</v>
      </c>
      <c r="F185" s="7">
        <v>2.0099999999999998</v>
      </c>
      <c r="G185" s="7">
        <v>2806200</v>
      </c>
    </row>
    <row r="186" spans="1:7">
      <c r="A186" s="9">
        <v>44736</v>
      </c>
      <c r="B186" s="7">
        <v>15.59</v>
      </c>
      <c r="C186" s="7">
        <v>5330200</v>
      </c>
      <c r="E186" s="9">
        <v>45196</v>
      </c>
      <c r="F186" s="7">
        <v>1.95</v>
      </c>
      <c r="G186" s="7">
        <v>1171500</v>
      </c>
    </row>
    <row r="187" spans="1:7">
      <c r="A187" s="9">
        <v>44739</v>
      </c>
      <c r="B187" s="7">
        <v>15.28</v>
      </c>
      <c r="C187" s="7">
        <v>1560000</v>
      </c>
      <c r="E187" s="9">
        <v>45197</v>
      </c>
      <c r="F187" s="7">
        <v>1.88</v>
      </c>
      <c r="G187" s="7">
        <v>2118400</v>
      </c>
    </row>
    <row r="188" spans="1:7">
      <c r="A188" s="9">
        <v>44740</v>
      </c>
      <c r="B188" s="7">
        <v>14.64</v>
      </c>
      <c r="C188" s="7">
        <v>1234200</v>
      </c>
      <c r="E188" s="9">
        <v>45198</v>
      </c>
      <c r="F188" s="7">
        <v>1.95</v>
      </c>
      <c r="G188" s="7">
        <v>2456800</v>
      </c>
    </row>
    <row r="189" spans="1:7">
      <c r="A189" s="9">
        <v>44741</v>
      </c>
      <c r="B189" s="7">
        <v>13.85</v>
      </c>
      <c r="C189" s="7">
        <v>1757600</v>
      </c>
      <c r="E189" s="9">
        <v>45201</v>
      </c>
      <c r="F189" s="7">
        <v>1.9</v>
      </c>
      <c r="G189" s="7">
        <v>1428300</v>
      </c>
    </row>
    <row r="190" spans="1:7">
      <c r="A190" s="9">
        <v>44742</v>
      </c>
      <c r="B190" s="7">
        <v>14.09</v>
      </c>
      <c r="C190" s="7">
        <v>1973200</v>
      </c>
      <c r="E190" s="9">
        <v>45202</v>
      </c>
      <c r="F190" s="7">
        <v>1.87</v>
      </c>
      <c r="G190" s="7">
        <v>1531100</v>
      </c>
    </row>
    <row r="191" spans="1:7">
      <c r="A191" s="9">
        <v>44743</v>
      </c>
      <c r="B191" s="7">
        <v>14.42</v>
      </c>
      <c r="C191" s="7">
        <v>1404400</v>
      </c>
      <c r="E191" s="9">
        <v>45203</v>
      </c>
      <c r="F191" s="7">
        <v>1.97</v>
      </c>
      <c r="G191" s="7">
        <v>2093700</v>
      </c>
    </row>
    <row r="192" spans="1:7">
      <c r="A192" s="9">
        <v>44747</v>
      </c>
      <c r="B192" s="7">
        <v>14.88</v>
      </c>
      <c r="C192" s="7">
        <v>954300</v>
      </c>
      <c r="E192" s="9">
        <v>45204</v>
      </c>
      <c r="F192" s="7">
        <v>1.85</v>
      </c>
      <c r="G192" s="7">
        <v>1218400</v>
      </c>
    </row>
    <row r="193" spans="1:7">
      <c r="A193" s="9">
        <v>44748</v>
      </c>
      <c r="B193" s="7">
        <v>14.69</v>
      </c>
      <c r="C193" s="7">
        <v>1519600</v>
      </c>
      <c r="E193" s="9">
        <v>45205</v>
      </c>
      <c r="F193" s="7">
        <v>1.86</v>
      </c>
      <c r="G193" s="7">
        <v>1351800</v>
      </c>
    </row>
    <row r="194" spans="1:7">
      <c r="A194" s="9">
        <v>44749</v>
      </c>
      <c r="B194" s="7">
        <v>14.79</v>
      </c>
      <c r="C194" s="7">
        <v>870300</v>
      </c>
      <c r="E194" s="9">
        <v>45208</v>
      </c>
      <c r="F194" s="7">
        <v>1.83</v>
      </c>
      <c r="G194" s="7">
        <v>1102400</v>
      </c>
    </row>
    <row r="195" spans="1:7">
      <c r="A195" s="9">
        <v>44750</v>
      </c>
      <c r="B195" s="7">
        <v>14.16</v>
      </c>
      <c r="C195" s="7">
        <v>895400</v>
      </c>
      <c r="E195" s="9">
        <v>45209</v>
      </c>
      <c r="F195" s="7">
        <v>1.85</v>
      </c>
      <c r="G195" s="7">
        <v>1459800</v>
      </c>
    </row>
    <row r="196" spans="1:7">
      <c r="A196" s="9">
        <v>44753</v>
      </c>
      <c r="B196" s="7">
        <v>13.9</v>
      </c>
      <c r="C196" s="7">
        <v>859900</v>
      </c>
      <c r="E196" s="9">
        <v>45210</v>
      </c>
      <c r="F196" s="7">
        <v>1.76</v>
      </c>
      <c r="G196" s="7">
        <v>910800</v>
      </c>
    </row>
    <row r="197" spans="1:7">
      <c r="A197" s="9">
        <v>44754</v>
      </c>
      <c r="B197" s="7">
        <v>14.36</v>
      </c>
      <c r="C197" s="7">
        <v>1004100</v>
      </c>
      <c r="E197" s="9">
        <v>45211</v>
      </c>
      <c r="F197" s="7">
        <v>1.77</v>
      </c>
      <c r="G197" s="7">
        <v>2353900</v>
      </c>
    </row>
    <row r="198" spans="1:7">
      <c r="A198" s="9">
        <v>44755</v>
      </c>
      <c r="B198" s="7">
        <v>15.31</v>
      </c>
      <c r="C198" s="7">
        <v>1549500</v>
      </c>
      <c r="E198" s="9">
        <v>45212</v>
      </c>
      <c r="F198" s="7">
        <v>1.6</v>
      </c>
      <c r="G198" s="7">
        <v>2838800</v>
      </c>
    </row>
    <row r="199" spans="1:7">
      <c r="A199" s="9">
        <v>44756</v>
      </c>
      <c r="B199" s="7">
        <v>14.78</v>
      </c>
      <c r="C199" s="7">
        <v>1605300</v>
      </c>
      <c r="E199" s="9">
        <v>45215</v>
      </c>
      <c r="F199" s="7">
        <v>1.67</v>
      </c>
      <c r="G199" s="7">
        <v>2268100</v>
      </c>
    </row>
    <row r="200" spans="1:7">
      <c r="A200" s="9">
        <v>44757</v>
      </c>
      <c r="B200" s="7">
        <v>15.52</v>
      </c>
      <c r="C200" s="7">
        <v>1810300</v>
      </c>
      <c r="E200" s="9">
        <v>45216</v>
      </c>
      <c r="F200" s="7">
        <v>1.65</v>
      </c>
      <c r="G200" s="7">
        <v>2725500</v>
      </c>
    </row>
    <row r="201" spans="1:7">
      <c r="A201" s="9">
        <v>44760</v>
      </c>
      <c r="B201" s="7">
        <v>16.299999</v>
      </c>
      <c r="C201" s="7">
        <v>2494900</v>
      </c>
      <c r="E201" s="9">
        <v>45217</v>
      </c>
      <c r="F201" s="7">
        <v>1.57</v>
      </c>
      <c r="G201" s="7">
        <v>1152000</v>
      </c>
    </row>
    <row r="202" spans="1:7">
      <c r="A202" s="9">
        <v>44761</v>
      </c>
      <c r="B202" s="7">
        <v>17.27</v>
      </c>
      <c r="C202" s="7">
        <v>2187500</v>
      </c>
      <c r="E202" s="9">
        <v>45218</v>
      </c>
      <c r="F202" s="7">
        <v>1.57</v>
      </c>
      <c r="G202" s="7">
        <v>2591300</v>
      </c>
    </row>
    <row r="203" spans="1:7">
      <c r="A203" s="9">
        <v>44762</v>
      </c>
      <c r="B203" s="7">
        <v>17.829999999999998</v>
      </c>
      <c r="C203" s="7">
        <v>2679100</v>
      </c>
      <c r="E203" s="9">
        <v>45219</v>
      </c>
      <c r="F203" s="7">
        <v>1.59</v>
      </c>
      <c r="G203" s="7">
        <v>1595700</v>
      </c>
    </row>
    <row r="204" spans="1:7">
      <c r="A204" s="9">
        <v>44763</v>
      </c>
      <c r="B204" s="7">
        <v>18.059999000000001</v>
      </c>
      <c r="C204" s="7">
        <v>1251600</v>
      </c>
      <c r="E204" s="9">
        <v>45222</v>
      </c>
      <c r="F204" s="7">
        <v>1.54</v>
      </c>
      <c r="G204" s="7">
        <v>1790700</v>
      </c>
    </row>
    <row r="205" spans="1:7">
      <c r="A205" s="9">
        <v>44764</v>
      </c>
      <c r="B205" s="7">
        <v>17.379999000000002</v>
      </c>
      <c r="C205" s="7">
        <v>1035200</v>
      </c>
      <c r="E205" s="9">
        <v>45223</v>
      </c>
      <c r="F205" s="7">
        <v>1.63</v>
      </c>
      <c r="G205" s="7">
        <v>2334500</v>
      </c>
    </row>
    <row r="206" spans="1:7">
      <c r="A206" s="9">
        <v>44767</v>
      </c>
      <c r="B206" s="7">
        <v>17.41</v>
      </c>
      <c r="C206" s="7">
        <v>1266100</v>
      </c>
      <c r="E206" s="9">
        <v>45224</v>
      </c>
      <c r="F206" s="7">
        <v>1.6</v>
      </c>
      <c r="G206" s="7">
        <v>791100</v>
      </c>
    </row>
    <row r="207" spans="1:7">
      <c r="A207" s="9">
        <v>44768</v>
      </c>
      <c r="B207" s="7">
        <v>16.84</v>
      </c>
      <c r="C207" s="7">
        <v>1544200</v>
      </c>
      <c r="E207" s="9">
        <v>45225</v>
      </c>
      <c r="F207" s="7">
        <v>1.54</v>
      </c>
      <c r="G207" s="7">
        <v>1034300</v>
      </c>
    </row>
    <row r="208" spans="1:7">
      <c r="A208" s="9">
        <v>44769</v>
      </c>
      <c r="B208" s="7">
        <v>17.170000000000002</v>
      </c>
      <c r="C208" s="7">
        <v>1193100</v>
      </c>
      <c r="E208" s="9">
        <v>45226</v>
      </c>
      <c r="F208" s="7">
        <v>1.45</v>
      </c>
      <c r="G208" s="7">
        <v>1266400</v>
      </c>
    </row>
    <row r="209" spans="1:7">
      <c r="A209" s="9">
        <v>44770</v>
      </c>
      <c r="B209" s="7">
        <v>17.190000999999999</v>
      </c>
      <c r="C209" s="7">
        <v>1553200</v>
      </c>
      <c r="E209" s="9">
        <v>45229</v>
      </c>
      <c r="F209" s="7">
        <v>1.42</v>
      </c>
      <c r="G209" s="7">
        <v>1868800</v>
      </c>
    </row>
    <row r="210" spans="1:7">
      <c r="A210" s="9">
        <v>44771</v>
      </c>
      <c r="B210" s="7">
        <v>17.200001</v>
      </c>
      <c r="C210" s="7">
        <v>2390300</v>
      </c>
      <c r="E210" s="9">
        <v>45230</v>
      </c>
      <c r="F210" s="7">
        <v>1.42</v>
      </c>
      <c r="G210" s="7">
        <v>1114200</v>
      </c>
    </row>
    <row r="211" spans="1:7">
      <c r="A211" s="9">
        <v>44774</v>
      </c>
      <c r="B211" s="7">
        <v>17.290001</v>
      </c>
      <c r="C211" s="7">
        <v>1722500</v>
      </c>
      <c r="E211" s="9">
        <v>45231</v>
      </c>
      <c r="F211" s="7">
        <v>1.36</v>
      </c>
      <c r="G211" s="7">
        <v>1449900</v>
      </c>
    </row>
    <row r="212" spans="1:7">
      <c r="A212" s="9">
        <v>44775</v>
      </c>
      <c r="B212" s="7">
        <v>17.59</v>
      </c>
      <c r="C212" s="7">
        <v>1017900</v>
      </c>
      <c r="E212" s="9">
        <v>45232</v>
      </c>
      <c r="F212" s="7">
        <v>1.44</v>
      </c>
      <c r="G212" s="7">
        <v>1542000</v>
      </c>
    </row>
    <row r="213" spans="1:7">
      <c r="A213" s="9">
        <v>44776</v>
      </c>
      <c r="B213" s="7">
        <v>16.790001</v>
      </c>
      <c r="C213" s="7">
        <v>3434000</v>
      </c>
      <c r="E213" s="9">
        <v>45233</v>
      </c>
      <c r="F213" s="7">
        <v>1.48</v>
      </c>
      <c r="G213" s="7">
        <v>1484900</v>
      </c>
    </row>
    <row r="214" spans="1:7">
      <c r="A214" s="9">
        <v>44777</v>
      </c>
      <c r="B214" s="7">
        <v>15.66</v>
      </c>
      <c r="C214" s="7">
        <v>4310800</v>
      </c>
      <c r="E214" s="9">
        <v>45236</v>
      </c>
      <c r="F214" s="7">
        <v>1.38</v>
      </c>
      <c r="G214" s="7">
        <v>2615700</v>
      </c>
    </row>
    <row r="215" spans="1:7">
      <c r="A215" s="9">
        <v>44778</v>
      </c>
      <c r="B215" s="7">
        <v>16.260000000000002</v>
      </c>
      <c r="C215" s="7">
        <v>2263200</v>
      </c>
      <c r="E215" s="9">
        <v>45237</v>
      </c>
      <c r="F215" s="7">
        <v>1.73</v>
      </c>
      <c r="G215" s="7">
        <v>28989000</v>
      </c>
    </row>
    <row r="216" spans="1:7">
      <c r="A216" s="9">
        <v>44781</v>
      </c>
      <c r="B216" s="7">
        <v>16.309999000000001</v>
      </c>
      <c r="C216" s="7">
        <v>2697700</v>
      </c>
      <c r="E216" s="9">
        <v>45238</v>
      </c>
      <c r="F216" s="7">
        <v>1.72</v>
      </c>
      <c r="G216" s="7">
        <v>4514200</v>
      </c>
    </row>
    <row r="217" spans="1:7">
      <c r="A217" s="9">
        <v>44782</v>
      </c>
      <c r="B217" s="7">
        <v>14.68</v>
      </c>
      <c r="C217" s="7">
        <v>4439500</v>
      </c>
      <c r="E217" s="9">
        <v>45239</v>
      </c>
      <c r="F217" s="7">
        <v>1.63</v>
      </c>
      <c r="G217" s="7">
        <v>2597500</v>
      </c>
    </row>
    <row r="218" spans="1:7">
      <c r="A218" s="9">
        <v>44783</v>
      </c>
      <c r="B218" s="7">
        <v>14.73</v>
      </c>
      <c r="C218" s="7">
        <v>3777400</v>
      </c>
      <c r="E218" s="9">
        <v>45240</v>
      </c>
      <c r="F218" s="7">
        <v>1.74</v>
      </c>
      <c r="G218" s="7">
        <v>2338700</v>
      </c>
    </row>
    <row r="219" spans="1:7">
      <c r="A219" s="9">
        <v>44784</v>
      </c>
      <c r="B219" s="7">
        <v>14.96</v>
      </c>
      <c r="C219" s="7">
        <v>1837500</v>
      </c>
      <c r="E219" s="9">
        <v>45243</v>
      </c>
      <c r="F219" s="7">
        <v>1.73</v>
      </c>
      <c r="G219" s="7">
        <v>1427300</v>
      </c>
    </row>
    <row r="220" spans="1:7">
      <c r="A220" s="9">
        <v>44785</v>
      </c>
      <c r="B220" s="7">
        <v>15.52</v>
      </c>
      <c r="C220" s="7">
        <v>1314800</v>
      </c>
      <c r="E220" s="9">
        <v>45244</v>
      </c>
      <c r="F220" s="7">
        <v>1.81</v>
      </c>
      <c r="G220" s="7">
        <v>2756900</v>
      </c>
    </row>
    <row r="221" spans="1:7">
      <c r="A221" s="9">
        <v>44788</v>
      </c>
      <c r="B221" s="7">
        <v>15.56</v>
      </c>
      <c r="C221" s="7">
        <v>1294300</v>
      </c>
      <c r="E221" s="9">
        <v>45245</v>
      </c>
      <c r="F221" s="7">
        <v>1.92</v>
      </c>
      <c r="G221" s="7">
        <v>2496000</v>
      </c>
    </row>
    <row r="222" spans="1:7">
      <c r="A222" s="9">
        <v>44789</v>
      </c>
      <c r="B222" s="7">
        <v>15.61</v>
      </c>
      <c r="C222" s="7">
        <v>1484000</v>
      </c>
      <c r="E222" s="9">
        <v>45246</v>
      </c>
      <c r="F222" s="7">
        <v>1.81</v>
      </c>
      <c r="G222" s="7">
        <v>2033100</v>
      </c>
    </row>
    <row r="223" spans="1:7">
      <c r="A223" s="9">
        <v>44790</v>
      </c>
      <c r="B223" s="7">
        <v>16.23</v>
      </c>
      <c r="C223" s="7">
        <v>1943900</v>
      </c>
      <c r="E223" s="9">
        <v>45247</v>
      </c>
      <c r="F223" s="7">
        <v>1.95</v>
      </c>
      <c r="G223" s="7">
        <v>2977600</v>
      </c>
    </row>
    <row r="224" spans="1:7">
      <c r="A224" s="9">
        <v>44791</v>
      </c>
      <c r="B224" s="7">
        <v>16.170000000000002</v>
      </c>
      <c r="C224" s="7">
        <v>1547800</v>
      </c>
      <c r="E224" s="9">
        <v>45250</v>
      </c>
      <c r="F224" s="7">
        <v>1.93</v>
      </c>
      <c r="G224" s="7">
        <v>1501900</v>
      </c>
    </row>
    <row r="225" spans="1:7">
      <c r="A225" s="9">
        <v>44792</v>
      </c>
      <c r="B225" s="7">
        <v>14.88</v>
      </c>
      <c r="C225" s="7">
        <v>2137300</v>
      </c>
      <c r="E225" s="9">
        <v>45251</v>
      </c>
      <c r="F225" s="7">
        <v>1.89</v>
      </c>
      <c r="G225" s="7">
        <v>1271700</v>
      </c>
    </row>
    <row r="226" spans="1:7">
      <c r="A226" s="9">
        <v>44795</v>
      </c>
      <c r="B226" s="7">
        <v>14.8</v>
      </c>
      <c r="C226" s="7">
        <v>2074500</v>
      </c>
      <c r="E226" s="9">
        <v>45252</v>
      </c>
      <c r="F226" s="7">
        <v>1.93</v>
      </c>
      <c r="G226" s="7">
        <v>995300</v>
      </c>
    </row>
    <row r="227" spans="1:7">
      <c r="A227" s="9">
        <v>44796</v>
      </c>
      <c r="B227" s="7">
        <v>14.81</v>
      </c>
      <c r="C227" s="7">
        <v>782000</v>
      </c>
      <c r="E227" s="9">
        <v>45254</v>
      </c>
      <c r="F227" s="7">
        <v>2.0499999999999998</v>
      </c>
      <c r="G227" s="7">
        <v>1174800</v>
      </c>
    </row>
    <row r="228" spans="1:7">
      <c r="A228" s="9">
        <v>44797</v>
      </c>
      <c r="B228" s="7">
        <v>14.96</v>
      </c>
      <c r="C228" s="7">
        <v>916500</v>
      </c>
      <c r="E228" s="9">
        <v>45257</v>
      </c>
      <c r="F228" s="7">
        <v>2.0499999999999998</v>
      </c>
      <c r="G228" s="7">
        <v>1765300</v>
      </c>
    </row>
    <row r="229" spans="1:7">
      <c r="A229" s="9">
        <v>44798</v>
      </c>
      <c r="B229" s="7">
        <v>14.82</v>
      </c>
      <c r="C229" s="7">
        <v>1124900</v>
      </c>
      <c r="E229" s="9">
        <v>45258</v>
      </c>
      <c r="F229" s="7">
        <v>2.12</v>
      </c>
      <c r="G229" s="7">
        <v>1845000</v>
      </c>
    </row>
    <row r="230" spans="1:7">
      <c r="A230" s="9">
        <v>44799</v>
      </c>
      <c r="B230" s="7">
        <v>14.11</v>
      </c>
      <c r="C230" s="7">
        <v>1894700</v>
      </c>
      <c r="E230" s="9">
        <v>45259</v>
      </c>
      <c r="F230" s="7">
        <v>2.1800000000000002</v>
      </c>
      <c r="G230" s="7">
        <v>1860100</v>
      </c>
    </row>
    <row r="231" spans="1:7">
      <c r="A231" s="9">
        <v>44802</v>
      </c>
      <c r="B231" s="7">
        <v>13.65</v>
      </c>
      <c r="C231" s="7">
        <v>2685100</v>
      </c>
      <c r="E231" s="9">
        <v>45260</v>
      </c>
      <c r="F231" s="7">
        <v>2.1800000000000002</v>
      </c>
      <c r="G231" s="7">
        <v>2786100</v>
      </c>
    </row>
    <row r="232" spans="1:7">
      <c r="A232" s="9">
        <v>44803</v>
      </c>
      <c r="B232" s="7">
        <v>13.95</v>
      </c>
      <c r="C232" s="7">
        <v>2478500</v>
      </c>
      <c r="E232" s="9">
        <v>45261</v>
      </c>
      <c r="F232" s="7">
        <v>2.35</v>
      </c>
      <c r="G232" s="7">
        <v>6862500</v>
      </c>
    </row>
    <row r="233" spans="1:7">
      <c r="A233" s="9">
        <v>44804</v>
      </c>
      <c r="B233" s="7">
        <v>13.32</v>
      </c>
      <c r="C233" s="7">
        <v>1472800</v>
      </c>
      <c r="E233" s="9">
        <v>45264</v>
      </c>
      <c r="F233" s="7">
        <v>2.6</v>
      </c>
      <c r="G233" s="7">
        <v>4892900</v>
      </c>
    </row>
    <row r="234" spans="1:7">
      <c r="A234" s="9">
        <v>44805</v>
      </c>
      <c r="B234" s="7">
        <v>12.82</v>
      </c>
      <c r="C234" s="7">
        <v>1971300</v>
      </c>
      <c r="E234" s="9">
        <v>45265</v>
      </c>
      <c r="F234" s="7">
        <v>2.48</v>
      </c>
      <c r="G234" s="7">
        <v>3172500</v>
      </c>
    </row>
    <row r="235" spans="1:7">
      <c r="A235" s="9">
        <v>44806</v>
      </c>
      <c r="B235" s="7">
        <v>12.44</v>
      </c>
      <c r="C235" s="7">
        <v>2473100</v>
      </c>
      <c r="E235" s="9">
        <v>45266</v>
      </c>
      <c r="F235" s="7">
        <v>2.56</v>
      </c>
      <c r="G235" s="7">
        <v>2922400</v>
      </c>
    </row>
    <row r="236" spans="1:7">
      <c r="A236" s="9">
        <v>44810</v>
      </c>
      <c r="B236" s="7">
        <v>12.19</v>
      </c>
      <c r="C236" s="7">
        <v>3169500</v>
      </c>
      <c r="E236" s="9">
        <v>45267</v>
      </c>
      <c r="F236" s="7">
        <v>2.5299999999999998</v>
      </c>
      <c r="G236" s="7">
        <v>2403500</v>
      </c>
    </row>
    <row r="237" spans="1:7">
      <c r="A237" s="9">
        <v>44811</v>
      </c>
      <c r="B237" s="7">
        <v>12.1</v>
      </c>
      <c r="C237" s="7">
        <v>3635600</v>
      </c>
      <c r="E237" s="9">
        <v>45268</v>
      </c>
      <c r="F237" s="7">
        <v>2.48</v>
      </c>
      <c r="G237" s="7">
        <v>1838700</v>
      </c>
    </row>
    <row r="238" spans="1:7">
      <c r="A238" s="9">
        <v>44812</v>
      </c>
      <c r="B238" s="7">
        <v>12.09</v>
      </c>
      <c r="C238" s="7">
        <v>2633300</v>
      </c>
      <c r="E238" s="9">
        <v>45271</v>
      </c>
      <c r="F238" s="7">
        <v>2.5299999999999998</v>
      </c>
      <c r="G238" s="7">
        <v>1585800</v>
      </c>
    </row>
    <row r="239" spans="1:7">
      <c r="A239" s="9">
        <v>44813</v>
      </c>
      <c r="B239" s="7">
        <v>12.56</v>
      </c>
      <c r="C239" s="7">
        <v>2500900</v>
      </c>
      <c r="E239" s="9">
        <v>45272</v>
      </c>
      <c r="F239" s="7">
        <v>2.39</v>
      </c>
      <c r="G239" s="7">
        <v>3227300</v>
      </c>
    </row>
    <row r="240" spans="1:7">
      <c r="A240" s="9">
        <v>44816</v>
      </c>
      <c r="B240" s="7">
        <v>13.14</v>
      </c>
      <c r="C240" s="7">
        <v>1919500</v>
      </c>
      <c r="E240" s="9">
        <v>45273</v>
      </c>
      <c r="F240" s="7">
        <v>2.48</v>
      </c>
      <c r="G240" s="7">
        <v>2735800</v>
      </c>
    </row>
    <row r="241" spans="1:7">
      <c r="A241" s="9">
        <v>44817</v>
      </c>
      <c r="B241" s="7">
        <v>12.08</v>
      </c>
      <c r="C241" s="7">
        <v>2748400</v>
      </c>
      <c r="E241" s="9">
        <v>45274</v>
      </c>
      <c r="F241" s="7">
        <v>2.59</v>
      </c>
      <c r="G241" s="7">
        <v>3475000</v>
      </c>
    </row>
    <row r="242" spans="1:7">
      <c r="A242" s="9">
        <v>44818</v>
      </c>
      <c r="B242" s="7">
        <v>12.17</v>
      </c>
      <c r="C242" s="7">
        <v>2011000</v>
      </c>
      <c r="E242" s="9">
        <v>45275</v>
      </c>
      <c r="F242" s="7">
        <v>2.38</v>
      </c>
      <c r="G242" s="7">
        <v>3935900</v>
      </c>
    </row>
    <row r="243" spans="1:7">
      <c r="A243" s="9">
        <v>44819</v>
      </c>
      <c r="B243" s="7">
        <v>11.74</v>
      </c>
      <c r="C243" s="7">
        <v>1865600</v>
      </c>
      <c r="E243" s="9">
        <v>45278</v>
      </c>
      <c r="F243" s="7">
        <v>2.4</v>
      </c>
      <c r="G243" s="7">
        <v>1340100</v>
      </c>
    </row>
    <row r="244" spans="1:7">
      <c r="A244" s="9">
        <v>44820</v>
      </c>
      <c r="B244" s="7">
        <v>11.67</v>
      </c>
      <c r="C244" s="7">
        <v>3701400</v>
      </c>
      <c r="E244" s="9">
        <v>45279</v>
      </c>
      <c r="F244" s="7">
        <v>2.4500000000000002</v>
      </c>
      <c r="G244" s="7">
        <v>880200</v>
      </c>
    </row>
    <row r="245" spans="1:7">
      <c r="A245" s="9">
        <v>44823</v>
      </c>
      <c r="B245" s="7">
        <v>11.81</v>
      </c>
      <c r="C245" s="7">
        <v>2049400</v>
      </c>
      <c r="E245" s="9">
        <v>45280</v>
      </c>
      <c r="F245" s="7">
        <v>2.37</v>
      </c>
      <c r="G245" s="7">
        <v>1331300</v>
      </c>
    </row>
    <row r="246" spans="1:7">
      <c r="A246" s="9">
        <v>44824</v>
      </c>
      <c r="B246" s="7">
        <v>11.83</v>
      </c>
      <c r="C246" s="7">
        <v>3899100</v>
      </c>
      <c r="E246" s="9">
        <v>45281</v>
      </c>
      <c r="F246" s="7">
        <v>2.42</v>
      </c>
      <c r="G246" s="7">
        <v>811800</v>
      </c>
    </row>
    <row r="247" spans="1:7">
      <c r="A247" s="9">
        <v>44825</v>
      </c>
      <c r="B247" s="7">
        <v>12.07</v>
      </c>
      <c r="C247" s="7">
        <v>1922400</v>
      </c>
      <c r="E247" s="9">
        <v>45282</v>
      </c>
      <c r="F247" s="7">
        <v>2.4300000000000002</v>
      </c>
      <c r="G247" s="7">
        <v>1214600</v>
      </c>
    </row>
    <row r="248" spans="1:7">
      <c r="A248" s="9">
        <v>44826</v>
      </c>
      <c r="B248" s="7">
        <v>11.88</v>
      </c>
      <c r="C248" s="7">
        <v>2840400</v>
      </c>
      <c r="E248" s="9">
        <v>45286</v>
      </c>
      <c r="F248" s="7">
        <v>2.46</v>
      </c>
      <c r="G248" s="7">
        <v>695500</v>
      </c>
    </row>
    <row r="249" spans="1:7">
      <c r="A249" s="9">
        <v>44827</v>
      </c>
      <c r="B249" s="7">
        <v>11.56</v>
      </c>
      <c r="C249" s="7">
        <v>2122200</v>
      </c>
      <c r="E249" s="9">
        <v>45287</v>
      </c>
      <c r="F249" s="7">
        <v>2.4</v>
      </c>
      <c r="G249" s="7">
        <v>1238900</v>
      </c>
    </row>
    <row r="250" spans="1:7">
      <c r="A250" s="9">
        <v>44830</v>
      </c>
      <c r="B250" s="7">
        <v>10.87</v>
      </c>
      <c r="C250" s="7">
        <v>2867500</v>
      </c>
      <c r="E250" s="9">
        <v>45288</v>
      </c>
      <c r="F250" s="7">
        <v>2.62</v>
      </c>
      <c r="G250" s="7">
        <v>5401900</v>
      </c>
    </row>
    <row r="251" spans="1:7">
      <c r="A251" s="9">
        <v>44831</v>
      </c>
      <c r="B251" s="7">
        <v>10.87</v>
      </c>
      <c r="C251" s="7">
        <v>1872000</v>
      </c>
      <c r="E251" s="9">
        <v>45289</v>
      </c>
      <c r="F251" s="7">
        <v>2.54</v>
      </c>
      <c r="G251" s="7">
        <v>1655100</v>
      </c>
    </row>
    <row r="252" spans="1:7">
      <c r="A252" s="9">
        <v>44832</v>
      </c>
      <c r="B252" s="7">
        <v>10.95</v>
      </c>
      <c r="C252" s="7">
        <v>2508000</v>
      </c>
      <c r="E252" s="9">
        <v>45293</v>
      </c>
      <c r="F252" s="7">
        <v>2.5</v>
      </c>
      <c r="G252" s="7">
        <v>1504500</v>
      </c>
    </row>
    <row r="253" spans="1:7">
      <c r="A253" s="9">
        <v>44833</v>
      </c>
      <c r="B253" s="7">
        <v>9.6199999999999992</v>
      </c>
      <c r="C253" s="7">
        <v>5205400</v>
      </c>
      <c r="E253" s="9">
        <v>45294</v>
      </c>
      <c r="F253" s="7">
        <v>2.15</v>
      </c>
      <c r="G253" s="7">
        <v>4781300</v>
      </c>
    </row>
    <row r="254" spans="1:7">
      <c r="A254" s="9">
        <v>44834</v>
      </c>
      <c r="B254" s="7">
        <v>9.5500000000000007</v>
      </c>
      <c r="C254" s="7">
        <v>3897600</v>
      </c>
      <c r="E254" s="9">
        <v>45295</v>
      </c>
      <c r="F254" s="7">
        <v>2.08</v>
      </c>
      <c r="G254" s="7">
        <v>2832900</v>
      </c>
    </row>
    <row r="255" spans="1:7">
      <c r="A255" s="9">
        <v>44837</v>
      </c>
      <c r="B255" s="7">
        <v>9.98</v>
      </c>
      <c r="C255" s="7">
        <v>4445800</v>
      </c>
      <c r="E255" s="9">
        <v>45296</v>
      </c>
      <c r="F255" s="7">
        <v>2.12</v>
      </c>
      <c r="G255" s="7">
        <v>3031300</v>
      </c>
    </row>
    <row r="256" spans="1:7">
      <c r="A256" s="9">
        <v>44838</v>
      </c>
      <c r="B256" s="7">
        <v>10.24</v>
      </c>
      <c r="C256" s="7">
        <v>3320700</v>
      </c>
      <c r="E256" s="9">
        <v>45299</v>
      </c>
      <c r="F256" s="7">
        <v>2.27</v>
      </c>
      <c r="G256" s="7">
        <v>1531600</v>
      </c>
    </row>
    <row r="257" spans="1:7">
      <c r="A257" s="9">
        <v>44839</v>
      </c>
      <c r="B257" s="7">
        <v>9.56</v>
      </c>
      <c r="C257" s="7">
        <v>3813200</v>
      </c>
      <c r="E257" s="9">
        <v>45300</v>
      </c>
      <c r="F257" s="7">
        <v>2.2999999999999998</v>
      </c>
      <c r="G257" s="7">
        <v>1349800</v>
      </c>
    </row>
    <row r="258" spans="1:7">
      <c r="A258" s="9">
        <v>44840</v>
      </c>
      <c r="B258" s="7">
        <v>9.44</v>
      </c>
      <c r="C258" s="7">
        <v>2839500</v>
      </c>
      <c r="E258" s="9">
        <v>45301</v>
      </c>
      <c r="F258" s="7">
        <v>2.33</v>
      </c>
      <c r="G258" s="7">
        <v>2005900</v>
      </c>
    </row>
    <row r="259" spans="1:7">
      <c r="A259" s="9">
        <v>44841</v>
      </c>
      <c r="B259" s="7">
        <v>9.14</v>
      </c>
      <c r="C259" s="7">
        <v>2004000</v>
      </c>
      <c r="E259" s="9">
        <v>45302</v>
      </c>
      <c r="F259" s="7">
        <v>2.3199999999999998</v>
      </c>
      <c r="G259" s="7">
        <v>1068200</v>
      </c>
    </row>
    <row r="260" spans="1:7">
      <c r="A260" s="9">
        <v>44844</v>
      </c>
      <c r="B260" s="7">
        <v>9.1300000000000008</v>
      </c>
      <c r="C260" s="7">
        <v>1887300</v>
      </c>
      <c r="E260" s="9">
        <v>45303</v>
      </c>
      <c r="F260" s="7">
        <v>2.27</v>
      </c>
      <c r="G260" s="7">
        <v>996100</v>
      </c>
    </row>
    <row r="261" spans="1:7">
      <c r="A261" s="9">
        <v>44845</v>
      </c>
      <c r="B261" s="7">
        <v>9.11</v>
      </c>
      <c r="C261" s="7">
        <v>3806400</v>
      </c>
      <c r="E261" s="9">
        <v>45307</v>
      </c>
      <c r="F261" s="7">
        <v>2.1800000000000002</v>
      </c>
      <c r="G261" s="7">
        <v>992100</v>
      </c>
    </row>
    <row r="262" spans="1:7">
      <c r="A262" s="9">
        <v>44846</v>
      </c>
      <c r="B262" s="7">
        <v>9.11</v>
      </c>
      <c r="C262" s="7">
        <v>2866200</v>
      </c>
      <c r="E262" s="9">
        <v>45308</v>
      </c>
      <c r="F262" s="7">
        <v>2.14</v>
      </c>
      <c r="G262" s="7">
        <v>2047900</v>
      </c>
    </row>
    <row r="263" spans="1:7">
      <c r="A263" s="9">
        <v>44847</v>
      </c>
      <c r="B263" s="7">
        <v>9.2200000000000006</v>
      </c>
      <c r="C263" s="7">
        <v>2342300</v>
      </c>
      <c r="E263" s="9">
        <v>45309</v>
      </c>
      <c r="F263" s="7">
        <v>2.12</v>
      </c>
      <c r="G263" s="7">
        <v>1670900</v>
      </c>
    </row>
    <row r="264" spans="1:7">
      <c r="A264" s="9">
        <v>44848</v>
      </c>
      <c r="B264" s="7">
        <v>9.0500000000000007</v>
      </c>
      <c r="C264" s="7">
        <v>2651800</v>
      </c>
      <c r="E264" s="9">
        <v>45310</v>
      </c>
      <c r="F264" s="7">
        <v>2.2000000000000002</v>
      </c>
      <c r="G264" s="7">
        <v>1193200</v>
      </c>
    </row>
    <row r="265" spans="1:7">
      <c r="A265" s="9">
        <v>44851</v>
      </c>
      <c r="B265" s="7">
        <v>9.6</v>
      </c>
      <c r="C265" s="7">
        <v>1604000</v>
      </c>
    </row>
    <row r="266" spans="1:7">
      <c r="A266" s="9">
        <v>44852</v>
      </c>
      <c r="B266" s="7">
        <v>9.7899999999999991</v>
      </c>
      <c r="C266" s="7">
        <v>5646900</v>
      </c>
    </row>
    <row r="267" spans="1:7">
      <c r="A267" s="9">
        <v>44853</v>
      </c>
      <c r="B267" s="7">
        <v>4.24</v>
      </c>
      <c r="C267" s="7">
        <v>39863400</v>
      </c>
      <c r="E267" s="7" t="s">
        <v>152</v>
      </c>
      <c r="F267" s="11">
        <f>AVERAGE(F2:F264)</f>
        <v>3.4247718631178725</v>
      </c>
    </row>
    <row r="268" spans="1:7">
      <c r="A268" s="9">
        <v>44854</v>
      </c>
      <c r="B268" s="7">
        <v>4.09</v>
      </c>
      <c r="C268" s="7">
        <v>13983700</v>
      </c>
      <c r="E268" s="7" t="s">
        <v>151</v>
      </c>
      <c r="F268" s="11">
        <f>_xlfn.STDEV.P(F2:F264)</f>
        <v>1.3795702288736944</v>
      </c>
    </row>
    <row r="269" spans="1:7">
      <c r="A269" s="9">
        <v>44855</v>
      </c>
      <c r="B269" s="7">
        <v>4.05</v>
      </c>
      <c r="C269" s="7">
        <v>8704700</v>
      </c>
    </row>
    <row r="270" spans="1:7">
      <c r="A270" s="9">
        <v>44858</v>
      </c>
      <c r="B270" s="7">
        <v>4.0199999999999996</v>
      </c>
      <c r="C270" s="7">
        <v>6742800</v>
      </c>
    </row>
    <row r="271" spans="1:7">
      <c r="A271" s="9">
        <v>44859</v>
      </c>
      <c r="B271" s="7">
        <v>4.3</v>
      </c>
      <c r="C271" s="7">
        <v>6723600</v>
      </c>
    </row>
    <row r="272" spans="1:7">
      <c r="A272" s="9">
        <v>44860</v>
      </c>
      <c r="B272" s="7">
        <v>4.3600000000000003</v>
      </c>
      <c r="C272" s="7">
        <v>3934300</v>
      </c>
    </row>
    <row r="273" spans="1:3">
      <c r="A273" s="9">
        <v>44861</v>
      </c>
      <c r="B273" s="7">
        <v>4.33</v>
      </c>
      <c r="C273" s="7">
        <v>2666000</v>
      </c>
    </row>
    <row r="274" spans="1:3">
      <c r="A274" s="9">
        <v>44862</v>
      </c>
      <c r="B274" s="7">
        <v>4.3</v>
      </c>
      <c r="C274" s="7">
        <v>2668700</v>
      </c>
    </row>
    <row r="275" spans="1:3">
      <c r="A275" s="9">
        <v>44865</v>
      </c>
      <c r="B275" s="7">
        <v>4.4000000000000004</v>
      </c>
      <c r="C275" s="7">
        <v>4645400</v>
      </c>
    </row>
    <row r="276" spans="1:3">
      <c r="A276" s="9">
        <v>44866</v>
      </c>
      <c r="B276" s="7">
        <v>4.5199999999999996</v>
      </c>
      <c r="C276" s="7">
        <v>2857100</v>
      </c>
    </row>
    <row r="277" spans="1:3">
      <c r="A277" s="9">
        <v>44867</v>
      </c>
      <c r="B277" s="7">
        <v>4.24</v>
      </c>
      <c r="C277" s="7">
        <v>4751800</v>
      </c>
    </row>
    <row r="278" spans="1:3">
      <c r="A278" s="9">
        <v>44868</v>
      </c>
      <c r="B278" s="7">
        <v>4.2</v>
      </c>
      <c r="C278" s="7">
        <v>4300600</v>
      </c>
    </row>
    <row r="279" spans="1:3">
      <c r="A279" s="9">
        <v>44869</v>
      </c>
      <c r="B279" s="7">
        <v>4.38</v>
      </c>
      <c r="C279" s="7">
        <v>3765000</v>
      </c>
    </row>
    <row r="280" spans="1:3">
      <c r="A280" s="9">
        <v>44872</v>
      </c>
      <c r="B280" s="7">
        <v>4.38</v>
      </c>
      <c r="C280" s="7">
        <v>5365200</v>
      </c>
    </row>
    <row r="281" spans="1:3">
      <c r="A281" s="9">
        <v>44873</v>
      </c>
      <c r="B281" s="7">
        <v>4.58</v>
      </c>
      <c r="C281" s="7">
        <v>5710400</v>
      </c>
    </row>
    <row r="282" spans="1:3">
      <c r="A282" s="9">
        <v>44874</v>
      </c>
      <c r="B282" s="7">
        <v>4.7699999999999996</v>
      </c>
      <c r="C282" s="7">
        <v>4979300</v>
      </c>
    </row>
    <row r="283" spans="1:3">
      <c r="A283" s="9">
        <v>44875</v>
      </c>
      <c r="B283" s="7">
        <v>5.21</v>
      </c>
      <c r="C283" s="7">
        <v>4972900</v>
      </c>
    </row>
    <row r="284" spans="1:3">
      <c r="A284" s="9">
        <v>44876</v>
      </c>
      <c r="B284" s="7">
        <v>5.8</v>
      </c>
      <c r="C284" s="7">
        <v>5104800</v>
      </c>
    </row>
    <row r="285" spans="1:3">
      <c r="A285" s="9">
        <v>44879</v>
      </c>
      <c r="B285" s="7">
        <v>5.81</v>
      </c>
      <c r="C285" s="7">
        <v>5395700</v>
      </c>
    </row>
    <row r="286" spans="1:3">
      <c r="A286" s="9">
        <v>44880</v>
      </c>
      <c r="B286" s="7">
        <v>6.04</v>
      </c>
      <c r="C286" s="7">
        <v>4747900</v>
      </c>
    </row>
    <row r="287" spans="1:3">
      <c r="A287" s="9">
        <v>44881</v>
      </c>
      <c r="B287" s="7">
        <v>5.67</v>
      </c>
      <c r="C287" s="7">
        <v>3306000</v>
      </c>
    </row>
    <row r="288" spans="1:3">
      <c r="A288" s="9">
        <v>44882</v>
      </c>
      <c r="B288" s="7">
        <v>5.75</v>
      </c>
      <c r="C288" s="7">
        <v>2838200</v>
      </c>
    </row>
    <row r="289" spans="1:3">
      <c r="A289" s="9">
        <v>44883</v>
      </c>
      <c r="B289" s="7">
        <v>5.7</v>
      </c>
      <c r="C289" s="7">
        <v>1884100</v>
      </c>
    </row>
    <row r="290" spans="1:3">
      <c r="A290" s="9">
        <v>44886</v>
      </c>
      <c r="B290" s="7">
        <v>5.26</v>
      </c>
      <c r="C290" s="7">
        <v>3678200</v>
      </c>
    </row>
    <row r="291" spans="1:3">
      <c r="A291" s="9">
        <v>44887</v>
      </c>
      <c r="B291" s="7">
        <v>5.4</v>
      </c>
      <c r="C291" s="7">
        <v>2688500</v>
      </c>
    </row>
    <row r="292" spans="1:3">
      <c r="A292" s="9">
        <v>44888</v>
      </c>
      <c r="B292" s="7">
        <v>5.41</v>
      </c>
      <c r="C292" s="7">
        <v>1815100</v>
      </c>
    </row>
    <row r="293" spans="1:3">
      <c r="A293" s="9">
        <v>44890</v>
      </c>
      <c r="B293" s="7">
        <v>5.46</v>
      </c>
      <c r="C293" s="7">
        <v>794200</v>
      </c>
    </row>
    <row r="294" spans="1:3">
      <c r="A294" s="9">
        <v>44893</v>
      </c>
      <c r="B294" s="7">
        <v>5.41</v>
      </c>
      <c r="C294" s="7">
        <v>2024600</v>
      </c>
    </row>
    <row r="295" spans="1:3">
      <c r="A295" s="9">
        <v>44894</v>
      </c>
      <c r="B295" s="7">
        <v>5.43</v>
      </c>
      <c r="C295" s="7">
        <v>2148300</v>
      </c>
    </row>
    <row r="296" spans="1:3">
      <c r="A296" s="9">
        <v>44895</v>
      </c>
      <c r="B296" s="7">
        <v>5.97</v>
      </c>
      <c r="C296" s="7">
        <v>4384000</v>
      </c>
    </row>
    <row r="297" spans="1:3">
      <c r="A297" s="9">
        <v>44896</v>
      </c>
      <c r="B297" s="7">
        <v>6.02</v>
      </c>
      <c r="C297" s="7">
        <v>3292600</v>
      </c>
    </row>
    <row r="298" spans="1:3">
      <c r="A298" s="9">
        <v>44897</v>
      </c>
      <c r="B298" s="7">
        <v>6.1</v>
      </c>
      <c r="C298" s="7">
        <v>3637600</v>
      </c>
    </row>
    <row r="299" spans="1:3">
      <c r="A299" s="9">
        <v>44900</v>
      </c>
      <c r="B299" s="7">
        <v>5.84</v>
      </c>
      <c r="C299" s="7">
        <v>1580900</v>
      </c>
    </row>
    <row r="300" spans="1:3">
      <c r="A300" s="9">
        <v>44901</v>
      </c>
      <c r="B300" s="7">
        <v>5.83</v>
      </c>
      <c r="C300" s="7">
        <v>1953700</v>
      </c>
    </row>
    <row r="301" spans="1:3">
      <c r="A301" s="9">
        <v>44902</v>
      </c>
      <c r="B301" s="7">
        <v>5.45</v>
      </c>
      <c r="C301" s="7">
        <v>2864100</v>
      </c>
    </row>
    <row r="302" spans="1:3">
      <c r="A302" s="9">
        <v>44903</v>
      </c>
      <c r="B302" s="7">
        <v>5.71</v>
      </c>
      <c r="C302" s="7">
        <v>1587100</v>
      </c>
    </row>
    <row r="303" spans="1:3">
      <c r="A303" s="9">
        <v>44904</v>
      </c>
      <c r="B303" s="7">
        <v>5.53</v>
      </c>
      <c r="C303" s="7">
        <v>1323500</v>
      </c>
    </row>
    <row r="304" spans="1:3">
      <c r="A304" s="9">
        <v>44907</v>
      </c>
      <c r="B304" s="7">
        <v>5.47</v>
      </c>
      <c r="C304" s="7">
        <v>2312600</v>
      </c>
    </row>
    <row r="305" spans="1:3">
      <c r="A305" s="9">
        <v>44908</v>
      </c>
      <c r="B305" s="7">
        <v>5.57</v>
      </c>
      <c r="C305" s="7">
        <v>4956400</v>
      </c>
    </row>
    <row r="306" spans="1:3">
      <c r="A306" s="9">
        <v>44909</v>
      </c>
      <c r="B306" s="7">
        <v>5.52</v>
      </c>
      <c r="C306" s="7">
        <v>4276200</v>
      </c>
    </row>
    <row r="307" spans="1:3">
      <c r="A307" s="9">
        <v>44910</v>
      </c>
      <c r="B307" s="7">
        <v>5.49</v>
      </c>
      <c r="C307" s="7">
        <v>3099100</v>
      </c>
    </row>
    <row r="308" spans="1:3">
      <c r="A308" s="9">
        <v>44911</v>
      </c>
      <c r="B308" s="7">
        <v>5.49</v>
      </c>
      <c r="C308" s="7">
        <v>4284500</v>
      </c>
    </row>
    <row r="309" spans="1:3">
      <c r="A309" s="9">
        <v>44914</v>
      </c>
      <c r="B309" s="7">
        <v>5.03</v>
      </c>
      <c r="C309" s="7">
        <v>2969200</v>
      </c>
    </row>
    <row r="310" spans="1:3">
      <c r="A310" s="9">
        <v>44915</v>
      </c>
      <c r="B310" s="7">
        <v>5.07</v>
      </c>
      <c r="C310" s="7">
        <v>3595300</v>
      </c>
    </row>
    <row r="311" spans="1:3">
      <c r="A311" s="9">
        <v>44916</v>
      </c>
      <c r="B311" s="7">
        <v>5.0999999999999996</v>
      </c>
      <c r="C311" s="7">
        <v>2481000</v>
      </c>
    </row>
    <row r="312" spans="1:3">
      <c r="A312" s="9">
        <v>44917</v>
      </c>
      <c r="B312" s="7">
        <v>4.9400000000000004</v>
      </c>
      <c r="C312" s="7">
        <v>1881500</v>
      </c>
    </row>
    <row r="313" spans="1:3">
      <c r="A313" s="9">
        <v>44918</v>
      </c>
      <c r="B313" s="7">
        <v>5.03</v>
      </c>
      <c r="C313" s="7">
        <v>1789000</v>
      </c>
    </row>
    <row r="314" spans="1:3">
      <c r="A314" s="9">
        <v>44922</v>
      </c>
      <c r="B314" s="7">
        <v>4.84</v>
      </c>
      <c r="C314" s="7">
        <v>1904500</v>
      </c>
    </row>
    <row r="315" spans="1:3">
      <c r="A315" s="9">
        <v>44923</v>
      </c>
      <c r="B315" s="7">
        <v>4.82</v>
      </c>
      <c r="C315" s="7">
        <v>1538300</v>
      </c>
    </row>
    <row r="316" spans="1:3">
      <c r="A316" s="9">
        <v>44924</v>
      </c>
      <c r="B316" s="7">
        <v>5.22</v>
      </c>
      <c r="C316" s="7">
        <v>2108700</v>
      </c>
    </row>
    <row r="317" spans="1:3">
      <c r="A317" s="9">
        <v>44925</v>
      </c>
      <c r="B317" s="7">
        <v>5.21</v>
      </c>
      <c r="C317" s="7">
        <v>1528600</v>
      </c>
    </row>
    <row r="318" spans="1:3">
      <c r="A318" s="9">
        <v>44929</v>
      </c>
      <c r="B318" s="7">
        <v>5.18</v>
      </c>
      <c r="C318" s="7">
        <v>3094900</v>
      </c>
    </row>
    <row r="319" spans="1:3">
      <c r="A319" s="9">
        <v>44930</v>
      </c>
      <c r="B319" s="7">
        <v>5.73</v>
      </c>
      <c r="C319" s="7">
        <v>2301400</v>
      </c>
    </row>
    <row r="320" spans="1:3">
      <c r="A320" s="9">
        <v>44931</v>
      </c>
      <c r="B320" s="7">
        <v>5.41</v>
      </c>
      <c r="C320" s="7">
        <v>1931600</v>
      </c>
    </row>
    <row r="321" spans="1:3">
      <c r="A321" s="9">
        <v>44932</v>
      </c>
      <c r="B321" s="7">
        <v>5.66</v>
      </c>
      <c r="C321" s="7">
        <v>2410400</v>
      </c>
    </row>
    <row r="322" spans="1:3">
      <c r="A322" s="9">
        <v>44935</v>
      </c>
      <c r="B322" s="7">
        <v>6.05</v>
      </c>
      <c r="C322" s="7">
        <v>8738800</v>
      </c>
    </row>
    <row r="323" spans="1:3">
      <c r="A323" s="9">
        <v>44936</v>
      </c>
      <c r="B323" s="7">
        <v>6.05</v>
      </c>
      <c r="C323" s="7">
        <v>2758400</v>
      </c>
    </row>
    <row r="324" spans="1:3">
      <c r="A324" s="9">
        <v>44937</v>
      </c>
      <c r="B324" s="7">
        <v>6.24</v>
      </c>
      <c r="C324" s="7">
        <v>2392300</v>
      </c>
    </row>
    <row r="325" spans="1:3">
      <c r="A325" s="9">
        <v>44938</v>
      </c>
      <c r="B325" s="7">
        <v>6.35</v>
      </c>
      <c r="C325" s="7">
        <v>2174900</v>
      </c>
    </row>
    <row r="326" spans="1:3">
      <c r="A326" s="9">
        <v>44939</v>
      </c>
      <c r="B326" s="7">
        <v>6.3</v>
      </c>
      <c r="C326" s="7">
        <v>2091500</v>
      </c>
    </row>
    <row r="327" spans="1:3">
      <c r="A327" s="9">
        <v>44943</v>
      </c>
      <c r="B327" s="7">
        <v>6.42</v>
      </c>
      <c r="C327" s="7">
        <v>1636100</v>
      </c>
    </row>
    <row r="328" spans="1:3">
      <c r="A328" s="9">
        <v>44944</v>
      </c>
      <c r="B328" s="7">
        <v>6.04</v>
      </c>
      <c r="C328" s="7">
        <v>1155400</v>
      </c>
    </row>
    <row r="329" spans="1:3">
      <c r="A329" s="9">
        <v>44945</v>
      </c>
      <c r="B329" s="7">
        <v>5.91</v>
      </c>
      <c r="C329" s="7">
        <v>1290200</v>
      </c>
    </row>
    <row r="330" spans="1:3">
      <c r="A330" s="9">
        <v>44946</v>
      </c>
      <c r="B330" s="7">
        <v>6.07</v>
      </c>
      <c r="C330" s="7">
        <v>988200</v>
      </c>
    </row>
    <row r="331" spans="1:3">
      <c r="A331" s="9">
        <v>44949</v>
      </c>
      <c r="B331" s="7">
        <v>6.16</v>
      </c>
      <c r="C331" s="7">
        <v>877900</v>
      </c>
    </row>
    <row r="332" spans="1:3">
      <c r="A332" s="9">
        <v>44950</v>
      </c>
      <c r="B332" s="7">
        <v>5.88</v>
      </c>
      <c r="C332" s="7">
        <v>1187800</v>
      </c>
    </row>
    <row r="333" spans="1:3">
      <c r="A333" s="9">
        <v>44951</v>
      </c>
      <c r="B333" s="7">
        <v>5.81</v>
      </c>
      <c r="C333" s="7">
        <v>964200</v>
      </c>
    </row>
    <row r="334" spans="1:3">
      <c r="A334" s="9">
        <v>44952</v>
      </c>
      <c r="B334" s="7">
        <v>5.91</v>
      </c>
      <c r="C334" s="7">
        <v>813200</v>
      </c>
    </row>
    <row r="335" spans="1:3">
      <c r="A335" s="9">
        <v>44953</v>
      </c>
      <c r="B335" s="7">
        <v>6.14</v>
      </c>
      <c r="C335" s="7">
        <v>1021800</v>
      </c>
    </row>
    <row r="336" spans="1:3">
      <c r="A336" s="9">
        <v>44956</v>
      </c>
      <c r="B336" s="7">
        <v>6.11</v>
      </c>
      <c r="C336" s="7">
        <v>1783800</v>
      </c>
    </row>
    <row r="337" spans="1:3">
      <c r="A337" s="9">
        <v>44957</v>
      </c>
      <c r="B337" s="7">
        <v>6.31</v>
      </c>
      <c r="C337" s="7">
        <v>1491000</v>
      </c>
    </row>
    <row r="338" spans="1:3">
      <c r="A338" s="9">
        <v>44958</v>
      </c>
      <c r="B338" s="7">
        <v>6.57</v>
      </c>
      <c r="C338" s="7">
        <v>1975900</v>
      </c>
    </row>
    <row r="339" spans="1:3">
      <c r="A339" s="9">
        <v>44959</v>
      </c>
      <c r="B339" s="7">
        <v>6.89</v>
      </c>
      <c r="C339" s="7">
        <v>2275500</v>
      </c>
    </row>
    <row r="340" spans="1:3">
      <c r="A340" s="9">
        <v>44960</v>
      </c>
      <c r="B340" s="7">
        <v>6.6</v>
      </c>
      <c r="C340" s="7">
        <v>2171600</v>
      </c>
    </row>
    <row r="341" spans="1:3">
      <c r="A341" s="9">
        <v>44963</v>
      </c>
      <c r="B341" s="7">
        <v>6.38</v>
      </c>
      <c r="C341" s="7">
        <v>1883300</v>
      </c>
    </row>
    <row r="342" spans="1:3">
      <c r="A342" s="9">
        <v>44964</v>
      </c>
      <c r="B342" s="7">
        <v>6.71</v>
      </c>
      <c r="C342" s="7">
        <v>3420300</v>
      </c>
    </row>
    <row r="343" spans="1:3">
      <c r="A343" s="9">
        <v>44965</v>
      </c>
      <c r="B343" s="7">
        <v>6.66</v>
      </c>
      <c r="C343" s="7">
        <v>1531900</v>
      </c>
    </row>
    <row r="344" spans="1:3">
      <c r="A344" s="9">
        <v>44966</v>
      </c>
      <c r="B344" s="7">
        <v>6.64</v>
      </c>
      <c r="C344" s="7">
        <v>2461500</v>
      </c>
    </row>
    <row r="345" spans="1:3">
      <c r="A345" s="9">
        <v>44967</v>
      </c>
      <c r="B345" s="7">
        <v>6.36</v>
      </c>
      <c r="C345" s="7">
        <v>1580300</v>
      </c>
    </row>
    <row r="346" spans="1:3">
      <c r="A346" s="9">
        <v>44970</v>
      </c>
      <c r="B346" s="7">
        <v>6.62</v>
      </c>
      <c r="C346" s="7">
        <v>1673900</v>
      </c>
    </row>
    <row r="347" spans="1:3">
      <c r="A347" s="9">
        <v>44971</v>
      </c>
      <c r="B347" s="7">
        <v>6.55</v>
      </c>
      <c r="C347" s="7">
        <v>1288100</v>
      </c>
    </row>
    <row r="348" spans="1:3">
      <c r="A348" s="9">
        <v>44972</v>
      </c>
      <c r="B348" s="7">
        <v>6.54</v>
      </c>
      <c r="C348" s="7">
        <v>1624300</v>
      </c>
    </row>
    <row r="349" spans="1:3">
      <c r="A349" s="9">
        <v>44973</v>
      </c>
      <c r="B349" s="7">
        <v>5.81</v>
      </c>
      <c r="C349" s="7">
        <v>2940000</v>
      </c>
    </row>
    <row r="350" spans="1:3">
      <c r="A350" s="9">
        <v>44974</v>
      </c>
      <c r="B350" s="7">
        <v>5.49</v>
      </c>
      <c r="C350" s="7">
        <v>4605400</v>
      </c>
    </row>
    <row r="351" spans="1:3">
      <c r="A351" s="9">
        <v>44978</v>
      </c>
      <c r="B351" s="7">
        <v>5.19</v>
      </c>
      <c r="C351" s="7">
        <v>5236400</v>
      </c>
    </row>
    <row r="352" spans="1:3">
      <c r="A352" s="9">
        <v>44979</v>
      </c>
      <c r="B352" s="7">
        <v>5.44</v>
      </c>
      <c r="C352" s="7">
        <v>3607800</v>
      </c>
    </row>
    <row r="353" spans="1:3">
      <c r="A353" s="9">
        <v>44980</v>
      </c>
      <c r="B353" s="7">
        <v>5.58</v>
      </c>
      <c r="C353" s="7">
        <v>2174100</v>
      </c>
    </row>
    <row r="354" spans="1:3">
      <c r="A354" s="9">
        <v>44981</v>
      </c>
      <c r="B354" s="7">
        <v>5.52</v>
      </c>
      <c r="C354" s="7">
        <v>1923800</v>
      </c>
    </row>
    <row r="355" spans="1:3">
      <c r="A355" s="9">
        <v>44984</v>
      </c>
      <c r="B355" s="7">
        <v>5.41</v>
      </c>
      <c r="C355" s="7">
        <v>3883600</v>
      </c>
    </row>
    <row r="356" spans="1:3">
      <c r="A356" s="9">
        <v>44985</v>
      </c>
      <c r="B356" s="7">
        <v>4.92</v>
      </c>
      <c r="C356" s="7">
        <v>9754900</v>
      </c>
    </row>
    <row r="357" spans="1:3">
      <c r="A357" s="9">
        <v>44986</v>
      </c>
      <c r="B357" s="7">
        <v>4.58</v>
      </c>
      <c r="C357" s="7">
        <v>7150600</v>
      </c>
    </row>
    <row r="358" spans="1:3">
      <c r="A358" s="9">
        <v>44987</v>
      </c>
      <c r="B358" s="7">
        <v>4.67</v>
      </c>
      <c r="C358" s="7">
        <v>2799200</v>
      </c>
    </row>
    <row r="359" spans="1:3">
      <c r="A359" s="9">
        <v>44988</v>
      </c>
      <c r="B359" s="7">
        <v>4.6500000000000004</v>
      </c>
      <c r="C359" s="7">
        <v>3991600</v>
      </c>
    </row>
    <row r="360" spans="1:3">
      <c r="A360" s="9">
        <v>44991</v>
      </c>
      <c r="B360" s="7">
        <v>4.26</v>
      </c>
      <c r="C360" s="7">
        <v>6454900</v>
      </c>
    </row>
    <row r="361" spans="1:3">
      <c r="A361" s="9">
        <v>44992</v>
      </c>
      <c r="B361" s="7">
        <v>4.26</v>
      </c>
      <c r="C361" s="7">
        <v>4057700</v>
      </c>
    </row>
    <row r="362" spans="1:3">
      <c r="A362" s="9">
        <v>44993</v>
      </c>
      <c r="B362" s="7">
        <v>4.22</v>
      </c>
      <c r="C362" s="7">
        <v>2307900</v>
      </c>
    </row>
    <row r="363" spans="1:3">
      <c r="A363" s="9">
        <v>44994</v>
      </c>
      <c r="B363" s="7">
        <v>4.01</v>
      </c>
      <c r="C363" s="7">
        <v>4092100</v>
      </c>
    </row>
    <row r="364" spans="1:3">
      <c r="A364" s="9">
        <v>44995</v>
      </c>
      <c r="B364" s="7">
        <v>3.99</v>
      </c>
      <c r="C364" s="7">
        <v>4396800</v>
      </c>
    </row>
    <row r="365" spans="1:3">
      <c r="A365" s="9">
        <v>44998</v>
      </c>
      <c r="B365" s="7">
        <v>4.05</v>
      </c>
      <c r="C365" s="7">
        <v>2973700</v>
      </c>
    </row>
    <row r="366" spans="1:3">
      <c r="A366" s="9">
        <v>44999</v>
      </c>
      <c r="B366" s="7">
        <v>3.98</v>
      </c>
      <c r="C366" s="7">
        <v>4247500</v>
      </c>
    </row>
    <row r="367" spans="1:3">
      <c r="A367" s="9">
        <v>45000</v>
      </c>
      <c r="B367" s="7">
        <v>4.01</v>
      </c>
      <c r="C367" s="7">
        <v>3013600</v>
      </c>
    </row>
    <row r="368" spans="1:3">
      <c r="A368" s="9">
        <v>45001</v>
      </c>
      <c r="B368" s="7">
        <v>3.96</v>
      </c>
      <c r="C368" s="7">
        <v>3646100</v>
      </c>
    </row>
    <row r="369" spans="1:3">
      <c r="A369" s="9">
        <v>45002</v>
      </c>
      <c r="B369" s="7">
        <v>3.87</v>
      </c>
      <c r="C369" s="7">
        <v>14142300</v>
      </c>
    </row>
    <row r="370" spans="1:3">
      <c r="A370" s="9">
        <v>45005</v>
      </c>
      <c r="B370" s="7">
        <v>3.94</v>
      </c>
      <c r="C370" s="7">
        <v>3128400</v>
      </c>
    </row>
    <row r="371" spans="1:3">
      <c r="A371" s="9">
        <v>45006</v>
      </c>
      <c r="B371" s="7">
        <v>4.0599999999999996</v>
      </c>
      <c r="C371" s="7">
        <v>1924300</v>
      </c>
    </row>
    <row r="372" spans="1:3">
      <c r="A372" s="9">
        <v>45007</v>
      </c>
      <c r="B372" s="7">
        <v>4</v>
      </c>
      <c r="C372" s="7">
        <v>2961500</v>
      </c>
    </row>
    <row r="373" spans="1:3">
      <c r="A373" s="9">
        <v>45008</v>
      </c>
      <c r="B373" s="7">
        <v>3.9</v>
      </c>
      <c r="C373" s="7">
        <v>3783700</v>
      </c>
    </row>
    <row r="374" spans="1:3">
      <c r="A374" s="9">
        <v>45009</v>
      </c>
      <c r="B374" s="7">
        <v>3.93</v>
      </c>
      <c r="C374" s="7">
        <v>1961900</v>
      </c>
    </row>
    <row r="375" spans="1:3">
      <c r="A375" s="9">
        <v>45012</v>
      </c>
      <c r="B375" s="7">
        <v>3.99</v>
      </c>
      <c r="C375" s="7">
        <v>1807700</v>
      </c>
    </row>
    <row r="376" spans="1:3">
      <c r="A376" s="9">
        <v>45013</v>
      </c>
      <c r="B376" s="7">
        <v>4.01</v>
      </c>
      <c r="C376" s="7">
        <v>1766000</v>
      </c>
    </row>
    <row r="377" spans="1:3">
      <c r="A377" s="9">
        <v>45014</v>
      </c>
      <c r="B377" s="7">
        <v>4.04</v>
      </c>
      <c r="C377" s="7">
        <v>2166500</v>
      </c>
    </row>
    <row r="378" spans="1:3">
      <c r="A378" s="9">
        <v>45015</v>
      </c>
      <c r="B378" s="7">
        <v>4.09</v>
      </c>
      <c r="C378" s="7">
        <v>2279600</v>
      </c>
    </row>
    <row r="379" spans="1:3">
      <c r="A379" s="9">
        <v>45016</v>
      </c>
      <c r="B379" s="7">
        <v>4.2699999999999996</v>
      </c>
      <c r="C379" s="7">
        <v>2480300</v>
      </c>
    </row>
    <row r="380" spans="1:3">
      <c r="A380" s="9">
        <v>45019</v>
      </c>
      <c r="B380" s="7">
        <v>4.2300000000000004</v>
      </c>
      <c r="C380" s="7">
        <v>2355000</v>
      </c>
    </row>
    <row r="381" spans="1:3">
      <c r="A381" s="9">
        <v>45020</v>
      </c>
      <c r="B381" s="7">
        <v>4.16</v>
      </c>
      <c r="C381" s="7">
        <v>1347500</v>
      </c>
    </row>
    <row r="382" spans="1:3">
      <c r="A382" s="9">
        <v>45021</v>
      </c>
      <c r="B382" s="7">
        <v>4.05</v>
      </c>
      <c r="C382" s="7">
        <v>1074400</v>
      </c>
    </row>
    <row r="383" spans="1:3">
      <c r="A383" s="9">
        <v>45022</v>
      </c>
      <c r="B383" s="7">
        <v>4.16</v>
      </c>
      <c r="C383" s="7">
        <v>1859100</v>
      </c>
    </row>
    <row r="384" spans="1:3">
      <c r="A384" s="9">
        <v>45026</v>
      </c>
      <c r="B384" s="7">
        <v>4.16</v>
      </c>
      <c r="C384" s="7">
        <v>2608700</v>
      </c>
    </row>
    <row r="385" spans="1:3">
      <c r="A385" s="9">
        <v>45027</v>
      </c>
      <c r="B385" s="7">
        <v>4.22</v>
      </c>
      <c r="C385" s="7">
        <v>1097500</v>
      </c>
    </row>
    <row r="386" spans="1:3">
      <c r="A386" s="9">
        <v>45028</v>
      </c>
      <c r="B386" s="7">
        <v>4.04</v>
      </c>
      <c r="C386" s="7">
        <v>1558400</v>
      </c>
    </row>
    <row r="387" spans="1:3">
      <c r="A387" s="9">
        <v>45029</v>
      </c>
      <c r="B387" s="7">
        <v>4.12</v>
      </c>
      <c r="C387" s="7">
        <v>953600</v>
      </c>
    </row>
    <row r="388" spans="1:3">
      <c r="A388" s="9">
        <v>45030</v>
      </c>
      <c r="B388" s="7">
        <v>4.03</v>
      </c>
      <c r="C388" s="7">
        <v>1275000</v>
      </c>
    </row>
    <row r="389" spans="1:3">
      <c r="A389" s="9">
        <v>45033</v>
      </c>
      <c r="B389" s="7">
        <v>3.91</v>
      </c>
      <c r="C389" s="7">
        <v>1525200</v>
      </c>
    </row>
    <row r="390" spans="1:3">
      <c r="A390" s="9">
        <v>45034</v>
      </c>
      <c r="B390" s="7">
        <v>3.9</v>
      </c>
      <c r="C390" s="7">
        <v>1624500</v>
      </c>
    </row>
    <row r="391" spans="1:3">
      <c r="A391" s="9">
        <v>45035</v>
      </c>
      <c r="B391" s="7">
        <v>3.89</v>
      </c>
      <c r="C391" s="7">
        <v>1465000</v>
      </c>
    </row>
    <row r="392" spans="1:3">
      <c r="A392" s="9">
        <v>45036</v>
      </c>
      <c r="B392" s="7">
        <v>3.82</v>
      </c>
      <c r="C392" s="7">
        <v>1473400</v>
      </c>
    </row>
    <row r="393" spans="1:3">
      <c r="A393" s="9">
        <v>45037</v>
      </c>
      <c r="B393" s="7">
        <v>3.8</v>
      </c>
      <c r="C393" s="7">
        <v>1439600</v>
      </c>
    </row>
    <row r="394" spans="1:3">
      <c r="A394" s="9">
        <v>45040</v>
      </c>
      <c r="B394" s="7">
        <v>3.73</v>
      </c>
      <c r="C394" s="7">
        <v>2270200</v>
      </c>
    </row>
    <row r="395" spans="1:3">
      <c r="A395" s="9">
        <v>45041</v>
      </c>
      <c r="B395" s="7">
        <v>3.63</v>
      </c>
      <c r="C395" s="7">
        <v>1487900</v>
      </c>
    </row>
    <row r="396" spans="1:3">
      <c r="A396" s="9">
        <v>45042</v>
      </c>
      <c r="B396" s="7">
        <v>3.65</v>
      </c>
      <c r="C396" s="7">
        <v>1796700</v>
      </c>
    </row>
    <row r="397" spans="1:3">
      <c r="A397" s="9">
        <v>45043</v>
      </c>
      <c r="B397" s="7">
        <v>3.82</v>
      </c>
      <c r="C397" s="7">
        <v>2149400</v>
      </c>
    </row>
    <row r="398" spans="1:3">
      <c r="A398" s="9">
        <v>45044</v>
      </c>
      <c r="B398" s="7">
        <v>3.7</v>
      </c>
      <c r="C398" s="7">
        <v>2345800</v>
      </c>
    </row>
    <row r="399" spans="1:3">
      <c r="A399" s="9">
        <v>45047</v>
      </c>
      <c r="B399" s="7">
        <v>3.69</v>
      </c>
      <c r="C399" s="7">
        <v>1894900</v>
      </c>
    </row>
    <row r="400" spans="1:3">
      <c r="A400" s="9">
        <v>45048</v>
      </c>
      <c r="B400" s="7">
        <v>3.62</v>
      </c>
      <c r="C400" s="7">
        <v>1561500</v>
      </c>
    </row>
    <row r="401" spans="1:3">
      <c r="A401" s="9">
        <v>45049</v>
      </c>
      <c r="B401" s="7">
        <v>3.66</v>
      </c>
      <c r="C401" s="7">
        <v>1776000</v>
      </c>
    </row>
    <row r="402" spans="1:3">
      <c r="A402" s="9">
        <v>45050</v>
      </c>
      <c r="B402" s="7">
        <v>3.63</v>
      </c>
      <c r="C402" s="7">
        <v>2059600</v>
      </c>
    </row>
    <row r="403" spans="1:3">
      <c r="A403" s="9">
        <v>45051</v>
      </c>
      <c r="B403" s="7">
        <v>3.87</v>
      </c>
      <c r="C403" s="7">
        <v>1613500</v>
      </c>
    </row>
    <row r="404" spans="1:3">
      <c r="A404" s="9">
        <v>45054</v>
      </c>
      <c r="B404" s="7">
        <v>3.97</v>
      </c>
      <c r="C404" s="7">
        <v>3614200</v>
      </c>
    </row>
    <row r="405" spans="1:3">
      <c r="A405" s="9">
        <v>45055</v>
      </c>
      <c r="B405" s="7">
        <v>3.7</v>
      </c>
      <c r="C405" s="7">
        <v>4277500</v>
      </c>
    </row>
    <row r="406" spans="1:3">
      <c r="A406" s="9">
        <v>45056</v>
      </c>
      <c r="B406" s="7">
        <v>3.55</v>
      </c>
      <c r="C406" s="7">
        <v>2498100</v>
      </c>
    </row>
    <row r="407" spans="1:3">
      <c r="A407" s="9">
        <v>45057</v>
      </c>
      <c r="B407" s="7">
        <v>3.37</v>
      </c>
      <c r="C407" s="7">
        <v>7328500</v>
      </c>
    </row>
    <row r="408" spans="1:3">
      <c r="A408" s="9">
        <v>45058</v>
      </c>
      <c r="B408" s="7">
        <v>3.5</v>
      </c>
      <c r="C408" s="7">
        <v>2141100</v>
      </c>
    </row>
    <row r="409" spans="1:3">
      <c r="A409" s="9">
        <v>45061</v>
      </c>
      <c r="B409" s="7">
        <v>3.7</v>
      </c>
      <c r="C409" s="7">
        <v>1987600</v>
      </c>
    </row>
    <row r="410" spans="1:3">
      <c r="A410" s="9">
        <v>45062</v>
      </c>
      <c r="B410" s="7">
        <v>3.3450000000000002</v>
      </c>
      <c r="C410" s="7">
        <v>2549800</v>
      </c>
    </row>
    <row r="411" spans="1:3">
      <c r="A411" s="9">
        <v>45063</v>
      </c>
      <c r="B411" s="7">
        <v>3.34</v>
      </c>
      <c r="C411" s="7">
        <v>1267200</v>
      </c>
    </row>
    <row r="412" spans="1:3">
      <c r="A412" s="9">
        <v>45064</v>
      </c>
      <c r="B412" s="7">
        <v>3.33</v>
      </c>
      <c r="C412" s="7">
        <v>1636200</v>
      </c>
    </row>
    <row r="413" spans="1:3">
      <c r="A413" s="9">
        <v>45065</v>
      </c>
      <c r="B413" s="7">
        <v>3.36</v>
      </c>
      <c r="C413" s="7">
        <v>1610400</v>
      </c>
    </row>
    <row r="414" spans="1:3">
      <c r="A414" s="9">
        <v>45068</v>
      </c>
      <c r="B414" s="7">
        <v>3.4</v>
      </c>
      <c r="C414" s="7">
        <v>2881500</v>
      </c>
    </row>
    <row r="415" spans="1:3">
      <c r="A415" s="9">
        <v>45069</v>
      </c>
      <c r="B415" s="7">
        <v>3.46</v>
      </c>
      <c r="C415" s="7">
        <v>1425100</v>
      </c>
    </row>
    <row r="416" spans="1:3">
      <c r="A416" s="9">
        <v>45070</v>
      </c>
      <c r="B416" s="7">
        <v>3.36</v>
      </c>
      <c r="C416" s="7">
        <v>1080800</v>
      </c>
    </row>
    <row r="417" spans="1:3">
      <c r="A417" s="9">
        <v>45071</v>
      </c>
      <c r="B417" s="7">
        <v>3.24</v>
      </c>
      <c r="C417" s="7">
        <v>823800</v>
      </c>
    </row>
    <row r="418" spans="1:3">
      <c r="A418" s="9">
        <v>45072</v>
      </c>
      <c r="B418" s="7">
        <v>3.29</v>
      </c>
      <c r="C418" s="7">
        <v>1447000</v>
      </c>
    </row>
    <row r="419" spans="1:3">
      <c r="A419" s="9">
        <v>45076</v>
      </c>
      <c r="B419" s="7">
        <v>3.23</v>
      </c>
      <c r="C419" s="7">
        <v>1359300</v>
      </c>
    </row>
    <row r="420" spans="1:3">
      <c r="A420" s="9">
        <v>45077</v>
      </c>
      <c r="B420" s="7">
        <v>3.16</v>
      </c>
      <c r="C420" s="7">
        <v>3767100</v>
      </c>
    </row>
    <row r="421" spans="1:3">
      <c r="A421" s="9">
        <v>45078</v>
      </c>
      <c r="B421" s="7">
        <v>3.21</v>
      </c>
      <c r="C421" s="7">
        <v>1655500</v>
      </c>
    </row>
    <row r="422" spans="1:3">
      <c r="A422" s="9">
        <v>45079</v>
      </c>
      <c r="B422" s="7">
        <v>3.47</v>
      </c>
      <c r="C422" s="7">
        <v>1529000</v>
      </c>
    </row>
    <row r="423" spans="1:3">
      <c r="A423" s="9">
        <v>45082</v>
      </c>
      <c r="B423" s="7">
        <v>3.48</v>
      </c>
      <c r="C423" s="7">
        <v>1607200</v>
      </c>
    </row>
    <row r="424" spans="1:3">
      <c r="A424" s="9">
        <v>45083</v>
      </c>
      <c r="B424" s="7">
        <v>3.64</v>
      </c>
      <c r="C424" s="7">
        <v>956900</v>
      </c>
    </row>
    <row r="425" spans="1:3">
      <c r="A425" s="9">
        <v>45084</v>
      </c>
      <c r="B425" s="7">
        <v>3.83</v>
      </c>
      <c r="C425" s="7">
        <v>1977600</v>
      </c>
    </row>
    <row r="426" spans="1:3">
      <c r="A426" s="9">
        <v>45085</v>
      </c>
      <c r="B426" s="7">
        <v>3.72</v>
      </c>
      <c r="C426" s="7">
        <v>1517000</v>
      </c>
    </row>
    <row r="427" spans="1:3">
      <c r="A427" s="9">
        <v>45086</v>
      </c>
      <c r="B427" s="7">
        <v>3.55</v>
      </c>
      <c r="C427" s="7">
        <v>2148700</v>
      </c>
    </row>
    <row r="428" spans="1:3">
      <c r="A428" s="9">
        <v>45089</v>
      </c>
      <c r="B428" s="7">
        <v>3.63</v>
      </c>
      <c r="C428" s="7">
        <v>2133000</v>
      </c>
    </row>
    <row r="429" spans="1:3">
      <c r="A429" s="9">
        <v>45090</v>
      </c>
      <c r="B429" s="7">
        <v>3.68</v>
      </c>
      <c r="C429" s="7">
        <v>1462900</v>
      </c>
    </row>
    <row r="430" spans="1:3">
      <c r="A430" s="9">
        <v>45091</v>
      </c>
      <c r="B430" s="7">
        <v>3.59</v>
      </c>
      <c r="C430" s="7">
        <v>1794000</v>
      </c>
    </row>
    <row r="431" spans="1:3">
      <c r="A431" s="9">
        <v>45092</v>
      </c>
      <c r="B431" s="7">
        <v>3.65</v>
      </c>
      <c r="C431" s="7">
        <v>1184600</v>
      </c>
    </row>
    <row r="432" spans="1:3">
      <c r="A432" s="9">
        <v>45093</v>
      </c>
      <c r="B432" s="7">
        <v>3.66</v>
      </c>
      <c r="C432" s="7">
        <v>2390900</v>
      </c>
    </row>
    <row r="433" spans="1:3">
      <c r="A433" s="9">
        <v>45097</v>
      </c>
      <c r="B433" s="7">
        <v>3.62</v>
      </c>
      <c r="C433" s="7">
        <v>1509900</v>
      </c>
    </row>
    <row r="434" spans="1:3">
      <c r="A434" s="9">
        <v>45098</v>
      </c>
      <c r="B434" s="7">
        <v>3.57</v>
      </c>
      <c r="C434" s="7">
        <v>954600</v>
      </c>
    </row>
    <row r="435" spans="1:3">
      <c r="A435" s="9">
        <v>45099</v>
      </c>
      <c r="B435" s="7">
        <v>3.6</v>
      </c>
      <c r="C435" s="7">
        <v>1186100</v>
      </c>
    </row>
    <row r="436" spans="1:3">
      <c r="A436" s="9">
        <v>45100</v>
      </c>
      <c r="B436" s="7">
        <v>3.46</v>
      </c>
      <c r="C436" s="7">
        <v>4262700</v>
      </c>
    </row>
    <row r="437" spans="1:3">
      <c r="A437" s="9">
        <v>45103</v>
      </c>
      <c r="B437" s="7">
        <v>3.58</v>
      </c>
      <c r="C437" s="7">
        <v>1591000</v>
      </c>
    </row>
    <row r="438" spans="1:3">
      <c r="A438" s="9">
        <v>45104</v>
      </c>
      <c r="B438" s="7">
        <v>3.59</v>
      </c>
      <c r="C438" s="7">
        <v>1439800</v>
      </c>
    </row>
    <row r="439" spans="1:3">
      <c r="A439" s="9">
        <v>45105</v>
      </c>
      <c r="B439" s="7">
        <v>3.59</v>
      </c>
      <c r="C439" s="7">
        <v>2384300</v>
      </c>
    </row>
    <row r="440" spans="1:3">
      <c r="A440" s="9">
        <v>45106</v>
      </c>
      <c r="B440" s="7">
        <v>3.74</v>
      </c>
      <c r="C440" s="7">
        <v>2417600</v>
      </c>
    </row>
    <row r="441" spans="1:3">
      <c r="A441" s="9">
        <v>45107</v>
      </c>
      <c r="B441" s="7">
        <v>3.72</v>
      </c>
      <c r="C441" s="7">
        <v>945900</v>
      </c>
    </row>
    <row r="442" spans="1:3">
      <c r="A442" s="9">
        <v>45110</v>
      </c>
      <c r="B442" s="7">
        <v>3.92</v>
      </c>
      <c r="C442" s="7">
        <v>1349900</v>
      </c>
    </row>
    <row r="443" spans="1:3">
      <c r="A443" s="9">
        <v>45112</v>
      </c>
      <c r="B443" s="7">
        <v>3.73</v>
      </c>
      <c r="C443" s="7">
        <v>2615000</v>
      </c>
    </row>
    <row r="444" spans="1:3">
      <c r="A444" s="9">
        <v>45113</v>
      </c>
      <c r="B444" s="7">
        <v>3.75</v>
      </c>
      <c r="C444" s="7">
        <v>1613700</v>
      </c>
    </row>
    <row r="445" spans="1:3">
      <c r="A445" s="9">
        <v>45114</v>
      </c>
      <c r="B445" s="7">
        <v>3.87</v>
      </c>
      <c r="C445" s="7">
        <v>1821900</v>
      </c>
    </row>
    <row r="446" spans="1:3">
      <c r="A446" s="9">
        <v>45117</v>
      </c>
      <c r="B446" s="7">
        <v>4.0199999999999996</v>
      </c>
      <c r="C446" s="7">
        <v>2096900</v>
      </c>
    </row>
    <row r="447" spans="1:3">
      <c r="A447" s="9">
        <v>45118</v>
      </c>
      <c r="B447" s="7">
        <v>4.13</v>
      </c>
      <c r="C447" s="7">
        <v>2557600</v>
      </c>
    </row>
    <row r="448" spans="1:3">
      <c r="A448" s="9">
        <v>45119</v>
      </c>
      <c r="B448" s="7">
        <v>4.2300000000000004</v>
      </c>
      <c r="C448" s="7">
        <v>3111000</v>
      </c>
    </row>
    <row r="449" spans="1:3">
      <c r="A449" s="9">
        <v>45120</v>
      </c>
      <c r="B449" s="7">
        <v>4.12</v>
      </c>
      <c r="C449" s="7">
        <v>1665900</v>
      </c>
    </row>
    <row r="450" spans="1:3">
      <c r="A450" s="9">
        <v>45121</v>
      </c>
      <c r="B450" s="7">
        <v>3.97</v>
      </c>
      <c r="C450" s="7">
        <v>908900</v>
      </c>
    </row>
    <row r="451" spans="1:3">
      <c r="A451" s="9">
        <v>45124</v>
      </c>
      <c r="B451" s="7">
        <v>3.99</v>
      </c>
      <c r="C451" s="7">
        <v>1616500</v>
      </c>
    </row>
    <row r="452" spans="1:3">
      <c r="A452" s="9">
        <v>45125</v>
      </c>
      <c r="B452" s="7">
        <v>4.08</v>
      </c>
      <c r="C452" s="7">
        <v>877500</v>
      </c>
    </row>
    <row r="453" spans="1:3">
      <c r="A453" s="9">
        <v>45126</v>
      </c>
      <c r="B453" s="7">
        <v>4.0599999999999996</v>
      </c>
      <c r="C453" s="7">
        <v>985100</v>
      </c>
    </row>
    <row r="454" spans="1:3">
      <c r="A454" s="9">
        <v>45127</v>
      </c>
      <c r="B454" s="7">
        <v>3.79</v>
      </c>
      <c r="C454" s="7">
        <v>2158300</v>
      </c>
    </row>
    <row r="455" spans="1:3">
      <c r="A455" s="9">
        <v>45128</v>
      </c>
      <c r="B455" s="7">
        <v>3.8250000000000002</v>
      </c>
      <c r="C455" s="7">
        <v>1031600</v>
      </c>
    </row>
    <row r="456" spans="1:3">
      <c r="A456" s="9">
        <v>45131</v>
      </c>
      <c r="B456" s="7">
        <v>3.94</v>
      </c>
      <c r="C456" s="7">
        <v>1084000</v>
      </c>
    </row>
    <row r="457" spans="1:3">
      <c r="A457" s="9">
        <v>45132</v>
      </c>
      <c r="B457" s="7">
        <v>3.9</v>
      </c>
      <c r="C457" s="7">
        <v>1028900</v>
      </c>
    </row>
    <row r="458" spans="1:3">
      <c r="A458" s="9">
        <v>45133</v>
      </c>
      <c r="B458" s="7">
        <v>3.98</v>
      </c>
      <c r="C458" s="7">
        <v>1582800</v>
      </c>
    </row>
    <row r="459" spans="1:3">
      <c r="A459" s="9">
        <v>45134</v>
      </c>
      <c r="B459" s="7">
        <v>3.68</v>
      </c>
      <c r="C459" s="7">
        <v>1288200</v>
      </c>
    </row>
    <row r="460" spans="1:3">
      <c r="A460" s="9">
        <v>45135</v>
      </c>
      <c r="B460" s="7">
        <v>3.71</v>
      </c>
      <c r="C460" s="7">
        <v>1583200</v>
      </c>
    </row>
    <row r="461" spans="1:3">
      <c r="A461" s="9">
        <v>45138</v>
      </c>
      <c r="B461" s="7">
        <v>3.6</v>
      </c>
      <c r="C461" s="7">
        <v>1778500</v>
      </c>
    </row>
    <row r="462" spans="1:3">
      <c r="A462" s="9">
        <v>45139</v>
      </c>
      <c r="B462" s="7">
        <v>3.46</v>
      </c>
      <c r="C462" s="7">
        <v>1762600</v>
      </c>
    </row>
    <row r="463" spans="1:3">
      <c r="A463" s="9">
        <v>45140</v>
      </c>
      <c r="B463" s="7">
        <v>3.44</v>
      </c>
      <c r="C463" s="7">
        <v>1509700</v>
      </c>
    </row>
    <row r="464" spans="1:3">
      <c r="A464" s="9">
        <v>45141</v>
      </c>
      <c r="B464" s="7">
        <v>3.43</v>
      </c>
      <c r="C464" s="7">
        <v>2842800</v>
      </c>
    </row>
    <row r="465" spans="1:3">
      <c r="A465" s="9">
        <v>45142</v>
      </c>
      <c r="B465" s="7">
        <v>3.49</v>
      </c>
      <c r="C465" s="7">
        <v>1719700</v>
      </c>
    </row>
    <row r="466" spans="1:3">
      <c r="A466" s="9">
        <v>45145</v>
      </c>
      <c r="B466" s="7">
        <v>3.57</v>
      </c>
      <c r="C466" s="7">
        <v>3182700</v>
      </c>
    </row>
    <row r="467" spans="1:3">
      <c r="A467" s="9">
        <v>45146</v>
      </c>
      <c r="B467" s="7">
        <v>3.23</v>
      </c>
      <c r="C467" s="7">
        <v>14027400</v>
      </c>
    </row>
    <row r="468" spans="1:3">
      <c r="A468" s="9">
        <v>45147</v>
      </c>
      <c r="B468" s="7">
        <v>2.8</v>
      </c>
      <c r="C468" s="7">
        <v>4814300</v>
      </c>
    </row>
    <row r="469" spans="1:3">
      <c r="A469" s="9">
        <v>45148</v>
      </c>
      <c r="B469" s="7">
        <v>2.62</v>
      </c>
      <c r="C469" s="7">
        <v>4181900</v>
      </c>
    </row>
    <row r="470" spans="1:3">
      <c r="A470" s="9">
        <v>45149</v>
      </c>
      <c r="B470" s="7">
        <v>2.6</v>
      </c>
      <c r="C470" s="7">
        <v>3672700</v>
      </c>
    </row>
    <row r="471" spans="1:3">
      <c r="A471" s="9">
        <v>45152</v>
      </c>
      <c r="B471" s="7">
        <v>2.63</v>
      </c>
      <c r="C471" s="7">
        <v>4138600</v>
      </c>
    </row>
    <row r="472" spans="1:3">
      <c r="A472" s="9">
        <v>45153</v>
      </c>
      <c r="B472" s="7">
        <v>2.79</v>
      </c>
      <c r="C472" s="7">
        <v>5342700</v>
      </c>
    </row>
    <row r="473" spans="1:3">
      <c r="A473" s="9">
        <v>45154</v>
      </c>
      <c r="B473" s="7">
        <v>2.75</v>
      </c>
      <c r="C473" s="7">
        <v>3398800</v>
      </c>
    </row>
    <row r="474" spans="1:3">
      <c r="A474" s="9">
        <v>45155</v>
      </c>
      <c r="B474" s="7">
        <v>2.71</v>
      </c>
      <c r="C474" s="7">
        <v>3141500</v>
      </c>
    </row>
    <row r="475" spans="1:3">
      <c r="A475" s="9">
        <v>45156</v>
      </c>
      <c r="B475" s="7">
        <v>2.7</v>
      </c>
      <c r="C475" s="7">
        <v>2014300</v>
      </c>
    </row>
    <row r="476" spans="1:3">
      <c r="A476" s="9">
        <v>45159</v>
      </c>
      <c r="B476" s="7">
        <v>2.73</v>
      </c>
      <c r="C476" s="7">
        <v>1976700</v>
      </c>
    </row>
    <row r="477" spans="1:3">
      <c r="A477" s="9">
        <v>45160</v>
      </c>
      <c r="B477" s="7">
        <v>2.74</v>
      </c>
      <c r="C477" s="7">
        <v>1045600</v>
      </c>
    </row>
    <row r="478" spans="1:3">
      <c r="A478" s="9">
        <v>45161</v>
      </c>
      <c r="B478" s="7">
        <v>2.645</v>
      </c>
      <c r="C478" s="7">
        <v>2276700</v>
      </c>
    </row>
    <row r="479" spans="1:3">
      <c r="A479" s="9">
        <v>45162</v>
      </c>
      <c r="B479" s="7">
        <v>2.61</v>
      </c>
      <c r="C479" s="7">
        <v>1684000</v>
      </c>
    </row>
    <row r="480" spans="1:3">
      <c r="A480" s="9">
        <v>45163</v>
      </c>
      <c r="B480" s="7">
        <v>2.64</v>
      </c>
      <c r="C480" s="7">
        <v>2535800</v>
      </c>
    </row>
    <row r="481" spans="1:3">
      <c r="A481" s="9">
        <v>45166</v>
      </c>
      <c r="B481" s="7">
        <v>2.7</v>
      </c>
      <c r="C481" s="7">
        <v>1631500</v>
      </c>
    </row>
    <row r="482" spans="1:3">
      <c r="A482" s="9">
        <v>45167</v>
      </c>
      <c r="B482" s="7">
        <v>2.75</v>
      </c>
      <c r="C482" s="7">
        <v>1106300</v>
      </c>
    </row>
    <row r="483" spans="1:3">
      <c r="A483" s="9">
        <v>45168</v>
      </c>
      <c r="B483" s="7">
        <v>2.75</v>
      </c>
      <c r="C483" s="7">
        <v>924600</v>
      </c>
    </row>
    <row r="484" spans="1:3">
      <c r="A484" s="9">
        <v>45169</v>
      </c>
      <c r="B484" s="7">
        <v>2.71</v>
      </c>
      <c r="C484" s="7">
        <v>1581900</v>
      </c>
    </row>
    <row r="485" spans="1:3">
      <c r="A485" s="9">
        <v>45170</v>
      </c>
      <c r="B485" s="7">
        <v>2.68</v>
      </c>
      <c r="C485" s="7">
        <v>1249500</v>
      </c>
    </row>
    <row r="486" spans="1:3">
      <c r="A486" s="9">
        <v>45174</v>
      </c>
      <c r="B486" s="7">
        <v>2.59</v>
      </c>
      <c r="C486" s="7">
        <v>1112500</v>
      </c>
    </row>
    <row r="487" spans="1:3">
      <c r="A487" s="9">
        <v>45175</v>
      </c>
      <c r="B487" s="7">
        <v>2.5499999999999998</v>
      </c>
      <c r="C487" s="7">
        <v>1468600</v>
      </c>
    </row>
    <row r="488" spans="1:3">
      <c r="A488" s="9">
        <v>45176</v>
      </c>
      <c r="B488" s="7">
        <v>2.4500000000000002</v>
      </c>
      <c r="C488" s="7">
        <v>2291800</v>
      </c>
    </row>
    <row r="489" spans="1:3">
      <c r="A489" s="9">
        <v>45177</v>
      </c>
      <c r="B489" s="7">
        <v>2.4300000000000002</v>
      </c>
      <c r="C489" s="7">
        <v>1130700</v>
      </c>
    </row>
    <row r="490" spans="1:3">
      <c r="A490" s="9">
        <v>45180</v>
      </c>
      <c r="B490" s="7">
        <v>2.4</v>
      </c>
      <c r="C490" s="7">
        <v>1757200</v>
      </c>
    </row>
    <row r="491" spans="1:3">
      <c r="A491" s="9">
        <v>45181</v>
      </c>
      <c r="B491" s="7">
        <v>2.41</v>
      </c>
      <c r="C491" s="7">
        <v>1701900</v>
      </c>
    </row>
    <row r="492" spans="1:3">
      <c r="A492" s="9">
        <v>45182</v>
      </c>
      <c r="B492" s="7">
        <v>2.4</v>
      </c>
      <c r="C492" s="7">
        <v>1355100</v>
      </c>
    </row>
    <row r="493" spans="1:3">
      <c r="A493" s="9">
        <v>45183</v>
      </c>
      <c r="B493" s="7">
        <v>2.41</v>
      </c>
      <c r="C493" s="7">
        <v>1327100</v>
      </c>
    </row>
    <row r="494" spans="1:3">
      <c r="A494" s="9">
        <v>45184</v>
      </c>
      <c r="B494" s="7">
        <v>2.2599999999999998</v>
      </c>
      <c r="C494" s="7">
        <v>6693300</v>
      </c>
    </row>
    <row r="495" spans="1:3">
      <c r="A495" s="9">
        <v>45187</v>
      </c>
      <c r="B495" s="7">
        <v>2.09</v>
      </c>
      <c r="C495" s="7">
        <v>3209200</v>
      </c>
    </row>
    <row r="496" spans="1:3">
      <c r="A496" s="9">
        <v>45188</v>
      </c>
      <c r="B496" s="7">
        <v>2.11</v>
      </c>
      <c r="C496" s="7">
        <v>2114200</v>
      </c>
    </row>
    <row r="497" spans="1:3">
      <c r="A497" s="9">
        <v>45189</v>
      </c>
      <c r="B497" s="7">
        <v>2.0699999999999998</v>
      </c>
      <c r="C497" s="7">
        <v>1660500</v>
      </c>
    </row>
    <row r="498" spans="1:3">
      <c r="A498" s="9">
        <v>45190</v>
      </c>
      <c r="B498" s="7">
        <v>2.09</v>
      </c>
      <c r="C498" s="7">
        <v>2340700</v>
      </c>
    </row>
    <row r="499" spans="1:3">
      <c r="A499" s="9">
        <v>45191</v>
      </c>
      <c r="B499" s="7">
        <v>2.0699999999999998</v>
      </c>
      <c r="C499" s="7">
        <v>1659500</v>
      </c>
    </row>
    <row r="500" spans="1:3">
      <c r="A500" s="9">
        <v>45194</v>
      </c>
      <c r="B500" s="7">
        <v>2.02</v>
      </c>
      <c r="C500" s="7">
        <v>2141100</v>
      </c>
    </row>
    <row r="501" spans="1:3">
      <c r="A501" s="9">
        <v>45195</v>
      </c>
      <c r="B501" s="7">
        <v>2.0099999999999998</v>
      </c>
      <c r="C501" s="7">
        <v>2806200</v>
      </c>
    </row>
    <row r="502" spans="1:3">
      <c r="A502" s="9">
        <v>45196</v>
      </c>
      <c r="B502" s="7">
        <v>1.95</v>
      </c>
      <c r="C502" s="7">
        <v>1171500</v>
      </c>
    </row>
    <row r="503" spans="1:3">
      <c r="A503" s="9">
        <v>45197</v>
      </c>
      <c r="B503" s="7">
        <v>1.88</v>
      </c>
      <c r="C503" s="7">
        <v>2118400</v>
      </c>
    </row>
    <row r="504" spans="1:3">
      <c r="A504" s="9">
        <v>45198</v>
      </c>
      <c r="B504" s="7">
        <v>1.95</v>
      </c>
      <c r="C504" s="7">
        <v>2456800</v>
      </c>
    </row>
    <row r="505" spans="1:3">
      <c r="A505" s="9">
        <v>45201</v>
      </c>
      <c r="B505" s="7">
        <v>1.9</v>
      </c>
      <c r="C505" s="7">
        <v>1428300</v>
      </c>
    </row>
    <row r="506" spans="1:3">
      <c r="A506" s="9">
        <v>45202</v>
      </c>
      <c r="B506" s="7">
        <v>1.87</v>
      </c>
      <c r="C506" s="7">
        <v>1531100</v>
      </c>
    </row>
    <row r="507" spans="1:3">
      <c r="A507" s="9">
        <v>45203</v>
      </c>
      <c r="B507" s="7">
        <v>1.97</v>
      </c>
      <c r="C507" s="7">
        <v>2093700</v>
      </c>
    </row>
    <row r="508" spans="1:3">
      <c r="A508" s="9">
        <v>45204</v>
      </c>
      <c r="B508" s="7">
        <v>1.85</v>
      </c>
      <c r="C508" s="7">
        <v>1218400</v>
      </c>
    </row>
    <row r="509" spans="1:3">
      <c r="A509" s="9">
        <v>45205</v>
      </c>
      <c r="B509" s="7">
        <v>1.86</v>
      </c>
      <c r="C509" s="7">
        <v>1351800</v>
      </c>
    </row>
    <row r="510" spans="1:3">
      <c r="A510" s="9">
        <v>45208</v>
      </c>
      <c r="B510" s="7">
        <v>1.83</v>
      </c>
      <c r="C510" s="7">
        <v>1102400</v>
      </c>
    </row>
    <row r="511" spans="1:3">
      <c r="A511" s="9">
        <v>45209</v>
      </c>
      <c r="B511" s="7">
        <v>1.85</v>
      </c>
      <c r="C511" s="7">
        <v>1459800</v>
      </c>
    </row>
    <row r="512" spans="1:3">
      <c r="A512" s="9">
        <v>45210</v>
      </c>
      <c r="B512" s="7">
        <v>1.76</v>
      </c>
      <c r="C512" s="7">
        <v>910800</v>
      </c>
    </row>
    <row r="513" spans="1:3">
      <c r="A513" s="9">
        <v>45211</v>
      </c>
      <c r="B513" s="7">
        <v>1.77</v>
      </c>
      <c r="C513" s="7">
        <v>2353900</v>
      </c>
    </row>
    <row r="514" spans="1:3">
      <c r="A514" s="9">
        <v>45212</v>
      </c>
      <c r="B514" s="7">
        <v>1.6</v>
      </c>
      <c r="C514" s="7">
        <v>2838800</v>
      </c>
    </row>
    <row r="515" spans="1:3">
      <c r="A515" s="9">
        <v>45215</v>
      </c>
      <c r="B515" s="7">
        <v>1.67</v>
      </c>
      <c r="C515" s="7">
        <v>2268100</v>
      </c>
    </row>
    <row r="516" spans="1:3">
      <c r="A516" s="9">
        <v>45216</v>
      </c>
      <c r="B516" s="7">
        <v>1.65</v>
      </c>
      <c r="C516" s="7">
        <v>2725500</v>
      </c>
    </row>
    <row r="517" spans="1:3">
      <c r="A517" s="9">
        <v>45217</v>
      </c>
      <c r="B517" s="7">
        <v>1.57</v>
      </c>
      <c r="C517" s="7">
        <v>1152000</v>
      </c>
    </row>
    <row r="518" spans="1:3">
      <c r="A518" s="9">
        <v>45218</v>
      </c>
      <c r="B518" s="7">
        <v>1.57</v>
      </c>
      <c r="C518" s="7">
        <v>2591300</v>
      </c>
    </row>
    <row r="519" spans="1:3">
      <c r="A519" s="9">
        <v>45219</v>
      </c>
      <c r="B519" s="7">
        <v>1.59</v>
      </c>
      <c r="C519" s="7">
        <v>1595700</v>
      </c>
    </row>
    <row r="520" spans="1:3">
      <c r="A520" s="9">
        <v>45222</v>
      </c>
      <c r="B520" s="7">
        <v>1.54</v>
      </c>
      <c r="C520" s="7">
        <v>1790700</v>
      </c>
    </row>
    <row r="521" spans="1:3">
      <c r="A521" s="9">
        <v>45223</v>
      </c>
      <c r="B521" s="7">
        <v>1.63</v>
      </c>
      <c r="C521" s="7">
        <v>2334500</v>
      </c>
    </row>
    <row r="522" spans="1:3">
      <c r="A522" s="9">
        <v>45224</v>
      </c>
      <c r="B522" s="7">
        <v>1.6</v>
      </c>
      <c r="C522" s="7">
        <v>791100</v>
      </c>
    </row>
    <row r="523" spans="1:3">
      <c r="A523" s="9">
        <v>45225</v>
      </c>
      <c r="B523" s="7">
        <v>1.54</v>
      </c>
      <c r="C523" s="7">
        <v>1034300</v>
      </c>
    </row>
    <row r="524" spans="1:3">
      <c r="A524" s="9">
        <v>45226</v>
      </c>
      <c r="B524" s="7">
        <v>1.45</v>
      </c>
      <c r="C524" s="7">
        <v>1266400</v>
      </c>
    </row>
    <row r="525" spans="1:3">
      <c r="A525" s="9">
        <v>45229</v>
      </c>
      <c r="B525" s="7">
        <v>1.42</v>
      </c>
      <c r="C525" s="7">
        <v>1868800</v>
      </c>
    </row>
    <row r="526" spans="1:3">
      <c r="A526" s="9">
        <v>45230</v>
      </c>
      <c r="B526" s="7">
        <v>1.42</v>
      </c>
      <c r="C526" s="7">
        <v>1114200</v>
      </c>
    </row>
    <row r="527" spans="1:3">
      <c r="A527" s="9">
        <v>45231</v>
      </c>
      <c r="B527" s="7">
        <v>1.36</v>
      </c>
      <c r="C527" s="7">
        <v>1449900</v>
      </c>
    </row>
    <row r="528" spans="1:3">
      <c r="A528" s="9">
        <v>45232</v>
      </c>
      <c r="B528" s="7">
        <v>1.44</v>
      </c>
      <c r="C528" s="7">
        <v>1542000</v>
      </c>
    </row>
    <row r="529" spans="1:3">
      <c r="A529" s="9">
        <v>45233</v>
      </c>
      <c r="B529" s="7">
        <v>1.48</v>
      </c>
      <c r="C529" s="7">
        <v>1484900</v>
      </c>
    </row>
    <row r="530" spans="1:3">
      <c r="A530" s="9">
        <v>45236</v>
      </c>
      <c r="B530" s="7">
        <v>1.38</v>
      </c>
      <c r="C530" s="7">
        <v>2615700</v>
      </c>
    </row>
    <row r="531" spans="1:3">
      <c r="A531" s="9">
        <v>45237</v>
      </c>
      <c r="B531" s="7">
        <v>1.73</v>
      </c>
      <c r="C531" s="7">
        <v>28989000</v>
      </c>
    </row>
    <row r="532" spans="1:3">
      <c r="A532" s="9">
        <v>45238</v>
      </c>
      <c r="B532" s="7">
        <v>1.72</v>
      </c>
      <c r="C532" s="7">
        <v>4514200</v>
      </c>
    </row>
    <row r="533" spans="1:3">
      <c r="A533" s="9">
        <v>45239</v>
      </c>
      <c r="B533" s="7">
        <v>1.63</v>
      </c>
      <c r="C533" s="7">
        <v>2597500</v>
      </c>
    </row>
    <row r="534" spans="1:3">
      <c r="A534" s="9">
        <v>45240</v>
      </c>
      <c r="B534" s="7">
        <v>1.74</v>
      </c>
      <c r="C534" s="7">
        <v>2338700</v>
      </c>
    </row>
    <row r="535" spans="1:3">
      <c r="A535" s="9">
        <v>45243</v>
      </c>
      <c r="B535" s="7">
        <v>1.73</v>
      </c>
      <c r="C535" s="7">
        <v>1427300</v>
      </c>
    </row>
    <row r="536" spans="1:3">
      <c r="A536" s="9">
        <v>45244</v>
      </c>
      <c r="B536" s="7">
        <v>1.81</v>
      </c>
      <c r="C536" s="7">
        <v>2756900</v>
      </c>
    </row>
    <row r="537" spans="1:3">
      <c r="A537" s="9">
        <v>45245</v>
      </c>
      <c r="B537" s="7">
        <v>1.92</v>
      </c>
      <c r="C537" s="7">
        <v>2496000</v>
      </c>
    </row>
    <row r="538" spans="1:3">
      <c r="A538" s="9">
        <v>45246</v>
      </c>
      <c r="B538" s="7">
        <v>1.81</v>
      </c>
      <c r="C538" s="7">
        <v>2033100</v>
      </c>
    </row>
    <row r="539" spans="1:3">
      <c r="A539" s="9">
        <v>45247</v>
      </c>
      <c r="B539" s="7">
        <v>1.95</v>
      </c>
      <c r="C539" s="7">
        <v>2977600</v>
      </c>
    </row>
    <row r="540" spans="1:3">
      <c r="A540" s="9">
        <v>45250</v>
      </c>
      <c r="B540" s="7">
        <v>1.93</v>
      </c>
      <c r="C540" s="7">
        <v>1501900</v>
      </c>
    </row>
    <row r="541" spans="1:3">
      <c r="A541" s="9">
        <v>45251</v>
      </c>
      <c r="B541" s="7">
        <v>1.89</v>
      </c>
      <c r="C541" s="7">
        <v>1271700</v>
      </c>
    </row>
    <row r="542" spans="1:3">
      <c r="A542" s="9">
        <v>45252</v>
      </c>
      <c r="B542" s="7">
        <v>1.93</v>
      </c>
      <c r="C542" s="7">
        <v>995300</v>
      </c>
    </row>
    <row r="543" spans="1:3">
      <c r="A543" s="9">
        <v>45254</v>
      </c>
      <c r="B543" s="7">
        <v>2.0499999999999998</v>
      </c>
      <c r="C543" s="7">
        <v>1174800</v>
      </c>
    </row>
    <row r="544" spans="1:3">
      <c r="A544" s="9">
        <v>45257</v>
      </c>
      <c r="B544" s="7">
        <v>2.0499999999999998</v>
      </c>
      <c r="C544" s="7">
        <v>1765300</v>
      </c>
    </row>
    <row r="545" spans="1:3">
      <c r="A545" s="9">
        <v>45258</v>
      </c>
      <c r="B545" s="7">
        <v>2.12</v>
      </c>
      <c r="C545" s="7">
        <v>1845000</v>
      </c>
    </row>
    <row r="546" spans="1:3">
      <c r="A546" s="9">
        <v>45259</v>
      </c>
      <c r="B546" s="7">
        <v>2.1800000000000002</v>
      </c>
      <c r="C546" s="7">
        <v>1860100</v>
      </c>
    </row>
    <row r="547" spans="1:3">
      <c r="A547" s="9">
        <v>45260</v>
      </c>
      <c r="B547" s="7">
        <v>2.1800000000000002</v>
      </c>
      <c r="C547" s="7">
        <v>2786100</v>
      </c>
    </row>
    <row r="548" spans="1:3">
      <c r="A548" s="9">
        <v>45261</v>
      </c>
      <c r="B548" s="7">
        <v>2.35</v>
      </c>
      <c r="C548" s="7">
        <v>6862500</v>
      </c>
    </row>
    <row r="549" spans="1:3">
      <c r="A549" s="9">
        <v>45264</v>
      </c>
      <c r="B549" s="7">
        <v>2.6</v>
      </c>
      <c r="C549" s="7">
        <v>4892900</v>
      </c>
    </row>
    <row r="550" spans="1:3">
      <c r="A550" s="9">
        <v>45265</v>
      </c>
      <c r="B550" s="7">
        <v>2.48</v>
      </c>
      <c r="C550" s="7">
        <v>3172500</v>
      </c>
    </row>
    <row r="551" spans="1:3">
      <c r="A551" s="9">
        <v>45266</v>
      </c>
      <c r="B551" s="7">
        <v>2.56</v>
      </c>
      <c r="C551" s="7">
        <v>2922400</v>
      </c>
    </row>
    <row r="552" spans="1:3">
      <c r="A552" s="9">
        <v>45267</v>
      </c>
      <c r="B552" s="7">
        <v>2.5299999999999998</v>
      </c>
      <c r="C552" s="7">
        <v>2403500</v>
      </c>
    </row>
    <row r="553" spans="1:3">
      <c r="A553" s="9">
        <v>45268</v>
      </c>
      <c r="B553" s="7">
        <v>2.48</v>
      </c>
      <c r="C553" s="7">
        <v>1838700</v>
      </c>
    </row>
    <row r="554" spans="1:3">
      <c r="A554" s="9">
        <v>45271</v>
      </c>
      <c r="B554" s="7">
        <v>2.5299999999999998</v>
      </c>
      <c r="C554" s="7">
        <v>1585800</v>
      </c>
    </row>
    <row r="555" spans="1:3">
      <c r="A555" s="9">
        <v>45272</v>
      </c>
      <c r="B555" s="7">
        <v>2.39</v>
      </c>
      <c r="C555" s="7">
        <v>3227300</v>
      </c>
    </row>
    <row r="556" spans="1:3">
      <c r="A556" s="9">
        <v>45273</v>
      </c>
      <c r="B556" s="7">
        <v>2.48</v>
      </c>
      <c r="C556" s="7">
        <v>2735800</v>
      </c>
    </row>
    <row r="557" spans="1:3">
      <c r="A557" s="9">
        <v>45274</v>
      </c>
      <c r="B557" s="7">
        <v>2.59</v>
      </c>
      <c r="C557" s="7">
        <v>3475000</v>
      </c>
    </row>
    <row r="558" spans="1:3">
      <c r="A558" s="9">
        <v>45275</v>
      </c>
      <c r="B558" s="7">
        <v>2.38</v>
      </c>
      <c r="C558" s="7">
        <v>3935900</v>
      </c>
    </row>
    <row r="559" spans="1:3">
      <c r="A559" s="9">
        <v>45278</v>
      </c>
      <c r="B559" s="7">
        <v>2.4</v>
      </c>
      <c r="C559" s="7">
        <v>1340100</v>
      </c>
    </row>
    <row r="560" spans="1:3">
      <c r="A560" s="9">
        <v>45279</v>
      </c>
      <c r="B560" s="7">
        <v>2.4500000000000002</v>
      </c>
      <c r="C560" s="7">
        <v>880200</v>
      </c>
    </row>
    <row r="561" spans="1:3">
      <c r="A561" s="9">
        <v>45280</v>
      </c>
      <c r="B561" s="7">
        <v>2.37</v>
      </c>
      <c r="C561" s="7">
        <v>1331300</v>
      </c>
    </row>
    <row r="562" spans="1:3">
      <c r="A562" s="9">
        <v>45281</v>
      </c>
      <c r="B562" s="7">
        <v>2.42</v>
      </c>
      <c r="C562" s="7">
        <v>811800</v>
      </c>
    </row>
    <row r="563" spans="1:3">
      <c r="A563" s="9">
        <v>45282</v>
      </c>
      <c r="B563" s="7">
        <v>2.4300000000000002</v>
      </c>
      <c r="C563" s="7">
        <v>1214600</v>
      </c>
    </row>
    <row r="564" spans="1:3">
      <c r="A564" s="9">
        <v>45286</v>
      </c>
      <c r="B564" s="7">
        <v>2.46</v>
      </c>
      <c r="C564" s="7">
        <v>695500</v>
      </c>
    </row>
    <row r="565" spans="1:3">
      <c r="A565" s="9">
        <v>45287</v>
      </c>
      <c r="B565" s="7">
        <v>2.4</v>
      </c>
      <c r="C565" s="7">
        <v>1238900</v>
      </c>
    </row>
    <row r="566" spans="1:3">
      <c r="A566" s="9">
        <v>45288</v>
      </c>
      <c r="B566" s="7">
        <v>2.62</v>
      </c>
      <c r="C566" s="7">
        <v>5401900</v>
      </c>
    </row>
    <row r="567" spans="1:3">
      <c r="A567" s="9">
        <v>45289</v>
      </c>
      <c r="B567" s="7">
        <v>2.54</v>
      </c>
      <c r="C567" s="7">
        <v>1655100</v>
      </c>
    </row>
    <row r="568" spans="1:3">
      <c r="A568" s="9">
        <v>45293</v>
      </c>
      <c r="B568" s="7">
        <v>2.5</v>
      </c>
      <c r="C568" s="7">
        <v>1504500</v>
      </c>
    </row>
    <row r="569" spans="1:3">
      <c r="A569" s="9">
        <v>45294</v>
      </c>
      <c r="B569" s="7">
        <v>2.15</v>
      </c>
      <c r="C569" s="7">
        <v>4781300</v>
      </c>
    </row>
    <row r="570" spans="1:3">
      <c r="A570" s="9">
        <v>45295</v>
      </c>
      <c r="B570" s="7">
        <v>2.08</v>
      </c>
      <c r="C570" s="7">
        <v>2832900</v>
      </c>
    </row>
    <row r="571" spans="1:3">
      <c r="A571" s="9">
        <v>45296</v>
      </c>
      <c r="B571" s="7">
        <v>2.12</v>
      </c>
      <c r="C571" s="7">
        <v>3031300</v>
      </c>
    </row>
    <row r="572" spans="1:3">
      <c r="A572" s="9">
        <v>45299</v>
      </c>
      <c r="B572" s="7">
        <v>2.27</v>
      </c>
      <c r="C572" s="7">
        <v>1531600</v>
      </c>
    </row>
    <row r="573" spans="1:3">
      <c r="A573" s="9">
        <v>45300</v>
      </c>
      <c r="B573" s="7">
        <v>2.2999999999999998</v>
      </c>
      <c r="C573" s="7">
        <v>1349800</v>
      </c>
    </row>
    <row r="574" spans="1:3">
      <c r="A574" s="9">
        <v>45301</v>
      </c>
      <c r="B574" s="7">
        <v>2.33</v>
      </c>
      <c r="C574" s="7">
        <v>2005900</v>
      </c>
    </row>
    <row r="575" spans="1:3">
      <c r="A575" s="9">
        <v>45302</v>
      </c>
      <c r="B575" s="7">
        <v>2.3199999999999998</v>
      </c>
      <c r="C575" s="7">
        <v>1068200</v>
      </c>
    </row>
    <row r="576" spans="1:3">
      <c r="A576" s="9">
        <v>45303</v>
      </c>
      <c r="B576" s="7">
        <v>2.27</v>
      </c>
      <c r="C576" s="7">
        <v>996100</v>
      </c>
    </row>
    <row r="577" spans="1:3">
      <c r="A577" s="9">
        <v>45307</v>
      </c>
      <c r="B577" s="7">
        <v>2.1800000000000002</v>
      </c>
      <c r="C577" s="7">
        <v>992100</v>
      </c>
    </row>
    <row r="578" spans="1:3">
      <c r="A578" s="9">
        <v>45308</v>
      </c>
      <c r="B578" s="7">
        <v>2.14</v>
      </c>
      <c r="C578" s="7">
        <v>2047900</v>
      </c>
    </row>
    <row r="579" spans="1:3">
      <c r="A579" s="9">
        <v>45309</v>
      </c>
      <c r="B579" s="7">
        <v>2.12</v>
      </c>
      <c r="C579" s="7">
        <v>1670900</v>
      </c>
    </row>
    <row r="580" spans="1:3">
      <c r="A580" s="9">
        <v>45310</v>
      </c>
      <c r="B580" s="7">
        <v>2.2000000000000002</v>
      </c>
      <c r="C580" s="7">
        <v>1193200</v>
      </c>
    </row>
    <row r="582" spans="1:3">
      <c r="A582" s="7" t="s">
        <v>151</v>
      </c>
      <c r="B582" s="10">
        <f>_xlfn.STDEV.P(B2:B580)</f>
        <v>8.2851470010571777</v>
      </c>
    </row>
    <row r="583" spans="1:3">
      <c r="A583" s="7" t="s">
        <v>152</v>
      </c>
      <c r="B583" s="10">
        <f>AVERAGE(B2:B580)</f>
        <v>10.388998269430049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t:lpstr>
      <vt:lpstr>OLPX</vt:lpstr>
      <vt:lpstr>historical_p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jameelbrannon</dc:creator>
  <cp:lastModifiedBy>jameel</cp:lastModifiedBy>
  <dcterms:created xsi:type="dcterms:W3CDTF">2023-07-19T04:28:18Z</dcterms:created>
  <dcterms:modified xsi:type="dcterms:W3CDTF">2024-05-18T13:42:11Z</dcterms:modified>
</cp:coreProperties>
</file>