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D6789B08-DDE0-1345-8BE2-07B185A4BAB2}" xr6:coauthVersionLast="47" xr6:coauthVersionMax="47" xr10:uidLastSave="{00000000-0000-0000-0000-000000000000}"/>
  <bookViews>
    <workbookView xWindow="1540" yWindow="1920" windowWidth="49660" windowHeight="26160" xr2:uid="{84A666CB-DF14-AE4C-8F72-5B053532BD31}"/>
  </bookViews>
  <sheets>
    <sheet name="Main" sheetId="1" r:id="rId1"/>
    <sheet name="Model" sheetId="3" r:id="rId2"/>
    <sheet name="State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5" i="3" l="1"/>
  <c r="AS33" i="3"/>
  <c r="AE1" i="3"/>
  <c r="V13" i="3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X8" i="3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V8" i="3"/>
  <c r="U8" i="3"/>
  <c r="AB14" i="3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Z11" i="3"/>
  <c r="Y12" i="3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Y11" i="3"/>
  <c r="Y10" i="3"/>
  <c r="Z10" i="3" s="1"/>
  <c r="AA10" i="3" s="1"/>
  <c r="AB10" i="3" s="1"/>
  <c r="AC10" i="3" s="1"/>
  <c r="AD10" i="3" s="1"/>
  <c r="AE10" i="3" s="1"/>
  <c r="AF10" i="3" s="1"/>
  <c r="AG10" i="3" s="1"/>
  <c r="P22" i="3"/>
  <c r="Q22" i="3" s="1"/>
  <c r="AS31" i="3"/>
  <c r="Y3" i="3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X10" i="3"/>
  <c r="N13" i="3"/>
  <c r="M13" i="3"/>
  <c r="L11" i="3"/>
  <c r="W10" i="3"/>
  <c r="V10" i="3"/>
  <c r="U10" i="3"/>
  <c r="T10" i="3"/>
  <c r="S10" i="3"/>
  <c r="R10" i="3"/>
  <c r="Q10" i="3"/>
  <c r="P10" i="3"/>
  <c r="J10" i="3"/>
  <c r="P4" i="3"/>
  <c r="N7" i="3"/>
  <c r="M7" i="3"/>
  <c r="L7" i="3"/>
  <c r="N6" i="3"/>
  <c r="M6" i="3"/>
  <c r="L6" i="3"/>
  <c r="N5" i="3"/>
  <c r="M5" i="3"/>
  <c r="L5" i="3"/>
  <c r="J7" i="3"/>
  <c r="I7" i="3"/>
  <c r="H7" i="3"/>
  <c r="G7" i="3"/>
  <c r="E7" i="3"/>
  <c r="D7" i="3"/>
  <c r="C7" i="3"/>
  <c r="I6" i="3"/>
  <c r="H6" i="3"/>
  <c r="G6" i="3"/>
  <c r="E6" i="3"/>
  <c r="D6" i="3"/>
  <c r="C6" i="3"/>
  <c r="I5" i="3"/>
  <c r="H5" i="3"/>
  <c r="G5" i="3"/>
  <c r="E5" i="3"/>
  <c r="D5" i="3"/>
  <c r="C5" i="3"/>
  <c r="H4" i="3"/>
  <c r="G4" i="3"/>
  <c r="P9" i="2"/>
  <c r="P20" i="2" s="1"/>
  <c r="Q10" i="2"/>
  <c r="R10" i="2" s="1"/>
  <c r="P10" i="2"/>
  <c r="P6" i="3" s="1"/>
  <c r="X23" i="2"/>
  <c r="W23" i="2"/>
  <c r="V23" i="2"/>
  <c r="U23" i="2"/>
  <c r="T23" i="2"/>
  <c r="S23" i="2"/>
  <c r="R23" i="2"/>
  <c r="Q23" i="2"/>
  <c r="P23" i="2"/>
  <c r="P21" i="2"/>
  <c r="O38" i="2"/>
  <c r="P38" i="2" s="1"/>
  <c r="Q38" i="2" s="1"/>
  <c r="R38" i="2" s="1"/>
  <c r="S38" i="2" s="1"/>
  <c r="T38" i="2" s="1"/>
  <c r="U38" i="2" s="1"/>
  <c r="V38" i="2" s="1"/>
  <c r="W38" i="2" s="1"/>
  <c r="X38" i="2" s="1"/>
  <c r="O23" i="2"/>
  <c r="O16" i="2"/>
  <c r="O21" i="2" s="1"/>
  <c r="O11" i="2"/>
  <c r="P11" i="2" s="1"/>
  <c r="J10" i="2"/>
  <c r="J6" i="3" s="1"/>
  <c r="O9" i="2"/>
  <c r="J9" i="2" s="1"/>
  <c r="J5" i="3" s="1"/>
  <c r="P8" i="2"/>
  <c r="P19" i="2" s="1"/>
  <c r="J8" i="2"/>
  <c r="J4" i="3" s="1"/>
  <c r="N17" i="2"/>
  <c r="N16" i="2"/>
  <c r="N12" i="3" s="1"/>
  <c r="N15" i="2"/>
  <c r="N11" i="3" s="1"/>
  <c r="M17" i="2"/>
  <c r="M16" i="2"/>
  <c r="M12" i="3" s="1"/>
  <c r="M15" i="2"/>
  <c r="M11" i="3" s="1"/>
  <c r="M14" i="2"/>
  <c r="M10" i="3" s="1"/>
  <c r="L17" i="2"/>
  <c r="L13" i="3" s="1"/>
  <c r="L16" i="2"/>
  <c r="L12" i="3" s="1"/>
  <c r="L15" i="2"/>
  <c r="H17" i="2"/>
  <c r="G17" i="2"/>
  <c r="I16" i="2"/>
  <c r="G16" i="2"/>
  <c r="E16" i="2"/>
  <c r="D16" i="2"/>
  <c r="G15" i="2"/>
  <c r="I14" i="2"/>
  <c r="I10" i="3" s="1"/>
  <c r="H14" i="2"/>
  <c r="H10" i="3" s="1"/>
  <c r="F10" i="2"/>
  <c r="F6" i="3" s="1"/>
  <c r="F11" i="2"/>
  <c r="F7" i="3" s="1"/>
  <c r="G57" i="2"/>
  <c r="G50" i="2"/>
  <c r="G49" i="2"/>
  <c r="G48" i="2"/>
  <c r="G46" i="2"/>
  <c r="G45" i="2"/>
  <c r="G44" i="2"/>
  <c r="G43" i="2"/>
  <c r="G42" i="2"/>
  <c r="F36" i="2"/>
  <c r="F35" i="2"/>
  <c r="F33" i="2"/>
  <c r="F32" i="2"/>
  <c r="F31" i="2"/>
  <c r="F30" i="2"/>
  <c r="F28" i="2"/>
  <c r="F27" i="2"/>
  <c r="F26" i="2"/>
  <c r="F25" i="2"/>
  <c r="F9" i="2"/>
  <c r="F5" i="3" s="1"/>
  <c r="F7" i="2"/>
  <c r="F6" i="2"/>
  <c r="F5" i="2"/>
  <c r="F4" i="2"/>
  <c r="F3" i="2"/>
  <c r="C29" i="2"/>
  <c r="C34" i="2" s="1"/>
  <c r="C37" i="2" s="1"/>
  <c r="C39" i="2" s="1"/>
  <c r="G29" i="2"/>
  <c r="G34" i="2" s="1"/>
  <c r="G37" i="2" s="1"/>
  <c r="G39" i="2" s="1"/>
  <c r="C23" i="2"/>
  <c r="C22" i="2"/>
  <c r="C17" i="2" s="1"/>
  <c r="C21" i="2"/>
  <c r="C16" i="2" s="1"/>
  <c r="C20" i="2"/>
  <c r="C15" i="2" s="1"/>
  <c r="C19" i="2"/>
  <c r="C14" i="2" s="1"/>
  <c r="C10" i="3" s="1"/>
  <c r="G23" i="2"/>
  <c r="G22" i="2"/>
  <c r="G21" i="2"/>
  <c r="G20" i="2"/>
  <c r="G19" i="2"/>
  <c r="G14" i="2" s="1"/>
  <c r="G10" i="3" s="1"/>
  <c r="C8" i="2"/>
  <c r="C4" i="3" s="1"/>
  <c r="G8" i="2"/>
  <c r="H57" i="2"/>
  <c r="H50" i="2"/>
  <c r="H49" i="2"/>
  <c r="H48" i="2"/>
  <c r="H46" i="2"/>
  <c r="H45" i="2"/>
  <c r="H44" i="2"/>
  <c r="H43" i="2"/>
  <c r="H42" i="2"/>
  <c r="D29" i="2"/>
  <c r="D34" i="2" s="1"/>
  <c r="D37" i="2" s="1"/>
  <c r="D39" i="2" s="1"/>
  <c r="H29" i="2"/>
  <c r="H34" i="2" s="1"/>
  <c r="H37" i="2" s="1"/>
  <c r="H39" i="2" s="1"/>
  <c r="D23" i="2"/>
  <c r="D22" i="2"/>
  <c r="D17" i="2" s="1"/>
  <c r="D21" i="2"/>
  <c r="D20" i="2"/>
  <c r="D15" i="2" s="1"/>
  <c r="D19" i="2"/>
  <c r="D14" i="2" s="1"/>
  <c r="D10" i="3" s="1"/>
  <c r="H23" i="2"/>
  <c r="H22" i="2"/>
  <c r="H21" i="2"/>
  <c r="H16" i="2" s="1"/>
  <c r="H20" i="2"/>
  <c r="H15" i="2" s="1"/>
  <c r="H19" i="2"/>
  <c r="D8" i="2"/>
  <c r="D4" i="3" s="1"/>
  <c r="H8" i="2"/>
  <c r="I57" i="2"/>
  <c r="I50" i="2"/>
  <c r="I49" i="2"/>
  <c r="I48" i="2"/>
  <c r="I46" i="2"/>
  <c r="I45" i="2"/>
  <c r="I44" i="2"/>
  <c r="I43" i="2"/>
  <c r="I42" i="2"/>
  <c r="E29" i="2"/>
  <c r="E34" i="2" s="1"/>
  <c r="E37" i="2" s="1"/>
  <c r="I29" i="2"/>
  <c r="I34" i="2" s="1"/>
  <c r="I37" i="2" s="1"/>
  <c r="E23" i="2"/>
  <c r="E22" i="2"/>
  <c r="E17" i="2" s="1"/>
  <c r="E21" i="2"/>
  <c r="E20" i="2"/>
  <c r="E15" i="2" s="1"/>
  <c r="E19" i="2"/>
  <c r="E14" i="2" s="1"/>
  <c r="E10" i="3" s="1"/>
  <c r="I23" i="2"/>
  <c r="I22" i="2"/>
  <c r="I17" i="2" s="1"/>
  <c r="O17" i="2" s="1"/>
  <c r="I21" i="2"/>
  <c r="I20" i="2"/>
  <c r="I15" i="2" s="1"/>
  <c r="O15" i="2" s="1"/>
  <c r="O20" i="2" s="1"/>
  <c r="I19" i="2"/>
  <c r="E8" i="2"/>
  <c r="E4" i="3" s="1"/>
  <c r="I8" i="2"/>
  <c r="I4" i="3" s="1"/>
  <c r="N56" i="2"/>
  <c r="N55" i="2"/>
  <c r="N54" i="2"/>
  <c r="N53" i="2"/>
  <c r="N52" i="2"/>
  <c r="B57" i="2"/>
  <c r="B56" i="2"/>
  <c r="B55" i="2"/>
  <c r="B54" i="2"/>
  <c r="B53" i="2"/>
  <c r="B52" i="2"/>
  <c r="N24" i="2"/>
  <c r="N29" i="2" s="1"/>
  <c r="N34" i="2" s="1"/>
  <c r="N37" i="2" s="1"/>
  <c r="N39" i="2" s="1"/>
  <c r="L24" i="2"/>
  <c r="N50" i="2"/>
  <c r="M50" i="2"/>
  <c r="N49" i="2"/>
  <c r="M49" i="2"/>
  <c r="N48" i="2"/>
  <c r="M48" i="2"/>
  <c r="M46" i="2"/>
  <c r="M45" i="2"/>
  <c r="M44" i="2"/>
  <c r="M43" i="2"/>
  <c r="M42" i="2"/>
  <c r="N46" i="2"/>
  <c r="N45" i="2"/>
  <c r="N44" i="2"/>
  <c r="N43" i="2"/>
  <c r="N42" i="2"/>
  <c r="L8" i="2"/>
  <c r="L4" i="3" s="1"/>
  <c r="M8" i="2"/>
  <c r="M4" i="3" s="1"/>
  <c r="N8" i="2"/>
  <c r="N14" i="2" s="1"/>
  <c r="N10" i="3" s="1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6" i="1"/>
  <c r="H7" i="1" s="1"/>
  <c r="G7" i="1"/>
  <c r="G6" i="1"/>
  <c r="G5" i="1"/>
  <c r="G8" i="1" s="1"/>
  <c r="R6" i="3" l="1"/>
  <c r="S10" i="2"/>
  <c r="P22" i="2"/>
  <c r="P24" i="2" s="1"/>
  <c r="Q11" i="2"/>
  <c r="P7" i="3"/>
  <c r="AH10" i="3"/>
  <c r="AG16" i="3"/>
  <c r="O22" i="2"/>
  <c r="O14" i="2"/>
  <c r="N4" i="3"/>
  <c r="P5" i="3"/>
  <c r="Q6" i="3"/>
  <c r="Q8" i="2"/>
  <c r="Q9" i="2"/>
  <c r="L14" i="2"/>
  <c r="L10" i="3" s="1"/>
  <c r="L16" i="3" s="1"/>
  <c r="AI10" i="3"/>
  <c r="AH16" i="3"/>
  <c r="AA16" i="3"/>
  <c r="AA11" i="3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R22" i="3"/>
  <c r="S22" i="3" s="1"/>
  <c r="T22" i="3"/>
  <c r="M16" i="3"/>
  <c r="N16" i="3"/>
  <c r="O4" i="3"/>
  <c r="O5" i="3"/>
  <c r="O6" i="3"/>
  <c r="O7" i="3"/>
  <c r="P16" i="3"/>
  <c r="M17" i="3"/>
  <c r="N17" i="3"/>
  <c r="N20" i="3" s="1"/>
  <c r="N21" i="3" s="1"/>
  <c r="L17" i="3"/>
  <c r="L20" i="3" s="1"/>
  <c r="L21" i="3" s="1"/>
  <c r="R21" i="2"/>
  <c r="Q21" i="2"/>
  <c r="Q19" i="2"/>
  <c r="S21" i="2"/>
  <c r="H52" i="2"/>
  <c r="H55" i="2"/>
  <c r="G53" i="2"/>
  <c r="I55" i="2"/>
  <c r="G47" i="2"/>
  <c r="G52" i="2"/>
  <c r="I52" i="2"/>
  <c r="I53" i="2"/>
  <c r="H47" i="2"/>
  <c r="H53" i="2"/>
  <c r="F21" i="2"/>
  <c r="F16" i="2" s="1"/>
  <c r="F22" i="2"/>
  <c r="F17" i="2" s="1"/>
  <c r="F23" i="2"/>
  <c r="H56" i="2"/>
  <c r="F8" i="2"/>
  <c r="F4" i="3" s="1"/>
  <c r="I47" i="2"/>
  <c r="F19" i="2"/>
  <c r="I54" i="2"/>
  <c r="H54" i="2"/>
  <c r="G54" i="2"/>
  <c r="G55" i="2"/>
  <c r="I56" i="2"/>
  <c r="G56" i="2"/>
  <c r="F20" i="2"/>
  <c r="F15" i="2" s="1"/>
  <c r="F24" i="2"/>
  <c r="F34" i="2"/>
  <c r="F29" i="2"/>
  <c r="F37" i="2"/>
  <c r="N47" i="2"/>
  <c r="I39" i="2"/>
  <c r="E39" i="2"/>
  <c r="F39" i="2" s="1"/>
  <c r="M47" i="2"/>
  <c r="R8" i="2" l="1"/>
  <c r="Q4" i="3"/>
  <c r="Q16" i="3" s="1"/>
  <c r="F14" i="2"/>
  <c r="F10" i="3" s="1"/>
  <c r="R9" i="2"/>
  <c r="Q5" i="3"/>
  <c r="Q17" i="3" s="1"/>
  <c r="Q20" i="3" s="1"/>
  <c r="Q21" i="3" s="1"/>
  <c r="Q7" i="3"/>
  <c r="R11" i="2"/>
  <c r="Q20" i="2"/>
  <c r="P18" i="3"/>
  <c r="P23" i="3" s="1"/>
  <c r="P25" i="3" s="1"/>
  <c r="P26" i="3" s="1"/>
  <c r="S6" i="3"/>
  <c r="T10" i="2"/>
  <c r="Q22" i="2"/>
  <c r="Q24" i="2" s="1"/>
  <c r="O10" i="3"/>
  <c r="O16" i="3" s="1"/>
  <c r="O18" i="3" s="1"/>
  <c r="O19" i="2"/>
  <c r="O24" i="2" s="1"/>
  <c r="P17" i="3"/>
  <c r="P20" i="3" s="1"/>
  <c r="P21" i="3" s="1"/>
  <c r="AI16" i="3"/>
  <c r="AJ10" i="3"/>
  <c r="AB16" i="3"/>
  <c r="L18" i="3"/>
  <c r="L23" i="3" s="1"/>
  <c r="L25" i="3"/>
  <c r="L26" i="3" s="1"/>
  <c r="O17" i="3"/>
  <c r="O20" i="3" s="1"/>
  <c r="O21" i="3" s="1"/>
  <c r="M18" i="3"/>
  <c r="M23" i="3" s="1"/>
  <c r="M20" i="3"/>
  <c r="M21" i="3" s="1"/>
  <c r="M25" i="3" s="1"/>
  <c r="M26" i="3" s="1"/>
  <c r="V22" i="3"/>
  <c r="N18" i="3"/>
  <c r="N23" i="3" s="1"/>
  <c r="T21" i="2"/>
  <c r="F38" i="2"/>
  <c r="Q18" i="3" l="1"/>
  <c r="S9" i="2"/>
  <c r="R5" i="3"/>
  <c r="T6" i="3"/>
  <c r="U10" i="2"/>
  <c r="S8" i="2"/>
  <c r="R4" i="3"/>
  <c r="R16" i="3" s="1"/>
  <c r="R19" i="2"/>
  <c r="R20" i="2"/>
  <c r="R7" i="3"/>
  <c r="S11" i="2"/>
  <c r="R22" i="2"/>
  <c r="O31" i="2"/>
  <c r="P31" i="2" s="1"/>
  <c r="O28" i="2"/>
  <c r="P28" i="2" s="1"/>
  <c r="O30" i="2"/>
  <c r="P30" i="2" s="1"/>
  <c r="O25" i="2"/>
  <c r="O29" i="2" s="1"/>
  <c r="O27" i="2"/>
  <c r="P27" i="2" s="1"/>
  <c r="O32" i="2"/>
  <c r="P32" i="2" s="1"/>
  <c r="Q32" i="2" s="1"/>
  <c r="O33" i="2"/>
  <c r="P33" i="2" s="1"/>
  <c r="Q33" i="2" s="1"/>
  <c r="O26" i="2"/>
  <c r="P26" i="2" s="1"/>
  <c r="Q26" i="2" s="1"/>
  <c r="AJ16" i="3"/>
  <c r="AK10" i="3"/>
  <c r="AC16" i="3"/>
  <c r="N25" i="3"/>
  <c r="N26" i="3" s="1"/>
  <c r="W22" i="3"/>
  <c r="Q23" i="3"/>
  <c r="Q25" i="3"/>
  <c r="Q26" i="3" s="1"/>
  <c r="O23" i="3"/>
  <c r="O25" i="3" s="1"/>
  <c r="X22" i="3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Q31" i="2"/>
  <c r="Q30" i="2"/>
  <c r="S20" i="2"/>
  <c r="Q28" i="2"/>
  <c r="Q27" i="2"/>
  <c r="R17" i="3" l="1"/>
  <c r="R20" i="3" s="1"/>
  <c r="R21" i="3" s="1"/>
  <c r="S5" i="3"/>
  <c r="S17" i="3" s="1"/>
  <c r="T9" i="2"/>
  <c r="R27" i="2"/>
  <c r="R31" i="2"/>
  <c r="R18" i="3"/>
  <c r="T11" i="2"/>
  <c r="S7" i="3"/>
  <c r="S22" i="2"/>
  <c r="V10" i="2"/>
  <c r="U6" i="3"/>
  <c r="U21" i="2"/>
  <c r="O26" i="3"/>
  <c r="O34" i="2"/>
  <c r="P25" i="2"/>
  <c r="R24" i="2"/>
  <c r="T8" i="2"/>
  <c r="S4" i="3"/>
  <c r="S16" i="3" s="1"/>
  <c r="S18" i="3" s="1"/>
  <c r="S19" i="2"/>
  <c r="S24" i="2" s="1"/>
  <c r="AK16" i="3"/>
  <c r="AL10" i="3"/>
  <c r="AD16" i="3"/>
  <c r="T20" i="2"/>
  <c r="V21" i="2"/>
  <c r="S31" i="2" l="1"/>
  <c r="S32" i="2"/>
  <c r="S26" i="2"/>
  <c r="S27" i="2"/>
  <c r="R23" i="3"/>
  <c r="R25" i="3" s="1"/>
  <c r="S23" i="3"/>
  <c r="S25" i="3"/>
  <c r="S26" i="3" s="1"/>
  <c r="U8" i="2"/>
  <c r="T4" i="3"/>
  <c r="T16" i="3" s="1"/>
  <c r="T19" i="2"/>
  <c r="T24" i="2" s="1"/>
  <c r="S20" i="3"/>
  <c r="S21" i="3" s="1"/>
  <c r="U9" i="2"/>
  <c r="T5" i="3"/>
  <c r="P29" i="2"/>
  <c r="P34" i="2" s="1"/>
  <c r="Q25" i="2"/>
  <c r="W10" i="2"/>
  <c r="V6" i="3"/>
  <c r="R33" i="2"/>
  <c r="S33" i="2" s="1"/>
  <c r="R30" i="2"/>
  <c r="S30" i="2" s="1"/>
  <c r="R26" i="2"/>
  <c r="R32" i="2"/>
  <c r="O36" i="2"/>
  <c r="O35" i="2"/>
  <c r="O37" i="2"/>
  <c r="O39" i="2" s="1"/>
  <c r="U11" i="2"/>
  <c r="T7" i="3"/>
  <c r="T22" i="2"/>
  <c r="R28" i="2"/>
  <c r="S28" i="2" s="1"/>
  <c r="AL16" i="3"/>
  <c r="AM10" i="3"/>
  <c r="AM16" i="3" s="1"/>
  <c r="AE16" i="3"/>
  <c r="U20" i="2"/>
  <c r="W21" i="2"/>
  <c r="R26" i="3" l="1"/>
  <c r="T26" i="2"/>
  <c r="T31" i="2"/>
  <c r="T27" i="2"/>
  <c r="T33" i="2"/>
  <c r="T32" i="2"/>
  <c r="T30" i="2"/>
  <c r="T28" i="2"/>
  <c r="V11" i="2"/>
  <c r="U7" i="3"/>
  <c r="U22" i="2"/>
  <c r="V8" i="2"/>
  <c r="U4" i="3"/>
  <c r="U16" i="3" s="1"/>
  <c r="U18" i="3" s="1"/>
  <c r="U19" i="2"/>
  <c r="U24" i="2" s="1"/>
  <c r="R25" i="2"/>
  <c r="Q29" i="2"/>
  <c r="Q34" i="2" s="1"/>
  <c r="P36" i="2"/>
  <c r="P35" i="2"/>
  <c r="P37" i="2" s="1"/>
  <c r="P39" i="2" s="1"/>
  <c r="T17" i="3"/>
  <c r="T20" i="3" s="1"/>
  <c r="T21" i="3" s="1"/>
  <c r="T18" i="3"/>
  <c r="X10" i="2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W6" i="3"/>
  <c r="V9" i="2"/>
  <c r="U5" i="3"/>
  <c r="U17" i="3" s="1"/>
  <c r="AF16" i="3"/>
  <c r="U26" i="2" l="1"/>
  <c r="U32" i="2"/>
  <c r="U33" i="2"/>
  <c r="U28" i="2"/>
  <c r="U27" i="2"/>
  <c r="U30" i="2"/>
  <c r="U31" i="2"/>
  <c r="T23" i="3"/>
  <c r="T25" i="3" s="1"/>
  <c r="U23" i="3"/>
  <c r="U20" i="3"/>
  <c r="U21" i="3" s="1"/>
  <c r="U25" i="3" s="1"/>
  <c r="U26" i="3" s="1"/>
  <c r="W8" i="2"/>
  <c r="V4" i="3"/>
  <c r="V16" i="3" s="1"/>
  <c r="V18" i="3" s="1"/>
  <c r="V19" i="2"/>
  <c r="W11" i="2"/>
  <c r="V7" i="3"/>
  <c r="V22" i="2"/>
  <c r="W9" i="2"/>
  <c r="V5" i="3"/>
  <c r="V17" i="3" s="1"/>
  <c r="V20" i="2"/>
  <c r="Q36" i="2"/>
  <c r="Q35" i="2"/>
  <c r="Q37" i="2" s="1"/>
  <c r="Q39" i="2" s="1"/>
  <c r="X21" i="2"/>
  <c r="S25" i="2"/>
  <c r="R29" i="2"/>
  <c r="R34" i="2" s="1"/>
  <c r="T26" i="3" l="1"/>
  <c r="X11" i="2"/>
  <c r="W7" i="3"/>
  <c r="W22" i="2"/>
  <c r="V31" i="2"/>
  <c r="W31" i="2" s="1"/>
  <c r="V23" i="3"/>
  <c r="V24" i="2"/>
  <c r="X8" i="2"/>
  <c r="W4" i="3"/>
  <c r="W16" i="3" s="1"/>
  <c r="W19" i="2"/>
  <c r="W24" i="2" s="1"/>
  <c r="V27" i="2"/>
  <c r="V20" i="3"/>
  <c r="V21" i="3" s="1"/>
  <c r="V25" i="3" s="1"/>
  <c r="V33" i="2"/>
  <c r="X9" i="2"/>
  <c r="W5" i="3"/>
  <c r="W20" i="2"/>
  <c r="V28" i="2"/>
  <c r="R36" i="2"/>
  <c r="R35" i="2"/>
  <c r="R37" i="2" s="1"/>
  <c r="T25" i="2"/>
  <c r="S29" i="2"/>
  <c r="S34" i="2" s="1"/>
  <c r="R39" i="2"/>
  <c r="L29" i="2"/>
  <c r="L34" i="2" s="1"/>
  <c r="L37" i="2" s="1"/>
  <c r="L39" i="2" s="1"/>
  <c r="M24" i="2"/>
  <c r="M29" i="2" s="1"/>
  <c r="M34" i="2" s="1"/>
  <c r="M37" i="2" s="1"/>
  <c r="M39" i="2" s="1"/>
  <c r="V26" i="3" l="1"/>
  <c r="U25" i="2"/>
  <c r="T29" i="2"/>
  <c r="T34" i="2" s="1"/>
  <c r="W27" i="2"/>
  <c r="W28" i="2"/>
  <c r="X28" i="2" s="1"/>
  <c r="W33" i="2"/>
  <c r="S36" i="2"/>
  <c r="S35" i="2"/>
  <c r="S37" i="2" s="1"/>
  <c r="S39" i="2" s="1"/>
  <c r="W18" i="3"/>
  <c r="X4" i="3"/>
  <c r="X19" i="2"/>
  <c r="X24" i="2" s="1"/>
  <c r="X31" i="2" s="1"/>
  <c r="X7" i="3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X22" i="2"/>
  <c r="V26" i="2"/>
  <c r="W26" i="2" s="1"/>
  <c r="X26" i="2" s="1"/>
  <c r="V32" i="2"/>
  <c r="W32" i="2" s="1"/>
  <c r="W17" i="3"/>
  <c r="W20" i="3" s="1"/>
  <c r="W21" i="3" s="1"/>
  <c r="X5" i="3"/>
  <c r="X20" i="2"/>
  <c r="V30" i="2"/>
  <c r="W30" i="2" s="1"/>
  <c r="X30" i="2" s="1"/>
  <c r="M52" i="2"/>
  <c r="N57" i="2"/>
  <c r="X27" i="2" l="1"/>
  <c r="W23" i="3"/>
  <c r="W25" i="3"/>
  <c r="Y4" i="3"/>
  <c r="X16" i="3"/>
  <c r="Y5" i="3"/>
  <c r="X17" i="3"/>
  <c r="X20" i="3" s="1"/>
  <c r="X21" i="3" s="1"/>
  <c r="T35" i="2"/>
  <c r="T37" i="2" s="1"/>
  <c r="T39" i="2" s="1"/>
  <c r="T36" i="2"/>
  <c r="U29" i="2"/>
  <c r="U34" i="2" s="1"/>
  <c r="V25" i="2"/>
  <c r="X32" i="2"/>
  <c r="X33" i="2"/>
  <c r="Z5" i="3" l="1"/>
  <c r="Y17" i="3"/>
  <c r="Y20" i="3" s="1"/>
  <c r="Y21" i="3" s="1"/>
  <c r="V29" i="2"/>
  <c r="V34" i="2" s="1"/>
  <c r="W25" i="2"/>
  <c r="U36" i="2"/>
  <c r="U35" i="2"/>
  <c r="U37" i="2" s="1"/>
  <c r="U39" i="2" s="1"/>
  <c r="X18" i="3"/>
  <c r="Z4" i="3"/>
  <c r="Z16" i="3" s="1"/>
  <c r="Y16" i="3"/>
  <c r="W26" i="3"/>
  <c r="X23" i="3" l="1"/>
  <c r="X25" i="3"/>
  <c r="X26" i="3" s="1"/>
  <c r="W29" i="2"/>
  <c r="W34" i="2" s="1"/>
  <c r="X25" i="2"/>
  <c r="X29" i="2" s="1"/>
  <c r="X34" i="2" s="1"/>
  <c r="V36" i="2"/>
  <c r="V35" i="2"/>
  <c r="V37" i="2" s="1"/>
  <c r="V39" i="2" s="1"/>
  <c r="Y18" i="3"/>
  <c r="Y23" i="3" s="1"/>
  <c r="Y25" i="3" s="1"/>
  <c r="Y26" i="3" s="1"/>
  <c r="AA5" i="3"/>
  <c r="Z17" i="3"/>
  <c r="Z20" i="3" s="1"/>
  <c r="Z21" i="3" s="1"/>
  <c r="W36" i="2" l="1"/>
  <c r="X36" i="2" s="1"/>
  <c r="W35" i="2"/>
  <c r="X35" i="2" s="1"/>
  <c r="X37" i="2" s="1"/>
  <c r="W37" i="2"/>
  <c r="AB5" i="3"/>
  <c r="AA17" i="3"/>
  <c r="Z18" i="3"/>
  <c r="Z23" i="3" s="1"/>
  <c r="Z25" i="3" s="1"/>
  <c r="W39" i="2"/>
  <c r="X39" i="2" l="1"/>
  <c r="Y37" i="2"/>
  <c r="AA20" i="3"/>
  <c r="AA21" i="3" s="1"/>
  <c r="AA18" i="3"/>
  <c r="AA23" i="3" s="1"/>
  <c r="Z26" i="3"/>
  <c r="AA25" i="3"/>
  <c r="AC5" i="3"/>
  <c r="AB17" i="3"/>
  <c r="Z37" i="2" l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DE37" i="2" s="1"/>
  <c r="DF37" i="2" s="1"/>
  <c r="DG37" i="2" s="1"/>
  <c r="DH37" i="2" s="1"/>
  <c r="DI37" i="2" s="1"/>
  <c r="DJ37" i="2" s="1"/>
  <c r="DK37" i="2" s="1"/>
  <c r="DL37" i="2" s="1"/>
  <c r="DM37" i="2" s="1"/>
  <c r="DN37" i="2" s="1"/>
  <c r="DO37" i="2" s="1"/>
  <c r="DP37" i="2" s="1"/>
  <c r="DQ37" i="2" s="1"/>
  <c r="DR37" i="2" s="1"/>
  <c r="DS37" i="2" s="1"/>
  <c r="DT37" i="2" s="1"/>
  <c r="DU37" i="2" s="1"/>
  <c r="DV37" i="2" s="1"/>
  <c r="DW37" i="2" s="1"/>
  <c r="DX37" i="2" s="1"/>
  <c r="DY37" i="2" s="1"/>
  <c r="DZ37" i="2" s="1"/>
  <c r="EA37" i="2" s="1"/>
  <c r="EB37" i="2" s="1"/>
  <c r="EC37" i="2" s="1"/>
  <c r="ED37" i="2" s="1"/>
  <c r="EE37" i="2" s="1"/>
  <c r="EF37" i="2" s="1"/>
  <c r="EG37" i="2" s="1"/>
  <c r="EH37" i="2" s="1"/>
  <c r="EI37" i="2" s="1"/>
  <c r="EJ37" i="2" s="1"/>
  <c r="EK37" i="2" s="1"/>
  <c r="EL37" i="2" s="1"/>
  <c r="EM37" i="2" s="1"/>
  <c r="EN37" i="2" s="1"/>
  <c r="EO37" i="2" s="1"/>
  <c r="EP37" i="2" s="1"/>
  <c r="EQ37" i="2" s="1"/>
  <c r="ER37" i="2" s="1"/>
  <c r="ES37" i="2" s="1"/>
  <c r="ET37" i="2" s="1"/>
  <c r="EU37" i="2" s="1"/>
  <c r="EV37" i="2" s="1"/>
  <c r="EW37" i="2" s="1"/>
  <c r="EX37" i="2" s="1"/>
  <c r="EY37" i="2" s="1"/>
  <c r="EZ37" i="2" s="1"/>
  <c r="FA37" i="2" s="1"/>
  <c r="FB37" i="2" s="1"/>
  <c r="FC37" i="2" s="1"/>
  <c r="FD37" i="2" s="1"/>
  <c r="FE37" i="2" s="1"/>
  <c r="FF37" i="2" s="1"/>
  <c r="FG37" i="2" s="1"/>
  <c r="FH37" i="2" s="1"/>
  <c r="FI37" i="2" s="1"/>
  <c r="FJ37" i="2" s="1"/>
  <c r="FK37" i="2" s="1"/>
  <c r="FL37" i="2" s="1"/>
  <c r="FM37" i="2" s="1"/>
  <c r="FN37" i="2" s="1"/>
  <c r="FO37" i="2" s="1"/>
  <c r="FP37" i="2" s="1"/>
  <c r="FQ37" i="2" s="1"/>
  <c r="FR37" i="2" s="1"/>
  <c r="FS37" i="2" s="1"/>
  <c r="FT37" i="2" s="1"/>
  <c r="FU37" i="2" s="1"/>
  <c r="FV37" i="2" s="1"/>
  <c r="FW37" i="2" s="1"/>
  <c r="FX37" i="2" s="1"/>
  <c r="FY37" i="2" s="1"/>
  <c r="FZ37" i="2" s="1"/>
  <c r="GA37" i="2" s="1"/>
  <c r="GB37" i="2" s="1"/>
  <c r="GC37" i="2" s="1"/>
  <c r="GD37" i="2" s="1"/>
  <c r="GE37" i="2" s="1"/>
  <c r="GF37" i="2" s="1"/>
  <c r="GG37" i="2" s="1"/>
  <c r="GH37" i="2" s="1"/>
  <c r="GI37" i="2" s="1"/>
  <c r="GJ37" i="2" s="1"/>
  <c r="GK37" i="2" s="1"/>
  <c r="GL37" i="2" s="1"/>
  <c r="GM37" i="2" s="1"/>
  <c r="GN37" i="2" s="1"/>
  <c r="GO37" i="2" s="1"/>
  <c r="GP37" i="2" s="1"/>
  <c r="GQ37" i="2" s="1"/>
  <c r="GR37" i="2" s="1"/>
  <c r="GS37" i="2" s="1"/>
  <c r="GT37" i="2" s="1"/>
  <c r="GU37" i="2" s="1"/>
  <c r="GV37" i="2" s="1"/>
  <c r="GW37" i="2" s="1"/>
  <c r="GX37" i="2" s="1"/>
  <c r="GY37" i="2" s="1"/>
  <c r="GZ37" i="2" s="1"/>
  <c r="HA37" i="2" s="1"/>
  <c r="HB37" i="2" s="1"/>
  <c r="HC37" i="2" s="1"/>
  <c r="HD37" i="2" s="1"/>
  <c r="HE37" i="2" s="1"/>
  <c r="HF37" i="2" s="1"/>
  <c r="HG37" i="2" s="1"/>
  <c r="HH37" i="2" s="1"/>
  <c r="HI37" i="2" s="1"/>
  <c r="HJ37" i="2" s="1"/>
  <c r="HK37" i="2" s="1"/>
  <c r="HL37" i="2" s="1"/>
  <c r="HM37" i="2" s="1"/>
  <c r="HN37" i="2" s="1"/>
  <c r="HO37" i="2" s="1"/>
  <c r="HP37" i="2" s="1"/>
  <c r="AB25" i="3"/>
  <c r="AA26" i="3"/>
  <c r="AB20" i="3"/>
  <c r="AB21" i="3" s="1"/>
  <c r="AB18" i="3"/>
  <c r="AB23" i="3" s="1"/>
  <c r="AD5" i="3"/>
  <c r="AC17" i="3"/>
  <c r="AE5" i="3" l="1"/>
  <c r="AD17" i="3"/>
  <c r="AC18" i="3"/>
  <c r="AC23" i="3" s="1"/>
  <c r="AC20" i="3"/>
  <c r="AC21" i="3" s="1"/>
  <c r="AC25" i="3"/>
  <c r="AB26" i="3"/>
  <c r="AD25" i="3" l="1"/>
  <c r="AC26" i="3"/>
  <c r="AD18" i="3"/>
  <c r="AD23" i="3" s="1"/>
  <c r="AD20" i="3"/>
  <c r="AD21" i="3" s="1"/>
  <c r="AF5" i="3"/>
  <c r="AE17" i="3"/>
  <c r="AG5" i="3" l="1"/>
  <c r="AF17" i="3"/>
  <c r="AE20" i="3"/>
  <c r="AE21" i="3" s="1"/>
  <c r="AE18" i="3"/>
  <c r="AE23" i="3" s="1"/>
  <c r="AE25" i="3"/>
  <c r="AD26" i="3"/>
  <c r="AF25" i="3" l="1"/>
  <c r="AE26" i="3"/>
  <c r="AF20" i="3"/>
  <c r="AF21" i="3" s="1"/>
  <c r="AF18" i="3"/>
  <c r="AF23" i="3" s="1"/>
  <c r="AG17" i="3"/>
  <c r="AH5" i="3"/>
  <c r="AG20" i="3" l="1"/>
  <c r="AG21" i="3" s="1"/>
  <c r="AG18" i="3"/>
  <c r="AG23" i="3" s="1"/>
  <c r="AI5" i="3"/>
  <c r="AH17" i="3"/>
  <c r="AF26" i="3"/>
  <c r="AG25" i="3"/>
  <c r="AH25" i="3" l="1"/>
  <c r="AG26" i="3"/>
  <c r="AH20" i="3"/>
  <c r="AH21" i="3" s="1"/>
  <c r="AI21" i="3" s="1"/>
  <c r="AJ21" i="3" s="1"/>
  <c r="AK21" i="3" s="1"/>
  <c r="AL21" i="3" s="1"/>
  <c r="AM21" i="3" s="1"/>
  <c r="AH18" i="3"/>
  <c r="AH23" i="3" s="1"/>
  <c r="AJ5" i="3"/>
  <c r="AI17" i="3"/>
  <c r="AK5" i="3" l="1"/>
  <c r="AJ17" i="3"/>
  <c r="AI20" i="3"/>
  <c r="AI18" i="3"/>
  <c r="AI23" i="3" s="1"/>
  <c r="AI25" i="3"/>
  <c r="AH26" i="3"/>
  <c r="AJ25" i="3" l="1"/>
  <c r="AI26" i="3"/>
  <c r="AJ20" i="3"/>
  <c r="AJ18" i="3"/>
  <c r="AJ23" i="3" s="1"/>
  <c r="AL5" i="3"/>
  <c r="AK17" i="3"/>
  <c r="AK20" i="3" l="1"/>
  <c r="AK18" i="3"/>
  <c r="AK23" i="3" s="1"/>
  <c r="AL17" i="3"/>
  <c r="AM5" i="3"/>
  <c r="AM17" i="3" s="1"/>
  <c r="AK25" i="3"/>
  <c r="AJ26" i="3"/>
  <c r="AL25" i="3" l="1"/>
  <c r="AK26" i="3"/>
  <c r="AM20" i="3"/>
  <c r="AM18" i="3"/>
  <c r="AM23" i="3" s="1"/>
  <c r="AL20" i="3"/>
  <c r="AL18" i="3"/>
  <c r="AL23" i="3" s="1"/>
  <c r="AM25" i="3" l="1"/>
  <c r="AL26" i="3"/>
  <c r="AN25" i="3" l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AS30" i="3" s="1"/>
  <c r="AS32" i="3" s="1"/>
  <c r="AS34" i="3" s="1"/>
  <c r="AM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N42" authorId="0" shapeId="0" xr:uid="{B77C2AAE-DE0E-394E-B29C-A85649CB1E4A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higher ore grades
</t>
        </r>
      </text>
    </comment>
    <comment ref="N43" authorId="0" shapeId="0" xr:uid="{D8D080FD-647F-F14D-8D0C-E3CFACA8FB05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ore grades</t>
        </r>
      </text>
    </comment>
    <comment ref="N44" authorId="0" shapeId="0" xr:uid="{30FAA7C9-0F7B-5E46-B12E-1D44B944DDD3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drop in ore grades</t>
        </r>
      </text>
    </comment>
    <comment ref="N45" authorId="0" shapeId="0" xr:uid="{66173EDC-E5BD-2C4B-9156-9D5A67515348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>drop in ore grades</t>
        </r>
        <r>
          <rPr>
            <sz val="10"/>
            <color rgb="FF000000"/>
            <rFont val="ArialMT"/>
          </rPr>
          <t xml:space="preserve">
</t>
        </r>
      </text>
    </comment>
    <comment ref="N46" authorId="0" shapeId="0" xr:uid="{D313AA07-190A-5D4D-B54F-05D3A6C4E2C5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ore grades</t>
        </r>
      </text>
    </comment>
    <comment ref="N48" authorId="0" shapeId="0" xr:uid="{9D234BDA-35A8-454D-9174-55736A2AC092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higher production at all mines except Touepala where grades and recoveries dropped</t>
        </r>
      </text>
    </comment>
    <comment ref="N49" authorId="0" shapeId="0" xr:uid="{D69873D3-A6C2-6D43-86D0-6E15538D87A9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increases in production at Santa Barbara and charcas mines</t>
        </r>
      </text>
    </comment>
    <comment ref="N50" authorId="0" shapeId="0" xr:uid="{3E932CFC-8B4B-844E-AF4C-8B00B23E832D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lower production
</t>
        </r>
      </text>
    </comment>
    <comment ref="H52" authorId="0" shapeId="0" xr:uid="{AAD4BD79-94A2-954E-91AA-F6154EC2EC4A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copper prices</t>
        </r>
      </text>
    </comment>
  </commentList>
</comments>
</file>

<file path=xl/sharedStrings.xml><?xml version="1.0" encoding="utf-8"?>
<sst xmlns="http://schemas.openxmlformats.org/spreadsheetml/2006/main" count="125" uniqueCount="100">
  <si>
    <t>P</t>
  </si>
  <si>
    <t>Shares</t>
  </si>
  <si>
    <t>MC</t>
  </si>
  <si>
    <t>Cash</t>
  </si>
  <si>
    <t>Debt</t>
  </si>
  <si>
    <t>EV</t>
  </si>
  <si>
    <t>Q324</t>
  </si>
  <si>
    <t xml:space="preserve">Production </t>
  </si>
  <si>
    <t>copper</t>
  </si>
  <si>
    <t>molybdenum</t>
  </si>
  <si>
    <t>zinc</t>
  </si>
  <si>
    <t>silver</t>
  </si>
  <si>
    <t>Locations</t>
  </si>
  <si>
    <t>Peru</t>
  </si>
  <si>
    <t xml:space="preserve">Mexico </t>
  </si>
  <si>
    <t>Argentina</t>
  </si>
  <si>
    <t>Chile</t>
  </si>
  <si>
    <t>Ecuador</t>
  </si>
  <si>
    <t>Catalysts</t>
  </si>
  <si>
    <t>Global Electrification and Decarbonization</t>
  </si>
  <si>
    <t>Aeerospace and Defense</t>
  </si>
  <si>
    <t>Fertilizaer</t>
  </si>
  <si>
    <t xml:space="preserve">copper used for renewable energy, Evs, and grid infrastructure </t>
  </si>
  <si>
    <t>Molybdenum and gold for high tech and aerospace</t>
  </si>
  <si>
    <t xml:space="preserve">Sulfuric acid supports agricultural output </t>
  </si>
  <si>
    <t>Sales</t>
  </si>
  <si>
    <t>C</t>
  </si>
  <si>
    <t>SG&amp;A</t>
  </si>
  <si>
    <t>D&amp;A</t>
  </si>
  <si>
    <t>Exploration</t>
  </si>
  <si>
    <t>Operating Income</t>
  </si>
  <si>
    <t>Interest Expense</t>
  </si>
  <si>
    <t>Capitalized Interest</t>
  </si>
  <si>
    <t>Other Income</t>
  </si>
  <si>
    <t>EBT</t>
  </si>
  <si>
    <t>Taxes</t>
  </si>
  <si>
    <t xml:space="preserve">Net Income </t>
  </si>
  <si>
    <t>Interest Income</t>
  </si>
  <si>
    <t>Deferred I/T</t>
  </si>
  <si>
    <t>EPS</t>
  </si>
  <si>
    <t>Toquepala</t>
  </si>
  <si>
    <t>Cuajone</t>
  </si>
  <si>
    <t>La Caridad</t>
  </si>
  <si>
    <t>Buenavista</t>
  </si>
  <si>
    <t>IMMSA</t>
  </si>
  <si>
    <t>Total Mined Copper</t>
  </si>
  <si>
    <t>Growth Analysis Y/Y</t>
  </si>
  <si>
    <t>Total Mined Copper (mlbs)</t>
  </si>
  <si>
    <t>Molybdenum (mlbs)</t>
  </si>
  <si>
    <t>Sinc (mlbs)</t>
  </si>
  <si>
    <t>Silver (moz)</t>
  </si>
  <si>
    <t>Copper</t>
  </si>
  <si>
    <t>Molyndenum</t>
  </si>
  <si>
    <t>Silver</t>
  </si>
  <si>
    <t>Other By-Products</t>
  </si>
  <si>
    <t>Zinc</t>
  </si>
  <si>
    <t>Q123</t>
  </si>
  <si>
    <t>Q323</t>
  </si>
  <si>
    <t>Q223</t>
  </si>
  <si>
    <t>Q423</t>
  </si>
  <si>
    <t>Q124</t>
  </si>
  <si>
    <t>Q224</t>
  </si>
  <si>
    <t>Q424</t>
  </si>
  <si>
    <t xml:space="preserve">Molybdenum </t>
  </si>
  <si>
    <t>Zinc Ore</t>
  </si>
  <si>
    <t>Copper Ore</t>
  </si>
  <si>
    <t xml:space="preserve">Silver Ore </t>
  </si>
  <si>
    <t xml:space="preserve">Revenue </t>
  </si>
  <si>
    <t>Copper Average Price</t>
  </si>
  <si>
    <t>Molybdenum</t>
  </si>
  <si>
    <t>Average Prices</t>
  </si>
  <si>
    <t>Zinc (mlbs)</t>
  </si>
  <si>
    <t xml:space="preserve">Terminal </t>
  </si>
  <si>
    <t xml:space="preserve">Discount </t>
  </si>
  <si>
    <t>NPV</t>
  </si>
  <si>
    <t>CFFO</t>
  </si>
  <si>
    <t>capex</t>
  </si>
  <si>
    <t>FCF</t>
  </si>
  <si>
    <t>2024E</t>
  </si>
  <si>
    <t>Copper Price ($/lb)</t>
  </si>
  <si>
    <t>Molybdenum Price</t>
  </si>
  <si>
    <t>Silver ($/oz)</t>
  </si>
  <si>
    <t>Zinc ($/lb)</t>
  </si>
  <si>
    <t xml:space="preserve">Copper Revenue </t>
  </si>
  <si>
    <t xml:space="preserve">BY-Product Revenue </t>
  </si>
  <si>
    <t xml:space="preserve">Total Revenue </t>
  </si>
  <si>
    <t xml:space="preserve">Cash Costs </t>
  </si>
  <si>
    <t xml:space="preserve">Net Cash Costs </t>
  </si>
  <si>
    <t xml:space="preserve">Free Cash Flow </t>
  </si>
  <si>
    <t>Capex</t>
  </si>
  <si>
    <t>By Product Revenue ($/lb)</t>
  </si>
  <si>
    <t xml:space="preserve">NC </t>
  </si>
  <si>
    <t xml:space="preserve">Total Value </t>
  </si>
  <si>
    <t>$M</t>
  </si>
  <si>
    <t>Gold (oz)</t>
  </si>
  <si>
    <t>Gold ($/oz)</t>
  </si>
  <si>
    <t>Estimate</t>
  </si>
  <si>
    <t>Current</t>
  </si>
  <si>
    <t xml:space="preserve">FCF % Revenue </t>
  </si>
  <si>
    <t>Q424E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</si>
</sst>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#,##0.0"/>
  </numFmts>
  <fonts count="10">
    <font>
      <sz val="10"/>
      <color theme="1"/>
      <name val="ArialMT"/>
      <family val="2"/>
    </font>
    <font>
      <sz val="10"/>
      <color theme="1"/>
      <name val="ArialMT"/>
      <family val="2"/>
    </font>
    <font>
      <sz val="10"/>
      <color theme="0"/>
      <name val="ArialMT"/>
      <family val="2"/>
    </font>
    <font>
      <u/>
      <sz val="10"/>
      <color theme="1"/>
      <name val="ArialMT"/>
      <family val="2"/>
    </font>
    <font>
      <sz val="10"/>
      <color theme="1"/>
      <name val="ArialMT"/>
    </font>
    <font>
      <b/>
      <sz val="10"/>
      <color theme="1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MT"/>
    </font>
    <font>
      <b/>
      <i/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3" fontId="5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9" fontId="5" fillId="0" borderId="0" xfId="0" applyNumberFormat="1" applyFont="1"/>
    <xf numFmtId="0" fontId="9" fillId="0" borderId="0" xfId="0" applyFont="1"/>
    <xf numFmtId="165" fontId="5" fillId="0" borderId="0" xfId="0" applyNumberFormat="1" applyFont="1"/>
    <xf numFmtId="43" fontId="0" fillId="0" borderId="0" xfId="1" applyFont="1"/>
    <xf numFmtId="165" fontId="0" fillId="0" borderId="0" xfId="0" applyNumberFormat="1"/>
    <xf numFmtId="3" fontId="4" fillId="0" borderId="0" xfId="0" applyNumberFormat="1" applyFont="1"/>
    <xf numFmtId="165" fontId="4" fillId="0" borderId="0" xfId="0" applyNumberFormat="1" applyFont="1"/>
    <xf numFmtId="10" fontId="0" fillId="0" borderId="0" xfId="0" applyNumberFormat="1"/>
    <xf numFmtId="8" fontId="0" fillId="0" borderId="0" xfId="0" applyNumberFormat="1"/>
    <xf numFmtId="8" fontId="5" fillId="0" borderId="0" xfId="0" applyNumberFormat="1" applyFont="1"/>
    <xf numFmtId="165" fontId="4" fillId="0" borderId="0" xfId="0" applyNumberFormat="1" applyFont="1" applyAlignment="1">
      <alignment horizontal="left" indent="1"/>
    </xf>
    <xf numFmtId="165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5</xdr:row>
      <xdr:rowOff>3556</xdr:rowOff>
    </xdr:from>
    <xdr:to>
      <xdr:col>12</xdr:col>
      <xdr:colOff>88900</xdr:colOff>
      <xdr:row>15</xdr:row>
      <xdr:rowOff>38100</xdr:rowOff>
    </xdr:to>
    <xdr:pic>
      <xdr:nvPicPr>
        <xdr:cNvPr id="4" name="dimg_vMdpZ4ipHqW-0PEPiqTm6QE_21" descr="Molybdenum: History, Supplements ...">
          <a:extLst>
            <a:ext uri="{FF2B5EF4-FFF2-40B4-BE49-F238E27FC236}">
              <a16:creationId xmlns:a16="http://schemas.microsoft.com/office/drawing/2014/main" id="{32761521-D157-647F-5D74-0B7AE7661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29056"/>
          <a:ext cx="3009900" cy="1685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476250</xdr:colOff>
      <xdr:row>18</xdr:row>
      <xdr:rowOff>86782</xdr:rowOff>
    </xdr:from>
    <xdr:to>
      <xdr:col>12</xdr:col>
      <xdr:colOff>749300</xdr:colOff>
      <xdr:row>32</xdr:row>
      <xdr:rowOff>158749</xdr:rowOff>
    </xdr:to>
    <xdr:pic>
      <xdr:nvPicPr>
        <xdr:cNvPr id="6" name="Picture 5" descr="Copper ore in detail">
          <a:extLst>
            <a:ext uri="{FF2B5EF4-FFF2-40B4-BE49-F238E27FC236}">
              <a16:creationId xmlns:a16="http://schemas.microsoft.com/office/drawing/2014/main" id="{CCA8292B-1DBC-7E7A-D621-F0050E736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058582"/>
          <a:ext cx="3575050" cy="2383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641350</xdr:colOff>
      <xdr:row>4</xdr:row>
      <xdr:rowOff>143932</xdr:rowOff>
    </xdr:from>
    <xdr:to>
      <xdr:col>17</xdr:col>
      <xdr:colOff>44450</xdr:colOff>
      <xdr:row>16</xdr:row>
      <xdr:rowOff>74607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FAF69-2200-3A0C-FBE0-44B97CC51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31450" y="804332"/>
          <a:ext cx="2705100" cy="1911875"/>
        </a:xfrm>
        <a:prstGeom prst="rect">
          <a:avLst/>
        </a:prstGeom>
      </xdr:spPr>
    </xdr:pic>
    <xdr:clientData/>
  </xdr:twoCellAnchor>
  <xdr:twoCellAnchor editAs="oneCell">
    <xdr:from>
      <xdr:col>13</xdr:col>
      <xdr:colOff>668211</xdr:colOff>
      <xdr:row>20</xdr:row>
      <xdr:rowOff>110923</xdr:rowOff>
    </xdr:from>
    <xdr:to>
      <xdr:col>18</xdr:col>
      <xdr:colOff>720522</xdr:colOff>
      <xdr:row>40</xdr:row>
      <xdr:rowOff>129973</xdr:rowOff>
    </xdr:to>
    <xdr:pic>
      <xdr:nvPicPr>
        <xdr:cNvPr id="8" name="Picture 7" descr="Pyrargyrite | Silver Ore, Sulfide Ore, AgS | Britannica">
          <a:extLst>
            <a:ext uri="{FF2B5EF4-FFF2-40B4-BE49-F238E27FC236}">
              <a16:creationId xmlns:a16="http://schemas.microsoft.com/office/drawing/2014/main" id="{5BDE1FD1-3E6D-5B0B-1764-C0910A2D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900000">
          <a:off x="10321679" y="3340981"/>
          <a:ext cx="4163294" cy="3249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18540</xdr:colOff>
      <xdr:row>0</xdr:row>
      <xdr:rowOff>0</xdr:rowOff>
    </xdr:from>
    <xdr:to>
      <xdr:col>14</xdr:col>
      <xdr:colOff>37080</xdr:colOff>
      <xdr:row>56</xdr:row>
      <xdr:rowOff>64891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053724A-6211-2F41-99D6-AE58E9CB91DF}"/>
            </a:ext>
          </a:extLst>
        </xdr:cNvPr>
        <xdr:cNvCxnSpPr/>
      </xdr:nvCxnSpPr>
      <xdr:spPr>
        <a:xfrm>
          <a:off x="7425328" y="0"/>
          <a:ext cx="18540" cy="857481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539012</xdr:colOff>
      <xdr:row>0</xdr:row>
      <xdr:rowOff>0</xdr:rowOff>
    </xdr:from>
    <xdr:to>
      <xdr:col>14</xdr:col>
      <xdr:colOff>21897</xdr:colOff>
      <xdr:row>93</xdr:row>
      <xdr:rowOff>109483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66E2D28-8A46-A748-FE28-E9E40B5FF9B8}"/>
            </a:ext>
          </a:extLst>
        </xdr:cNvPr>
        <xdr:cNvCxnSpPr/>
      </xdr:nvCxnSpPr>
      <xdr:spPr>
        <a:xfrm>
          <a:off x="7407230" y="0"/>
          <a:ext cx="30299" cy="147144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51092</xdr:rowOff>
    </xdr:from>
    <xdr:to>
      <xdr:col>9</xdr:col>
      <xdr:colOff>0</xdr:colOff>
      <xdr:row>93</xdr:row>
      <xdr:rowOff>145977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6F8C8EB-2027-9402-BDFB-8630EC57C245}"/>
            </a:ext>
          </a:extLst>
        </xdr:cNvPr>
        <xdr:cNvCxnSpPr/>
      </xdr:nvCxnSpPr>
      <xdr:spPr>
        <a:xfrm>
          <a:off x="4824540" y="51092"/>
          <a:ext cx="0" cy="146998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9677-A1FD-734C-B725-E046CF42819E}">
  <dimension ref="B2:O22"/>
  <sheetViews>
    <sheetView tabSelected="1" zoomScale="173" workbookViewId="0">
      <selection activeCell="F26" sqref="F26"/>
    </sheetView>
  </sheetViews>
  <sheetFormatPr baseColWidth="10" defaultRowHeight="13"/>
  <cols>
    <col min="1" max="5" width="10.83203125" style="1"/>
    <col min="6" max="7" width="6.6640625" style="1" bestFit="1" customWidth="1"/>
    <col min="8" max="8" width="5.5" style="1" bestFit="1" customWidth="1"/>
    <col min="9" max="16384" width="10.83203125" style="1"/>
  </cols>
  <sheetData>
    <row r="2" spans="2:15">
      <c r="F2" s="1" t="s">
        <v>93</v>
      </c>
    </row>
    <row r="3" spans="2:15">
      <c r="F3" s="1" t="s">
        <v>0</v>
      </c>
      <c r="G3" s="1">
        <v>93.9</v>
      </c>
      <c r="J3"/>
    </row>
    <row r="4" spans="2:15">
      <c r="F4" s="1" t="s">
        <v>1</v>
      </c>
      <c r="G4" s="1">
        <v>785.54017899999997</v>
      </c>
      <c r="H4" s="1" t="s">
        <v>6</v>
      </c>
      <c r="J4" s="1" t="s">
        <v>63</v>
      </c>
      <c r="O4" s="1" t="s">
        <v>64</v>
      </c>
    </row>
    <row r="5" spans="2:15">
      <c r="B5" s="2" t="s">
        <v>7</v>
      </c>
      <c r="F5" s="1" t="s">
        <v>2</v>
      </c>
      <c r="G5" s="1">
        <f>+G3*G4</f>
        <v>73762.222808100007</v>
      </c>
    </row>
    <row r="6" spans="2:15">
      <c r="B6" s="1" t="s">
        <v>8</v>
      </c>
      <c r="F6" s="1" t="s">
        <v>3</v>
      </c>
      <c r="G6" s="1">
        <f>2654.8+318.8</f>
        <v>2973.6000000000004</v>
      </c>
      <c r="H6" s="1" t="str">
        <f>+H4</f>
        <v>Q324</v>
      </c>
    </row>
    <row r="7" spans="2:15">
      <c r="B7" s="1" t="s">
        <v>9</v>
      </c>
      <c r="F7" s="1" t="s">
        <v>4</v>
      </c>
      <c r="G7" s="1">
        <f>499.6+5757.8</f>
        <v>6257.4000000000005</v>
      </c>
      <c r="H7" s="1" t="str">
        <f>+H6</f>
        <v>Q324</v>
      </c>
    </row>
    <row r="8" spans="2:15">
      <c r="B8" s="1" t="s">
        <v>10</v>
      </c>
      <c r="F8" s="1" t="s">
        <v>5</v>
      </c>
      <c r="G8" s="1">
        <f>+G5-G6+G7</f>
        <v>77046.022808099995</v>
      </c>
    </row>
    <row r="9" spans="2:15">
      <c r="B9" s="1" t="s">
        <v>11</v>
      </c>
    </row>
    <row r="11" spans="2:15">
      <c r="B11" s="2" t="s">
        <v>12</v>
      </c>
    </row>
    <row r="12" spans="2:15">
      <c r="B12" s="1" t="s">
        <v>13</v>
      </c>
      <c r="J12"/>
    </row>
    <row r="13" spans="2:15">
      <c r="B13" s="1" t="s">
        <v>14</v>
      </c>
    </row>
    <row r="14" spans="2:15">
      <c r="B14" s="1" t="s">
        <v>15</v>
      </c>
    </row>
    <row r="15" spans="2:15">
      <c r="B15" s="1" t="s">
        <v>16</v>
      </c>
    </row>
    <row r="16" spans="2:15">
      <c r="B16" s="1" t="s">
        <v>17</v>
      </c>
    </row>
    <row r="18" spans="2:15">
      <c r="B18" s="2" t="s">
        <v>18</v>
      </c>
      <c r="J18" s="1" t="s">
        <v>65</v>
      </c>
    </row>
    <row r="19" spans="2:15">
      <c r="B19" s="1" t="s">
        <v>19</v>
      </c>
      <c r="C19" s="1" t="s">
        <v>22</v>
      </c>
      <c r="J19"/>
      <c r="O19" s="1" t="s">
        <v>66</v>
      </c>
    </row>
    <row r="20" spans="2:15">
      <c r="B20" s="1" t="s">
        <v>20</v>
      </c>
      <c r="C20" s="1" t="s">
        <v>23</v>
      </c>
    </row>
    <row r="21" spans="2:15">
      <c r="B21" s="1" t="s">
        <v>21</v>
      </c>
      <c r="C21" s="1" t="s">
        <v>24</v>
      </c>
    </row>
    <row r="22" spans="2:15">
      <c r="O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B2C6-6E50-424D-9331-F391B4F2FBB0}">
  <dimension ref="B1:BG35"/>
  <sheetViews>
    <sheetView showGridLines="0" zoomScale="168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baseColWidth="10" defaultRowHeight="13"/>
  <cols>
    <col min="1" max="1" width="2.6640625" customWidth="1"/>
    <col min="2" max="2" width="23.33203125" bestFit="1" customWidth="1"/>
    <col min="3" max="10" width="5.5" bestFit="1" customWidth="1"/>
    <col min="11" max="11" width="3.6640625" customWidth="1"/>
    <col min="12" max="12" width="6.6640625" bestFit="1" customWidth="1"/>
    <col min="13" max="13" width="5.6640625" bestFit="1" customWidth="1"/>
    <col min="14" max="14" width="6.1640625" bestFit="1" customWidth="1"/>
    <col min="15" max="39" width="6.6640625" bestFit="1" customWidth="1"/>
    <col min="40" max="42" width="5.6640625" bestFit="1" customWidth="1"/>
    <col min="43" max="43" width="6.6640625" bestFit="1" customWidth="1"/>
    <col min="44" max="44" width="10.5" bestFit="1" customWidth="1"/>
    <col min="45" max="45" width="10.6640625" bestFit="1" customWidth="1"/>
    <col min="46" max="59" width="6.6640625" bestFit="1" customWidth="1"/>
  </cols>
  <sheetData>
    <row r="1" spans="2:59">
      <c r="AE1">
        <f>2027+20</f>
        <v>2047</v>
      </c>
    </row>
    <row r="3" spans="2:59" s="21" customFormat="1">
      <c r="C3" s="22" t="s">
        <v>56</v>
      </c>
      <c r="D3" s="22" t="s">
        <v>58</v>
      </c>
      <c r="E3" s="22" t="s">
        <v>57</v>
      </c>
      <c r="F3" s="22" t="s">
        <v>59</v>
      </c>
      <c r="G3" s="22" t="s">
        <v>60</v>
      </c>
      <c r="H3" s="22" t="s">
        <v>61</v>
      </c>
      <c r="I3" s="22" t="s">
        <v>6</v>
      </c>
      <c r="J3" s="22" t="s">
        <v>99</v>
      </c>
      <c r="K3" s="23"/>
      <c r="L3" s="22">
        <v>2021</v>
      </c>
      <c r="M3" s="22">
        <v>2022</v>
      </c>
      <c r="N3" s="22">
        <v>2023</v>
      </c>
      <c r="O3" s="22" t="s">
        <v>78</v>
      </c>
      <c r="P3" s="22">
        <v>2025</v>
      </c>
      <c r="Q3" s="22">
        <v>2026</v>
      </c>
      <c r="R3" s="22">
        <v>2027</v>
      </c>
      <c r="S3" s="22">
        <v>2028</v>
      </c>
      <c r="T3" s="22">
        <v>2029</v>
      </c>
      <c r="U3" s="22">
        <v>2030</v>
      </c>
      <c r="V3" s="22">
        <v>2031</v>
      </c>
      <c r="W3" s="22">
        <v>2032</v>
      </c>
      <c r="X3" s="22">
        <v>2032</v>
      </c>
      <c r="Y3" s="22">
        <f>+X3+1</f>
        <v>2033</v>
      </c>
      <c r="Z3" s="22">
        <f t="shared" ref="Z3:AR3" si="0">+Y3+1</f>
        <v>2034</v>
      </c>
      <c r="AA3" s="22">
        <f t="shared" si="0"/>
        <v>2035</v>
      </c>
      <c r="AB3" s="22">
        <f t="shared" si="0"/>
        <v>2036</v>
      </c>
      <c r="AC3" s="22">
        <f t="shared" si="0"/>
        <v>2037</v>
      </c>
      <c r="AD3" s="22">
        <f t="shared" si="0"/>
        <v>2038</v>
      </c>
      <c r="AE3" s="22">
        <f t="shared" si="0"/>
        <v>2039</v>
      </c>
      <c r="AF3" s="22">
        <f t="shared" si="0"/>
        <v>2040</v>
      </c>
      <c r="AG3" s="22">
        <f t="shared" si="0"/>
        <v>2041</v>
      </c>
      <c r="AH3" s="22">
        <f t="shared" si="0"/>
        <v>2042</v>
      </c>
      <c r="AI3" s="22">
        <f t="shared" si="0"/>
        <v>2043</v>
      </c>
      <c r="AJ3" s="22">
        <f t="shared" si="0"/>
        <v>2044</v>
      </c>
      <c r="AK3" s="22">
        <f t="shared" si="0"/>
        <v>2045</v>
      </c>
      <c r="AL3" s="22">
        <f t="shared" si="0"/>
        <v>2046</v>
      </c>
      <c r="AM3" s="22">
        <f t="shared" si="0"/>
        <v>2047</v>
      </c>
      <c r="AN3" s="22">
        <f t="shared" si="0"/>
        <v>2048</v>
      </c>
      <c r="AO3" s="22">
        <f t="shared" si="0"/>
        <v>2049</v>
      </c>
      <c r="AP3" s="22">
        <f t="shared" si="0"/>
        <v>2050</v>
      </c>
      <c r="AQ3" s="22">
        <f t="shared" si="0"/>
        <v>2051</v>
      </c>
      <c r="AR3" s="22">
        <f t="shared" si="0"/>
        <v>2052</v>
      </c>
      <c r="AS3" s="22">
        <f t="shared" ref="AS3:AZ3" si="1">+AR3+1</f>
        <v>2053</v>
      </c>
      <c r="AT3" s="22">
        <f t="shared" si="1"/>
        <v>2054</v>
      </c>
      <c r="AU3" s="22">
        <f t="shared" si="1"/>
        <v>2055</v>
      </c>
      <c r="AV3" s="22">
        <f t="shared" si="1"/>
        <v>2056</v>
      </c>
      <c r="AW3" s="22">
        <f t="shared" si="1"/>
        <v>2057</v>
      </c>
      <c r="AX3" s="22">
        <f t="shared" si="1"/>
        <v>2058</v>
      </c>
      <c r="AY3" s="22">
        <f t="shared" si="1"/>
        <v>2059</v>
      </c>
      <c r="AZ3" s="22">
        <f t="shared" si="1"/>
        <v>2060</v>
      </c>
      <c r="BA3" s="22">
        <f t="shared" ref="BA3:BE3" si="2">+AZ3+1</f>
        <v>2061</v>
      </c>
      <c r="BB3" s="22">
        <f t="shared" si="2"/>
        <v>2062</v>
      </c>
      <c r="BC3" s="22">
        <f t="shared" si="2"/>
        <v>2063</v>
      </c>
      <c r="BD3" s="22">
        <f t="shared" si="2"/>
        <v>2064</v>
      </c>
      <c r="BE3" s="22">
        <f t="shared" si="2"/>
        <v>2065</v>
      </c>
      <c r="BF3" s="22">
        <f t="shared" ref="BF3:BG3" si="3">+BE3+1</f>
        <v>2066</v>
      </c>
      <c r="BG3" s="22">
        <f t="shared" si="3"/>
        <v>2067</v>
      </c>
    </row>
    <row r="4" spans="2:59">
      <c r="B4" s="4" t="s">
        <v>47</v>
      </c>
      <c r="C4" s="1">
        <f>+Statements!C8</f>
        <v>492.20000000000005</v>
      </c>
      <c r="D4" s="1">
        <f>+Statements!D8</f>
        <v>501.59999999999997</v>
      </c>
      <c r="E4" s="1">
        <f>+Statements!E8</f>
        <v>498.5</v>
      </c>
      <c r="F4" s="1">
        <f>+Statements!F8</f>
        <v>516.09999999999991</v>
      </c>
      <c r="G4" s="1">
        <f>+Statements!G8</f>
        <v>529.6</v>
      </c>
      <c r="H4" s="1">
        <f>+Statements!H8</f>
        <v>534.6</v>
      </c>
      <c r="I4" s="1">
        <f>+Statements!I8</f>
        <v>556.1</v>
      </c>
      <c r="J4" s="1">
        <f>+Statements!J8</f>
        <v>529.19999999999982</v>
      </c>
      <c r="L4" s="1">
        <f>+Statements!L8</f>
        <v>2112.4999999999995</v>
      </c>
      <c r="M4" s="1">
        <f>+Statements!M8</f>
        <v>1972.4999999999998</v>
      </c>
      <c r="N4" s="1">
        <f>+Statements!N8</f>
        <v>2008.3999999999999</v>
      </c>
      <c r="O4" s="1">
        <f>SUM(G4:J4)</f>
        <v>2149.5</v>
      </c>
      <c r="P4" s="1">
        <f>+Statements!P8</f>
        <v>2156.7797459999997</v>
      </c>
      <c r="Q4" s="1">
        <f>+Statements!Q8</f>
        <v>2145.9958472699996</v>
      </c>
      <c r="R4" s="1">
        <f>+Statements!R8+264.6+79.37</f>
        <v>2479.2358680336492</v>
      </c>
      <c r="S4" s="1">
        <f>+Statements!S8</f>
        <v>2124.5895386934812</v>
      </c>
      <c r="T4" s="1">
        <f>+Statements!T8</f>
        <v>2113.966591000014</v>
      </c>
      <c r="U4" s="1">
        <f>+Statements!U8</f>
        <v>2103.3967580450139</v>
      </c>
      <c r="V4" s="1">
        <f>+Statements!V8</f>
        <v>2092.879774254789</v>
      </c>
      <c r="W4" s="1">
        <f>+Statements!W8+496 * 0.5</f>
        <v>2330.4153753835149</v>
      </c>
      <c r="X4" s="1">
        <f>+Statements!X8+496*0.8</f>
        <v>2468.8032985065975</v>
      </c>
      <c r="Y4" s="1">
        <f>+X4+496</f>
        <v>2964.8032985065975</v>
      </c>
      <c r="Z4" s="1">
        <f>+Y4</f>
        <v>2964.8032985065975</v>
      </c>
      <c r="AA4" s="1">
        <v>2600</v>
      </c>
      <c r="AB4" s="1">
        <v>2600</v>
      </c>
      <c r="AC4" s="1">
        <v>2600</v>
      </c>
      <c r="AD4" s="1">
        <v>2600</v>
      </c>
      <c r="AE4" s="1">
        <v>2600</v>
      </c>
      <c r="AF4" s="1">
        <v>2500</v>
      </c>
      <c r="AG4" s="1">
        <v>2500</v>
      </c>
      <c r="AH4" s="1">
        <v>2500</v>
      </c>
      <c r="AI4" s="1">
        <v>2500</v>
      </c>
      <c r="AJ4" s="1">
        <v>2500</v>
      </c>
      <c r="AK4" s="1">
        <v>2500</v>
      </c>
      <c r="AL4" s="1">
        <v>2500</v>
      </c>
      <c r="AM4" s="1">
        <v>2500</v>
      </c>
    </row>
    <row r="5" spans="2:59">
      <c r="B5" s="13" t="s">
        <v>48</v>
      </c>
      <c r="C5" s="1">
        <f>+Statements!C9</f>
        <v>14.2</v>
      </c>
      <c r="D5" s="1">
        <f>+Statements!D9</f>
        <v>14</v>
      </c>
      <c r="E5" s="1">
        <f>+Statements!E9</f>
        <v>15.1</v>
      </c>
      <c r="F5" s="1">
        <f>+Statements!F9</f>
        <v>15.900000000000006</v>
      </c>
      <c r="G5" s="1">
        <f>+Statements!G9</f>
        <v>15.6</v>
      </c>
      <c r="H5" s="1">
        <f>+Statements!H9</f>
        <v>16.899999999999999</v>
      </c>
      <c r="I5" s="1">
        <f>+Statements!I9</f>
        <v>16</v>
      </c>
      <c r="J5" s="1">
        <f>+Statements!J9</f>
        <v>13.670283999999995</v>
      </c>
      <c r="L5" s="1">
        <f>+Statements!L9</f>
        <v>66.7</v>
      </c>
      <c r="M5" s="1">
        <f>+Statements!M9</f>
        <v>57.8</v>
      </c>
      <c r="N5" s="1">
        <f>+Statements!N9</f>
        <v>59.2</v>
      </c>
      <c r="O5" s="1">
        <f>SUM(G5:J5)</f>
        <v>62.170283999999995</v>
      </c>
      <c r="P5" s="1">
        <f>+Statements!P9</f>
        <v>57.761043999999991</v>
      </c>
      <c r="Q5" s="1">
        <f>+Statements!Q9</f>
        <v>57.18343355999999</v>
      </c>
      <c r="R5" s="1">
        <f>+Statements!R9</f>
        <v>56.611599224399988</v>
      </c>
      <c r="S5" s="1">
        <f>+Statements!S9</f>
        <v>56.045483232155988</v>
      </c>
      <c r="T5" s="1">
        <f>+Statements!T9</f>
        <v>56.045483232155988</v>
      </c>
      <c r="U5" s="1">
        <f>+Statements!U9</f>
        <v>56.045483232155988</v>
      </c>
      <c r="V5" s="1">
        <f>+Statements!V9+16.5</f>
        <v>72.545483232155988</v>
      </c>
      <c r="W5" s="1">
        <f>+Statements!W9</f>
        <v>56.045483232155988</v>
      </c>
      <c r="X5" s="1">
        <f>+Statements!X9</f>
        <v>56.045483232155988</v>
      </c>
      <c r="Y5" s="1">
        <f>+X5*1.05</f>
        <v>58.847757393763793</v>
      </c>
      <c r="Z5" s="1">
        <f t="shared" ref="Z5:AF5" si="4">+Y5*1.05</f>
        <v>61.790145263451983</v>
      </c>
      <c r="AA5" s="1">
        <f t="shared" si="4"/>
        <v>64.879652526624582</v>
      </c>
      <c r="AB5" s="1">
        <f t="shared" si="4"/>
        <v>68.123635152955814</v>
      </c>
      <c r="AC5" s="1">
        <f t="shared" si="4"/>
        <v>71.529816910603614</v>
      </c>
      <c r="AD5" s="1">
        <f t="shared" si="4"/>
        <v>75.106307756133802</v>
      </c>
      <c r="AE5" s="1">
        <f t="shared" si="4"/>
        <v>78.861623143940491</v>
      </c>
      <c r="AF5" s="1">
        <f t="shared" si="4"/>
        <v>82.804704301137519</v>
      </c>
      <c r="AG5" s="1">
        <f t="shared" ref="AG5:AM5" si="5">+AF5*1.05</f>
        <v>86.944939516194395</v>
      </c>
      <c r="AH5" s="1">
        <f t="shared" si="5"/>
        <v>91.29218649200412</v>
      </c>
      <c r="AI5" s="1">
        <f t="shared" si="5"/>
        <v>95.856795816604333</v>
      </c>
      <c r="AJ5" s="1">
        <f t="shared" si="5"/>
        <v>100.64963560743455</v>
      </c>
      <c r="AK5" s="1">
        <f t="shared" si="5"/>
        <v>105.68211738780627</v>
      </c>
      <c r="AL5" s="1">
        <f t="shared" si="5"/>
        <v>110.96622325719659</v>
      </c>
      <c r="AM5" s="1">
        <f t="shared" si="5"/>
        <v>116.51453442005642</v>
      </c>
    </row>
    <row r="6" spans="2:59">
      <c r="B6" t="s">
        <v>50</v>
      </c>
      <c r="C6" s="1">
        <f>+Statements!C10</f>
        <v>4.4000000000000004</v>
      </c>
      <c r="D6" s="1">
        <f>+Statements!D10</f>
        <v>4.8</v>
      </c>
      <c r="E6" s="1">
        <f>+Statements!E10</f>
        <v>4.4000000000000004</v>
      </c>
      <c r="F6" s="1">
        <f>+Statements!F10</f>
        <v>4.7999999999999989</v>
      </c>
      <c r="G6" s="1">
        <f>+Statements!G10</f>
        <v>4.8</v>
      </c>
      <c r="H6" s="1">
        <f>+Statements!H10</f>
        <v>5.2</v>
      </c>
      <c r="I6" s="1">
        <f>+Statements!I10</f>
        <v>5.3</v>
      </c>
      <c r="J6" s="1">
        <f>+Statements!J10</f>
        <v>5.5</v>
      </c>
      <c r="L6" s="1">
        <f>+Statements!L10</f>
        <v>19</v>
      </c>
      <c r="M6" s="1">
        <f>+Statements!M10</f>
        <v>18.600000000000001</v>
      </c>
      <c r="N6" s="1">
        <f>+Statements!N10</f>
        <v>18.399999999999999</v>
      </c>
      <c r="O6" s="1">
        <f>SUM(G6:J6)</f>
        <v>20.8</v>
      </c>
      <c r="P6" s="1">
        <f>+Statements!P10</f>
        <v>21.840000000000003</v>
      </c>
      <c r="Q6" s="1">
        <f>+Statements!Q10</f>
        <v>22.932000000000006</v>
      </c>
      <c r="R6" s="1">
        <f>+Statements!R10</f>
        <v>24.078600000000009</v>
      </c>
      <c r="S6" s="1">
        <f>+Statements!S10</f>
        <v>25.282530000000012</v>
      </c>
      <c r="T6" s="1">
        <f>+Statements!T10</f>
        <v>25.282530000000012</v>
      </c>
      <c r="U6" s="1">
        <f>+Statements!U10</f>
        <v>25.282530000000012</v>
      </c>
      <c r="V6" s="1">
        <f>+Statements!V10</f>
        <v>25.282530000000012</v>
      </c>
      <c r="W6" s="1">
        <f>+Statements!W10</f>
        <v>25.282530000000012</v>
      </c>
      <c r="X6" s="1">
        <f>+Statements!X10</f>
        <v>25.282530000000012</v>
      </c>
      <c r="Y6" s="1">
        <f>+X6*1.05</f>
        <v>26.546656500000015</v>
      </c>
      <c r="Z6" s="1">
        <f t="shared" ref="Z6:AF6" si="6">+Y6*1.05</f>
        <v>27.873989325000018</v>
      </c>
      <c r="AA6" s="1">
        <f t="shared" si="6"/>
        <v>29.26768879125002</v>
      </c>
      <c r="AB6" s="1">
        <f t="shared" si="6"/>
        <v>30.731073230812523</v>
      </c>
      <c r="AC6" s="1">
        <f t="shared" si="6"/>
        <v>32.26762689235315</v>
      </c>
      <c r="AD6" s="1">
        <f t="shared" si="6"/>
        <v>33.881008236970807</v>
      </c>
      <c r="AE6" s="1">
        <f t="shared" si="6"/>
        <v>35.575058648819351</v>
      </c>
      <c r="AF6" s="1">
        <f t="shared" si="6"/>
        <v>37.353811581260317</v>
      </c>
      <c r="AG6" s="1">
        <f t="shared" ref="AG6:AM6" si="7">+AF6*1.05</f>
        <v>39.221502160323332</v>
      </c>
      <c r="AH6" s="1">
        <f t="shared" si="7"/>
        <v>41.1825772683395</v>
      </c>
      <c r="AI6" s="1">
        <f t="shared" si="7"/>
        <v>43.24170613175648</v>
      </c>
      <c r="AJ6" s="1">
        <f t="shared" si="7"/>
        <v>45.403791438344307</v>
      </c>
      <c r="AK6" s="1">
        <f t="shared" si="7"/>
        <v>47.673981010261521</v>
      </c>
      <c r="AL6" s="1">
        <f t="shared" si="7"/>
        <v>50.057680060774601</v>
      </c>
      <c r="AM6" s="1">
        <f t="shared" si="7"/>
        <v>52.560564063813331</v>
      </c>
    </row>
    <row r="7" spans="2:59">
      <c r="B7" s="13" t="s">
        <v>71</v>
      </c>
      <c r="C7" s="1">
        <f>+Statements!C11</f>
        <v>33.200000000000003</v>
      </c>
      <c r="D7" s="1">
        <f>+Statements!D11</f>
        <v>38</v>
      </c>
      <c r="E7" s="1">
        <f>+Statements!E11</f>
        <v>35.9</v>
      </c>
      <c r="F7" s="1">
        <f>+Statements!F11</f>
        <v>37.300000000000011</v>
      </c>
      <c r="G7" s="1">
        <f>+Statements!G11</f>
        <v>58.1</v>
      </c>
      <c r="H7" s="1">
        <f>+Statements!H11</f>
        <v>64.900000000000006</v>
      </c>
      <c r="I7" s="1">
        <f>+Statements!I11</f>
        <v>68.5</v>
      </c>
      <c r="J7" s="1">
        <f>+Statements!J11</f>
        <v>0</v>
      </c>
      <c r="L7" s="1">
        <f>+Statements!L11</f>
        <v>147.6</v>
      </c>
      <c r="M7" s="1">
        <f>+Statements!M11</f>
        <v>132.30000000000001</v>
      </c>
      <c r="N7" s="1">
        <f>+Statements!N11</f>
        <v>144.4</v>
      </c>
      <c r="O7" s="1">
        <f>SUM(G7:J7)</f>
        <v>191.5</v>
      </c>
      <c r="P7" s="1">
        <f>+Statements!P11</f>
        <v>291.73736459999998</v>
      </c>
      <c r="Q7" s="1">
        <f>+Statements!Q11</f>
        <v>320.91110106000002</v>
      </c>
      <c r="R7" s="1">
        <f>+Statements!R11</f>
        <v>353.00221116600005</v>
      </c>
      <c r="S7" s="1">
        <f>+Statements!S11</f>
        <v>388.30243228260008</v>
      </c>
      <c r="T7" s="1">
        <f>+Statements!T11</f>
        <v>388.30243228260008</v>
      </c>
      <c r="U7" s="1">
        <f>+Statements!U11</f>
        <v>388.30243228260008</v>
      </c>
      <c r="V7" s="1">
        <f>+Statements!V11</f>
        <v>388.30243228260008</v>
      </c>
      <c r="W7" s="1">
        <f>+Statements!W11</f>
        <v>388.30243228260008</v>
      </c>
      <c r="X7" s="1">
        <f>+Statements!X11</f>
        <v>388.30243228260008</v>
      </c>
      <c r="Y7" s="1">
        <f>+X7*1.05</f>
        <v>407.71755389673012</v>
      </c>
      <c r="Z7" s="1">
        <f t="shared" ref="Z7:AF7" si="8">+Y7*1.05</f>
        <v>428.10343159156668</v>
      </c>
      <c r="AA7" s="1">
        <f t="shared" si="8"/>
        <v>449.50860317114501</v>
      </c>
      <c r="AB7" s="1">
        <f t="shared" si="8"/>
        <v>471.9840333297023</v>
      </c>
      <c r="AC7" s="1">
        <f t="shared" si="8"/>
        <v>495.58323499618746</v>
      </c>
      <c r="AD7" s="1">
        <f t="shared" si="8"/>
        <v>520.36239674599688</v>
      </c>
      <c r="AE7" s="1">
        <f t="shared" si="8"/>
        <v>546.38051658329675</v>
      </c>
      <c r="AF7" s="1">
        <f t="shared" si="8"/>
        <v>573.6995424124616</v>
      </c>
      <c r="AG7" s="1">
        <f t="shared" ref="AG7:AM7" si="9">+AF7*1.05</f>
        <v>602.3845195330847</v>
      </c>
      <c r="AH7" s="1">
        <f t="shared" si="9"/>
        <v>632.50374550973891</v>
      </c>
      <c r="AI7" s="1">
        <f t="shared" si="9"/>
        <v>664.12893278522586</v>
      </c>
      <c r="AJ7" s="1">
        <f t="shared" si="9"/>
        <v>697.3353794244872</v>
      </c>
      <c r="AK7" s="1">
        <f t="shared" si="9"/>
        <v>732.20214839571156</v>
      </c>
      <c r="AL7" s="1">
        <f t="shared" si="9"/>
        <v>768.81225581549722</v>
      </c>
      <c r="AM7" s="1">
        <f t="shared" si="9"/>
        <v>807.25286860627216</v>
      </c>
    </row>
    <row r="8" spans="2:59">
      <c r="B8" t="s">
        <v>94</v>
      </c>
      <c r="U8">
        <f>105*0.7</f>
        <v>73.5</v>
      </c>
      <c r="V8">
        <f>105*0.8</f>
        <v>84</v>
      </c>
      <c r="W8">
        <v>105</v>
      </c>
      <c r="X8">
        <f>+W8</f>
        <v>105</v>
      </c>
      <c r="Y8">
        <f t="shared" ref="Y8:AF8" si="10">+X8</f>
        <v>105</v>
      </c>
      <c r="Z8">
        <f t="shared" si="10"/>
        <v>105</v>
      </c>
      <c r="AA8">
        <f t="shared" si="10"/>
        <v>105</v>
      </c>
      <c r="AB8">
        <f t="shared" si="10"/>
        <v>105</v>
      </c>
      <c r="AC8">
        <f t="shared" si="10"/>
        <v>105</v>
      </c>
      <c r="AD8">
        <f t="shared" si="10"/>
        <v>105</v>
      </c>
      <c r="AE8">
        <f t="shared" si="10"/>
        <v>105</v>
      </c>
      <c r="AF8">
        <f t="shared" si="10"/>
        <v>105</v>
      </c>
      <c r="AG8">
        <f t="shared" ref="AG8:AM8" si="11">+AF8</f>
        <v>105</v>
      </c>
      <c r="AH8">
        <f t="shared" si="11"/>
        <v>105</v>
      </c>
      <c r="AI8">
        <f t="shared" si="11"/>
        <v>105</v>
      </c>
      <c r="AJ8">
        <f t="shared" si="11"/>
        <v>105</v>
      </c>
      <c r="AK8">
        <f t="shared" si="11"/>
        <v>105</v>
      </c>
      <c r="AL8">
        <f t="shared" si="11"/>
        <v>105</v>
      </c>
      <c r="AM8">
        <f t="shared" si="11"/>
        <v>105</v>
      </c>
    </row>
    <row r="10" spans="2:59" s="13" customFormat="1">
      <c r="B10" s="13" t="s">
        <v>79</v>
      </c>
      <c r="C10" s="13">
        <f>+Statements!C14</f>
        <v>4.3651139780576997</v>
      </c>
      <c r="D10" s="13">
        <f>+Statements!D14</f>
        <v>3.5547099282296655</v>
      </c>
      <c r="E10" s="13">
        <f>+Statements!E14</f>
        <v>3.7596565697091271</v>
      </c>
      <c r="F10" s="13">
        <f>+Statements!F14</f>
        <v>3.4573497384227854</v>
      </c>
      <c r="G10" s="13">
        <f>+Statements!G14</f>
        <v>3.8584645015105745</v>
      </c>
      <c r="H10" s="13">
        <f>+Statements!H14</f>
        <v>4.4272160493827162</v>
      </c>
      <c r="I10" s="13">
        <f>+Statements!I14</f>
        <v>4.0635207696457467</v>
      </c>
      <c r="J10" s="13">
        <f>+Statements!J14</f>
        <v>0</v>
      </c>
      <c r="L10" s="13">
        <f>+Statements!L14</f>
        <v>4.1769555976331381</v>
      </c>
      <c r="M10" s="13">
        <f>+Statements!M14</f>
        <v>3.8204942965779467</v>
      </c>
      <c r="N10" s="13">
        <f>+Statements!N14</f>
        <v>3.7791667994423421</v>
      </c>
      <c r="O10" s="13">
        <f>+Statements!O14</f>
        <v>4.0635207696457467</v>
      </c>
      <c r="P10" s="13">
        <f>+Statements!P14</f>
        <v>4.0999999999999996</v>
      </c>
      <c r="Q10" s="13">
        <f>+Statements!Q14</f>
        <v>4.0999999999999996</v>
      </c>
      <c r="R10" s="13">
        <f>+Statements!R14</f>
        <v>4.0999999999999996</v>
      </c>
      <c r="S10" s="13">
        <f>+Statements!S14</f>
        <v>4.0999999999999996</v>
      </c>
      <c r="T10" s="13">
        <f>+Statements!T14</f>
        <v>4.0999999999999996</v>
      </c>
      <c r="U10" s="13">
        <f>+Statements!U14</f>
        <v>4.0999999999999996</v>
      </c>
      <c r="V10" s="13">
        <f>+Statements!V14</f>
        <v>4.0999999999999996</v>
      </c>
      <c r="W10" s="13">
        <f>+Statements!W14</f>
        <v>4.0999999999999996</v>
      </c>
      <c r="X10" s="13">
        <f>+Statements!X14</f>
        <v>4.0999999999999996</v>
      </c>
      <c r="Y10" s="13">
        <f>+X10*1.01</f>
        <v>4.141</v>
      </c>
      <c r="Z10" s="13">
        <f t="shared" ref="Z10:AF10" si="12">+Y10*1.01</f>
        <v>4.18241</v>
      </c>
      <c r="AA10" s="13">
        <f t="shared" si="12"/>
        <v>4.2242341000000003</v>
      </c>
      <c r="AB10" s="13">
        <f t="shared" si="12"/>
        <v>4.266476441</v>
      </c>
      <c r="AC10" s="13">
        <f t="shared" si="12"/>
        <v>4.3091412054100005</v>
      </c>
      <c r="AD10" s="13">
        <f t="shared" si="12"/>
        <v>4.3522326174641002</v>
      </c>
      <c r="AE10" s="13">
        <f t="shared" si="12"/>
        <v>4.3957549436387415</v>
      </c>
      <c r="AF10" s="13">
        <f t="shared" si="12"/>
        <v>4.4397124930751293</v>
      </c>
      <c r="AG10" s="13">
        <f t="shared" ref="AG10:AM10" si="13">+AF10*1.01</f>
        <v>4.4841096180058804</v>
      </c>
      <c r="AH10" s="13">
        <f t="shared" si="13"/>
        <v>4.5289507141859389</v>
      </c>
      <c r="AI10" s="13">
        <f t="shared" si="13"/>
        <v>4.5742402213277984</v>
      </c>
      <c r="AJ10" s="13">
        <f t="shared" si="13"/>
        <v>4.6199826235410768</v>
      </c>
      <c r="AK10" s="13">
        <f t="shared" si="13"/>
        <v>4.6661824497764872</v>
      </c>
      <c r="AL10" s="13">
        <f t="shared" si="13"/>
        <v>4.7128442742742518</v>
      </c>
      <c r="AM10" s="13">
        <f t="shared" si="13"/>
        <v>4.7599727170169945</v>
      </c>
    </row>
    <row r="11" spans="2:59" s="13" customFormat="1">
      <c r="B11" s="13" t="s">
        <v>80</v>
      </c>
      <c r="L11" s="13">
        <f>+Statements!L15</f>
        <v>15.737235382308846</v>
      </c>
      <c r="M11" s="13">
        <f>+Statements!M15</f>
        <v>20.686852941176468</v>
      </c>
      <c r="N11" s="13">
        <f>+Statements!N15</f>
        <v>19.056101351351352</v>
      </c>
      <c r="O11" s="13">
        <v>20</v>
      </c>
      <c r="P11" s="13">
        <v>20</v>
      </c>
      <c r="Q11" s="13">
        <v>20</v>
      </c>
      <c r="R11" s="13">
        <v>20</v>
      </c>
      <c r="S11" s="13">
        <v>20</v>
      </c>
      <c r="T11" s="13">
        <v>20</v>
      </c>
      <c r="U11" s="13">
        <v>20</v>
      </c>
      <c r="V11" s="13">
        <v>20</v>
      </c>
      <c r="W11" s="13">
        <v>20</v>
      </c>
      <c r="X11" s="13">
        <v>20</v>
      </c>
      <c r="Y11" s="13">
        <f>+X11*1.01</f>
        <v>20.2</v>
      </c>
      <c r="Z11" s="13">
        <f t="shared" ref="Z11:AF11" si="14">+Y11*1.01</f>
        <v>20.402000000000001</v>
      </c>
      <c r="AA11" s="13">
        <f t="shared" si="14"/>
        <v>20.606020000000001</v>
      </c>
      <c r="AB11" s="13">
        <f t="shared" si="14"/>
        <v>20.8120802</v>
      </c>
      <c r="AC11" s="13">
        <f t="shared" si="14"/>
        <v>21.020201002</v>
      </c>
      <c r="AD11" s="13">
        <f t="shared" si="14"/>
        <v>21.230403012020002</v>
      </c>
      <c r="AE11" s="13">
        <f t="shared" si="14"/>
        <v>21.442707042140203</v>
      </c>
      <c r="AF11" s="13">
        <f t="shared" si="14"/>
        <v>21.657134112561604</v>
      </c>
      <c r="AG11" s="13">
        <f t="shared" ref="AG11:AM11" si="15">+AF11*1.01</f>
        <v>21.873705453687219</v>
      </c>
      <c r="AH11" s="13">
        <f t="shared" si="15"/>
        <v>22.092442508224092</v>
      </c>
      <c r="AI11" s="13">
        <f t="shared" si="15"/>
        <v>22.313366933306334</v>
      </c>
      <c r="AJ11" s="13">
        <f t="shared" si="15"/>
        <v>22.536500602639396</v>
      </c>
      <c r="AK11" s="13">
        <f t="shared" si="15"/>
        <v>22.76186560866579</v>
      </c>
      <c r="AL11" s="13">
        <f t="shared" si="15"/>
        <v>22.989484264752448</v>
      </c>
      <c r="AM11" s="13">
        <f t="shared" si="15"/>
        <v>23.219379107399973</v>
      </c>
    </row>
    <row r="12" spans="2:59" s="13" customFormat="1">
      <c r="B12" s="13" t="s">
        <v>81</v>
      </c>
      <c r="L12" s="13">
        <f>+Statements!L16</f>
        <v>24.745594736842104</v>
      </c>
      <c r="M12" s="13">
        <f>+Statements!M16</f>
        <v>21.608387096774191</v>
      </c>
      <c r="N12" s="13">
        <f>+Statements!N16</f>
        <v>22.588239130434786</v>
      </c>
      <c r="O12" s="13">
        <v>23</v>
      </c>
      <c r="P12" s="13">
        <v>23</v>
      </c>
      <c r="Q12" s="13">
        <v>23</v>
      </c>
      <c r="R12" s="13">
        <v>23</v>
      </c>
      <c r="S12" s="13">
        <v>23</v>
      </c>
      <c r="T12" s="13">
        <v>23</v>
      </c>
      <c r="U12" s="13">
        <v>23</v>
      </c>
      <c r="V12" s="13">
        <v>23</v>
      </c>
      <c r="W12" s="13">
        <v>23</v>
      </c>
      <c r="X12" s="13">
        <v>23</v>
      </c>
      <c r="Y12" s="13">
        <f>+X12*1.01</f>
        <v>23.23</v>
      </c>
      <c r="Z12" s="13">
        <f t="shared" ref="Z12" si="16">+Y12*1.01</f>
        <v>23.462299999999999</v>
      </c>
      <c r="AA12" s="13">
        <f>+Z12*1.02</f>
        <v>23.931546000000001</v>
      </c>
      <c r="AB12" s="13">
        <f t="shared" ref="AB12:AF12" si="17">+AA12*1.02</f>
        <v>24.410176920000001</v>
      </c>
      <c r="AC12" s="13">
        <f t="shared" si="17"/>
        <v>24.898380458400002</v>
      </c>
      <c r="AD12" s="13">
        <f t="shared" si="17"/>
        <v>25.396348067568002</v>
      </c>
      <c r="AE12" s="13">
        <f t="shared" si="17"/>
        <v>25.904275028919361</v>
      </c>
      <c r="AF12" s="13">
        <f t="shared" si="17"/>
        <v>26.422360529497748</v>
      </c>
      <c r="AG12" s="13">
        <f t="shared" ref="AG12:AM12" si="18">+AF12*1.02</f>
        <v>26.950807740087704</v>
      </c>
      <c r="AH12" s="13">
        <f t="shared" si="18"/>
        <v>27.489823894889458</v>
      </c>
      <c r="AI12" s="13">
        <f t="shared" si="18"/>
        <v>28.039620372787248</v>
      </c>
      <c r="AJ12" s="13">
        <f t="shared" si="18"/>
        <v>28.600412780242994</v>
      </c>
      <c r="AK12" s="13">
        <f t="shared" si="18"/>
        <v>29.172421035847854</v>
      </c>
      <c r="AL12" s="13">
        <f t="shared" si="18"/>
        <v>29.755869456564813</v>
      </c>
      <c r="AM12" s="13">
        <f t="shared" si="18"/>
        <v>30.350986845696109</v>
      </c>
    </row>
    <row r="13" spans="2:59" s="13" customFormat="1">
      <c r="B13" s="13" t="s">
        <v>82</v>
      </c>
      <c r="L13" s="13">
        <f>+Statements!L17</f>
        <v>2.0001402439024392</v>
      </c>
      <c r="M13" s="13">
        <f>+Statements!M17</f>
        <v>2.8100702947845799</v>
      </c>
      <c r="N13" s="13">
        <f>+Statements!N17</f>
        <v>2.0559141274238226</v>
      </c>
      <c r="O13" s="13">
        <v>1.2</v>
      </c>
      <c r="P13" s="13">
        <v>1.2</v>
      </c>
      <c r="Q13" s="13">
        <v>1.2</v>
      </c>
      <c r="R13" s="13">
        <v>1.2</v>
      </c>
      <c r="S13" s="13">
        <v>1.2</v>
      </c>
      <c r="T13" s="13">
        <v>1.2</v>
      </c>
      <c r="U13" s="13">
        <v>1.2</v>
      </c>
      <c r="V13" s="13">
        <f>+U13*1.01</f>
        <v>1.212</v>
      </c>
      <c r="W13" s="13">
        <f>+V13*1.01</f>
        <v>1.2241199999999999</v>
      </c>
      <c r="X13" s="13">
        <f>+W13*1.01</f>
        <v>1.2363611999999999</v>
      </c>
      <c r="Y13" s="13">
        <f>+X13*1.01</f>
        <v>1.2487248119999999</v>
      </c>
      <c r="Z13" s="13">
        <f>+Y13*1.01</f>
        <v>1.2612120601199999</v>
      </c>
      <c r="AA13" s="13">
        <f>+Z13*1.02</f>
        <v>1.2864363013223998</v>
      </c>
      <c r="AB13" s="13">
        <f>+AA13*1.02</f>
        <v>1.3121650273488479</v>
      </c>
      <c r="AC13" s="13">
        <f>+AB13*1.02</f>
        <v>1.3384083278958248</v>
      </c>
      <c r="AD13" s="13">
        <f>+AC13*1.02</f>
        <v>1.3651764944537412</v>
      </c>
      <c r="AE13" s="13">
        <f>+AD13*1.02</f>
        <v>1.3924800243428161</v>
      </c>
      <c r="AF13" s="13">
        <f>+AE13*1.02</f>
        <v>1.4203296248296724</v>
      </c>
      <c r="AG13" s="13">
        <f t="shared" ref="AG13:AM13" si="19">+AF13*1.02</f>
        <v>1.4487362173262659</v>
      </c>
      <c r="AH13" s="13">
        <f t="shared" si="19"/>
        <v>1.4777109416727912</v>
      </c>
      <c r="AI13" s="13">
        <f t="shared" si="19"/>
        <v>1.507265160506247</v>
      </c>
      <c r="AJ13" s="13">
        <f t="shared" si="19"/>
        <v>1.5374104637163719</v>
      </c>
      <c r="AK13" s="13">
        <f t="shared" si="19"/>
        <v>1.5681586729906993</v>
      </c>
      <c r="AL13" s="13">
        <f t="shared" si="19"/>
        <v>1.5995218464505134</v>
      </c>
      <c r="AM13" s="13">
        <f t="shared" si="19"/>
        <v>1.6315122833795237</v>
      </c>
    </row>
    <row r="14" spans="2:59" s="1" customFormat="1">
      <c r="B14" s="1" t="s">
        <v>95</v>
      </c>
      <c r="U14" s="1">
        <v>2100</v>
      </c>
      <c r="V14" s="1">
        <v>2100</v>
      </c>
      <c r="W14" s="1">
        <v>2100</v>
      </c>
      <c r="X14" s="1">
        <v>2200</v>
      </c>
      <c r="Y14" s="1">
        <v>2200</v>
      </c>
      <c r="Z14" s="1">
        <v>2000</v>
      </c>
      <c r="AA14" s="1">
        <v>2000</v>
      </c>
      <c r="AB14" s="1">
        <f t="shared" ref="AB14:AF14" si="20">+AA14</f>
        <v>2000</v>
      </c>
      <c r="AC14" s="1">
        <f t="shared" si="20"/>
        <v>2000</v>
      </c>
      <c r="AD14" s="1">
        <f t="shared" si="20"/>
        <v>2000</v>
      </c>
      <c r="AE14" s="1">
        <f t="shared" si="20"/>
        <v>2000</v>
      </c>
      <c r="AF14" s="1">
        <f t="shared" si="20"/>
        <v>2000</v>
      </c>
      <c r="AG14" s="1">
        <f t="shared" ref="AG14:AM14" si="21">+AF14</f>
        <v>2000</v>
      </c>
      <c r="AH14" s="1">
        <f t="shared" si="21"/>
        <v>2000</v>
      </c>
      <c r="AI14" s="1">
        <f t="shared" si="21"/>
        <v>2000</v>
      </c>
      <c r="AJ14" s="1">
        <f t="shared" si="21"/>
        <v>2000</v>
      </c>
      <c r="AK14" s="1">
        <f t="shared" si="21"/>
        <v>2000</v>
      </c>
      <c r="AL14" s="1">
        <f t="shared" si="21"/>
        <v>2000</v>
      </c>
      <c r="AM14" s="1">
        <f t="shared" si="21"/>
        <v>2000</v>
      </c>
    </row>
    <row r="16" spans="2:59" s="1" customFormat="1">
      <c r="B16" s="1" t="s">
        <v>83</v>
      </c>
      <c r="L16" s="1">
        <f t="shared" ref="L16:Q16" si="22">+L4*L10</f>
        <v>8823.8187000000016</v>
      </c>
      <c r="M16" s="1">
        <f t="shared" si="22"/>
        <v>7535.9249999999993</v>
      </c>
      <c r="N16" s="1">
        <f t="shared" si="22"/>
        <v>7590.0785999999998</v>
      </c>
      <c r="O16" s="1">
        <f t="shared" si="22"/>
        <v>8734.5378943535325</v>
      </c>
      <c r="P16" s="1">
        <f t="shared" si="22"/>
        <v>8842.7969585999981</v>
      </c>
      <c r="Q16" s="1">
        <f t="shared" si="22"/>
        <v>8798.582973806997</v>
      </c>
      <c r="R16" s="1">
        <f t="shared" ref="R16:W16" si="23">+R4*R10</f>
        <v>10164.867058937962</v>
      </c>
      <c r="S16" s="1">
        <f t="shared" si="23"/>
        <v>8710.8171086432721</v>
      </c>
      <c r="T16" s="1">
        <f t="shared" si="23"/>
        <v>8667.2630231000567</v>
      </c>
      <c r="U16" s="1">
        <f t="shared" si="23"/>
        <v>8623.9267079845558</v>
      </c>
      <c r="V16" s="1">
        <f t="shared" si="23"/>
        <v>8580.8070744446341</v>
      </c>
      <c r="W16" s="1">
        <f t="shared" si="23"/>
        <v>9554.7030390724103</v>
      </c>
      <c r="X16" s="1">
        <f t="shared" ref="X16:Y16" si="24">+X4*X10</f>
        <v>10122.093523877049</v>
      </c>
      <c r="Y16" s="1">
        <f t="shared" si="24"/>
        <v>12277.250459115819</v>
      </c>
      <c r="Z16" s="1">
        <f t="shared" ref="Z16:AF16" si="25">+Z4*Z10</f>
        <v>12400.022963706979</v>
      </c>
      <c r="AA16" s="1">
        <f t="shared" si="25"/>
        <v>10983.008660000001</v>
      </c>
      <c r="AB16" s="1">
        <f t="shared" si="25"/>
        <v>11092.8387466</v>
      </c>
      <c r="AC16" s="1">
        <f t="shared" si="25"/>
        <v>11203.767134066002</v>
      </c>
      <c r="AD16" s="1">
        <f t="shared" si="25"/>
        <v>11315.80480540666</v>
      </c>
      <c r="AE16" s="1">
        <f t="shared" si="25"/>
        <v>11428.962853460727</v>
      </c>
      <c r="AF16" s="1">
        <f t="shared" si="25"/>
        <v>11099.281232687823</v>
      </c>
      <c r="AG16" s="1">
        <f t="shared" ref="AG16:AM16" si="26">+AG4*AG10</f>
        <v>11210.274045014701</v>
      </c>
      <c r="AH16" s="1">
        <f t="shared" si="26"/>
        <v>11322.376785464847</v>
      </c>
      <c r="AI16" s="1">
        <f t="shared" si="26"/>
        <v>11435.600553319497</v>
      </c>
      <c r="AJ16" s="1">
        <f t="shared" si="26"/>
        <v>11549.956558852691</v>
      </c>
      <c r="AK16" s="1">
        <f t="shared" si="26"/>
        <v>11665.456124441218</v>
      </c>
      <c r="AL16" s="1">
        <f t="shared" si="26"/>
        <v>11782.11068568563</v>
      </c>
      <c r="AM16" s="1">
        <f t="shared" si="26"/>
        <v>11899.931792542486</v>
      </c>
    </row>
    <row r="17" spans="2:59" s="1" customFormat="1">
      <c r="B17" s="1" t="s">
        <v>84</v>
      </c>
      <c r="L17" s="1">
        <f t="shared" ref="L17:T17" si="27">+(L5*L11) + (L6*L12) + (L7*L13)</f>
        <v>1815.0606</v>
      </c>
      <c r="M17" s="1">
        <f t="shared" si="27"/>
        <v>1969.3883999999998</v>
      </c>
      <c r="N17" s="1">
        <f t="shared" si="27"/>
        <v>1840.6188</v>
      </c>
      <c r="O17" s="1">
        <f t="shared" si="27"/>
        <v>1951.6056799999999</v>
      </c>
      <c r="P17" s="1">
        <f t="shared" si="27"/>
        <v>2007.6257175199999</v>
      </c>
      <c r="Q17" s="1">
        <f t="shared" si="27"/>
        <v>2056.1979924719999</v>
      </c>
      <c r="R17" s="1">
        <f t="shared" si="27"/>
        <v>2109.6424378871998</v>
      </c>
      <c r="S17" s="1">
        <f t="shared" si="27"/>
        <v>2168.3707733822403</v>
      </c>
      <c r="T17" s="1">
        <f t="shared" si="27"/>
        <v>2168.3707733822403</v>
      </c>
      <c r="U17" s="1">
        <f>+(U5*U11) + (U6*U12) + (U7*U13) + ((U8*U14)/10^3)</f>
        <v>2322.7207733822402</v>
      </c>
      <c r="V17" s="1">
        <f>+(V5*V11) + (V6*V12) + (V7*V13) + ((V8*V14)/10^3)</f>
        <v>2679.4304025696315</v>
      </c>
      <c r="W17" s="1">
        <f t="shared" ref="W17:AF17" si="28">+(W5*W11) + (W6*W12) + (W7*W13) + ((W8*W14)/10^3)</f>
        <v>2398.2366280488964</v>
      </c>
      <c r="X17" s="1">
        <f t="shared" si="28"/>
        <v>2413.4899157829541</v>
      </c>
      <c r="Y17" s="1">
        <f t="shared" si="28"/>
        <v>2545.5305556878229</v>
      </c>
      <c r="Z17" s="1">
        <f t="shared" si="28"/>
        <v>2664.5596543069364</v>
      </c>
      <c r="AA17" s="1">
        <f t="shared" si="28"/>
        <v>2825.5966430542471</v>
      </c>
      <c r="AB17" s="1">
        <f t="shared" si="28"/>
        <v>2997.2664348267535</v>
      </c>
      <c r="AC17" s="1">
        <f t="shared" si="28"/>
        <v>3180.2755088371055</v>
      </c>
      <c r="AD17" s="1">
        <f t="shared" si="28"/>
        <v>3375.37757310902</v>
      </c>
      <c r="AE17" s="1">
        <f t="shared" si="28"/>
        <v>3583.3767403844822</v>
      </c>
      <c r="AF17" s="1">
        <f t="shared" si="28"/>
        <v>3805.1309187913766</v>
      </c>
      <c r="AG17" s="1">
        <f t="shared" ref="AG17:AM17" si="29">+(AG5*AG11) + (AG6*AG12) + (AG7*AG13) + ((AG8*AG14)/10^3)</f>
        <v>4041.5554318704562</v>
      </c>
      <c r="AH17" s="1">
        <f t="shared" si="29"/>
        <v>4293.6268835577666</v>
      </c>
      <c r="AI17" s="1">
        <f t="shared" si="29"/>
        <v>4562.3872847843604</v>
      </c>
      <c r="AJ17" s="1">
        <f t="shared" si="29"/>
        <v>4848.9484594939277</v>
      </c>
      <c r="AK17" s="1">
        <f t="shared" si="29"/>
        <v>5154.4967490960116</v>
      </c>
      <c r="AL17" s="1">
        <f t="shared" si="29"/>
        <v>5480.2980356730131</v>
      </c>
      <c r="AM17" s="1">
        <f t="shared" si="29"/>
        <v>5827.7031056491496</v>
      </c>
    </row>
    <row r="18" spans="2:59" s="4" customFormat="1">
      <c r="B18" s="4" t="s">
        <v>85</v>
      </c>
      <c r="L18" s="4">
        <f>+SUM(L16:L17)</f>
        <v>10638.879300000002</v>
      </c>
      <c r="M18" s="4">
        <f t="shared" ref="M18:Z18" si="30">+SUM(M16:M17)</f>
        <v>9505.3133999999991</v>
      </c>
      <c r="N18" s="4">
        <f t="shared" si="30"/>
        <v>9430.6973999999991</v>
      </c>
      <c r="O18" s="4">
        <f t="shared" si="30"/>
        <v>10686.143574353533</v>
      </c>
      <c r="P18" s="4">
        <f t="shared" si="30"/>
        <v>10850.422676119997</v>
      </c>
      <c r="Q18" s="4">
        <f t="shared" si="30"/>
        <v>10854.780966278997</v>
      </c>
      <c r="R18" s="4">
        <f t="shared" si="30"/>
        <v>12274.509496825161</v>
      </c>
      <c r="S18" s="4">
        <f t="shared" si="30"/>
        <v>10879.187882025511</v>
      </c>
      <c r="T18" s="4">
        <f t="shared" si="30"/>
        <v>10835.633796482296</v>
      </c>
      <c r="U18" s="4">
        <f t="shared" si="30"/>
        <v>10946.647481366796</v>
      </c>
      <c r="V18" s="4">
        <f t="shared" si="30"/>
        <v>11260.237477014265</v>
      </c>
      <c r="W18" s="4">
        <f t="shared" si="30"/>
        <v>11952.939667121307</v>
      </c>
      <c r="X18" s="4">
        <f t="shared" si="30"/>
        <v>12535.583439660004</v>
      </c>
      <c r="Y18" s="4">
        <f t="shared" si="30"/>
        <v>14822.781014803642</v>
      </c>
      <c r="Z18" s="4">
        <f t="shared" si="30"/>
        <v>15064.582618013916</v>
      </c>
      <c r="AA18" s="4">
        <f t="shared" ref="AA18" si="31">+SUM(AA16:AA17)</f>
        <v>13808.605303054248</v>
      </c>
      <c r="AB18" s="4">
        <f t="shared" ref="AB18" si="32">+SUM(AB16:AB17)</f>
        <v>14090.105181426754</v>
      </c>
      <c r="AC18" s="4">
        <f t="shared" ref="AC18" si="33">+SUM(AC16:AC17)</f>
        <v>14384.042642903107</v>
      </c>
      <c r="AD18" s="4">
        <f t="shared" ref="AD18" si="34">+SUM(AD16:AD17)</f>
        <v>14691.182378515681</v>
      </c>
      <c r="AE18" s="4">
        <f t="shared" ref="AE18" si="35">+SUM(AE16:AE17)</f>
        <v>15012.339593845209</v>
      </c>
      <c r="AF18" s="4">
        <f t="shared" ref="AF18" si="36">+SUM(AF16:AF17)</f>
        <v>14904.412151479199</v>
      </c>
      <c r="AG18" s="4">
        <f t="shared" ref="AG18" si="37">+SUM(AG16:AG17)</f>
        <v>15251.829476885157</v>
      </c>
      <c r="AH18" s="4">
        <f t="shared" ref="AH18" si="38">+SUM(AH16:AH17)</f>
        <v>15616.003669022613</v>
      </c>
      <c r="AI18" s="4">
        <f t="shared" ref="AI18" si="39">+SUM(AI16:AI17)</f>
        <v>15997.987838103858</v>
      </c>
      <c r="AJ18" s="4">
        <f t="shared" ref="AJ18" si="40">+SUM(AJ16:AJ17)</f>
        <v>16398.905018346617</v>
      </c>
      <c r="AK18" s="4">
        <f t="shared" ref="AK18" si="41">+SUM(AK16:AK17)</f>
        <v>16819.95287353723</v>
      </c>
      <c r="AL18" s="4">
        <f t="shared" ref="AL18" si="42">+SUM(AL16:AL17)</f>
        <v>17262.408721358643</v>
      </c>
      <c r="AM18" s="4">
        <f t="shared" ref="AM18" si="43">+SUM(AM16:AM17)</f>
        <v>17727.634898191634</v>
      </c>
    </row>
    <row r="19" spans="2:59" s="15" customFormat="1">
      <c r="B19" s="19" t="s">
        <v>86</v>
      </c>
      <c r="L19" s="15">
        <v>2</v>
      </c>
      <c r="M19" s="15">
        <v>2</v>
      </c>
      <c r="N19" s="15">
        <v>2</v>
      </c>
      <c r="O19" s="15">
        <v>2</v>
      </c>
      <c r="P19" s="15">
        <v>2</v>
      </c>
      <c r="Q19" s="15">
        <v>2</v>
      </c>
      <c r="R19" s="15">
        <v>2</v>
      </c>
      <c r="S19" s="15">
        <v>2</v>
      </c>
      <c r="T19" s="15">
        <v>2</v>
      </c>
      <c r="U19" s="15">
        <v>2</v>
      </c>
      <c r="V19" s="15">
        <v>2</v>
      </c>
      <c r="W19" s="15">
        <v>2</v>
      </c>
      <c r="X19" s="15">
        <v>2</v>
      </c>
      <c r="Y19" s="15">
        <v>2</v>
      </c>
      <c r="Z19" s="15">
        <v>2</v>
      </c>
      <c r="AA19" s="15">
        <v>2</v>
      </c>
      <c r="AB19" s="15">
        <v>2</v>
      </c>
      <c r="AC19" s="15">
        <v>2</v>
      </c>
      <c r="AD19" s="15">
        <v>2</v>
      </c>
      <c r="AE19" s="15">
        <v>2</v>
      </c>
      <c r="AF19" s="15">
        <v>2</v>
      </c>
      <c r="AG19" s="15">
        <v>2</v>
      </c>
      <c r="AH19" s="15">
        <v>2</v>
      </c>
      <c r="AI19" s="15">
        <v>2</v>
      </c>
      <c r="AJ19" s="15">
        <v>2</v>
      </c>
      <c r="AK19" s="15">
        <v>2</v>
      </c>
      <c r="AL19" s="15">
        <v>2</v>
      </c>
      <c r="AM19" s="15">
        <v>2</v>
      </c>
    </row>
    <row r="20" spans="2:59" s="13" customFormat="1">
      <c r="B20" s="20" t="s">
        <v>90</v>
      </c>
      <c r="L20" s="13">
        <f>+L17/L4</f>
        <v>0.85920028402366888</v>
      </c>
      <c r="M20" s="13">
        <f>+M17/M4</f>
        <v>0.99842250950570344</v>
      </c>
      <c r="N20" s="13">
        <f>+N17/N4</f>
        <v>0.91646026687910775</v>
      </c>
      <c r="O20" s="13">
        <f>+O17/O4</f>
        <v>0.90793471970225625</v>
      </c>
      <c r="P20" s="13">
        <f t="shared" ref="P20:W20" si="44">+P17/P4</f>
        <v>0.93084410739825263</v>
      </c>
      <c r="Q20" s="13">
        <f t="shared" si="44"/>
        <v>0.95815562508555885</v>
      </c>
      <c r="R20" s="13">
        <f t="shared" si="44"/>
        <v>0.8509244582527018</v>
      </c>
      <c r="S20" s="13">
        <f t="shared" si="44"/>
        <v>1.0206069143669427</v>
      </c>
      <c r="T20" s="13">
        <f t="shared" si="44"/>
        <v>1.0257355923285856</v>
      </c>
      <c r="U20" s="13">
        <f t="shared" si="44"/>
        <v>1.1042713479985942</v>
      </c>
      <c r="V20" s="13">
        <f t="shared" si="44"/>
        <v>1.2802600682228369</v>
      </c>
      <c r="W20" s="13">
        <f t="shared" si="44"/>
        <v>1.0291026455548595</v>
      </c>
      <c r="X20" s="13">
        <f t="shared" ref="X20:Y20" si="45">+X17/X4</f>
        <v>0.97759506285612019</v>
      </c>
      <c r="Y20" s="13">
        <f t="shared" si="45"/>
        <v>0.85858328509349457</v>
      </c>
      <c r="Z20" s="13">
        <f t="shared" ref="Z20:AF20" si="46">+Z17/Z4</f>
        <v>0.89873066980500971</v>
      </c>
      <c r="AA20" s="13">
        <f t="shared" si="46"/>
        <v>1.0867679396362488</v>
      </c>
      <c r="AB20" s="13">
        <f t="shared" si="46"/>
        <v>1.1527947826256744</v>
      </c>
      <c r="AC20" s="13">
        <f t="shared" si="46"/>
        <v>1.2231828880142714</v>
      </c>
      <c r="AD20" s="13">
        <f t="shared" si="46"/>
        <v>1.2982221435034693</v>
      </c>
      <c r="AE20" s="13">
        <f t="shared" si="46"/>
        <v>1.3782218232248009</v>
      </c>
      <c r="AF20" s="13">
        <f t="shared" si="46"/>
        <v>1.5220523675165507</v>
      </c>
      <c r="AG20" s="13">
        <f t="shared" ref="AG20:AM20" si="47">+AG17/AG4</f>
        <v>1.6166221727481824</v>
      </c>
      <c r="AH20" s="13">
        <f t="shared" si="47"/>
        <v>1.7174507534231067</v>
      </c>
      <c r="AI20" s="13">
        <f t="shared" si="47"/>
        <v>1.8249549139137442</v>
      </c>
      <c r="AJ20" s="13">
        <f t="shared" si="47"/>
        <v>1.939579383797571</v>
      </c>
      <c r="AK20" s="13">
        <f t="shared" si="47"/>
        <v>2.0617986996384046</v>
      </c>
      <c r="AL20" s="13">
        <f t="shared" si="47"/>
        <v>2.1921192142692054</v>
      </c>
      <c r="AM20" s="13">
        <f t="shared" si="47"/>
        <v>2.3310812422596601</v>
      </c>
    </row>
    <row r="21" spans="2:59" s="11" customFormat="1">
      <c r="B21" s="11" t="s">
        <v>87</v>
      </c>
      <c r="L21" s="11">
        <f>+L19-L20</f>
        <v>1.140799715976331</v>
      </c>
      <c r="M21" s="11">
        <f>+M19-M20</f>
        <v>1.0015774904942965</v>
      </c>
      <c r="N21" s="11">
        <f>+N19-N20</f>
        <v>1.0835397331208922</v>
      </c>
      <c r="O21" s="11">
        <f>+O19-O20</f>
        <v>1.0920652802977437</v>
      </c>
      <c r="P21" s="11">
        <f t="shared" ref="P21:Z21" si="48">+P19-P20</f>
        <v>1.0691558926017475</v>
      </c>
      <c r="Q21" s="11">
        <f t="shared" si="48"/>
        <v>1.041844374914441</v>
      </c>
      <c r="R21" s="11">
        <f t="shared" si="48"/>
        <v>1.1490755417472982</v>
      </c>
      <c r="S21" s="11">
        <f t="shared" si="48"/>
        <v>0.97939308563305727</v>
      </c>
      <c r="T21" s="11">
        <f t="shared" si="48"/>
        <v>0.97426440767141442</v>
      </c>
      <c r="U21" s="11">
        <f t="shared" si="48"/>
        <v>0.89572865200140583</v>
      </c>
      <c r="V21" s="11">
        <f t="shared" si="48"/>
        <v>0.71973993177716311</v>
      </c>
      <c r="W21" s="11">
        <f t="shared" si="48"/>
        <v>0.97089735444514047</v>
      </c>
      <c r="X21" s="11">
        <f t="shared" si="48"/>
        <v>1.0224049371438797</v>
      </c>
      <c r="Y21" s="11">
        <f t="shared" si="48"/>
        <v>1.1414167149065055</v>
      </c>
      <c r="Z21" s="11">
        <f t="shared" si="48"/>
        <v>1.1012693301949903</v>
      </c>
      <c r="AA21" s="11">
        <f t="shared" ref="AA21" si="49">+AA19-AA20</f>
        <v>0.91323206036375115</v>
      </c>
      <c r="AB21" s="11">
        <f t="shared" ref="AB21" si="50">+AB19-AB20</f>
        <v>0.84720521737432564</v>
      </c>
      <c r="AC21" s="11">
        <f t="shared" ref="AC21" si="51">+AC19-AC20</f>
        <v>0.77681711198572856</v>
      </c>
      <c r="AD21" s="11">
        <f t="shared" ref="AD21" si="52">+AD19-AD20</f>
        <v>0.70177785649653068</v>
      </c>
      <c r="AE21" s="11">
        <f t="shared" ref="AE21" si="53">+AE19-AE20</f>
        <v>0.62177817677519909</v>
      </c>
      <c r="AF21" s="11">
        <f t="shared" ref="AF21" si="54">+AF19-AF20</f>
        <v>0.47794763248344929</v>
      </c>
      <c r="AG21" s="11">
        <f t="shared" ref="AG21" si="55">+AG19-AG20</f>
        <v>0.38337782725181757</v>
      </c>
      <c r="AH21" s="11">
        <f t="shared" ref="AH21" si="56">+AH19-AH20</f>
        <v>0.28254924657689329</v>
      </c>
      <c r="AI21" s="11">
        <f>+AH21</f>
        <v>0.28254924657689329</v>
      </c>
      <c r="AJ21" s="11">
        <f t="shared" ref="AJ21:AM21" si="57">+AI21</f>
        <v>0.28254924657689329</v>
      </c>
      <c r="AK21" s="11">
        <f t="shared" si="57"/>
        <v>0.28254924657689329</v>
      </c>
      <c r="AL21" s="11">
        <f t="shared" si="57"/>
        <v>0.28254924657689329</v>
      </c>
      <c r="AM21" s="11">
        <f t="shared" si="57"/>
        <v>0.28254924657689329</v>
      </c>
    </row>
    <row r="22" spans="2:59" s="14" customFormat="1">
      <c r="B22" s="14" t="s">
        <v>89</v>
      </c>
      <c r="L22" s="14">
        <v>-892.3</v>
      </c>
      <c r="M22" s="14">
        <v>-948.5</v>
      </c>
      <c r="N22" s="14">
        <v>-1008.6</v>
      </c>
      <c r="O22" s="14">
        <v>-920</v>
      </c>
      <c r="P22" s="14">
        <f>AVERAGE(L22:O22)</f>
        <v>-942.35</v>
      </c>
      <c r="Q22" s="14">
        <f t="shared" ref="Q22:X22" si="58">AVERAGE(M22:P22)</f>
        <v>-954.86249999999995</v>
      </c>
      <c r="R22" s="14">
        <f t="shared" si="58"/>
        <v>-956.453125</v>
      </c>
      <c r="S22" s="14">
        <f t="shared" si="58"/>
        <v>-943.41640624999991</v>
      </c>
      <c r="T22" s="14">
        <f t="shared" si="58"/>
        <v>-949.2705078125</v>
      </c>
      <c r="U22" s="14">
        <v>-1542</v>
      </c>
      <c r="V22" s="14">
        <f t="shared" si="58"/>
        <v>-1097.7850097656251</v>
      </c>
      <c r="W22" s="14">
        <f t="shared" si="58"/>
        <v>-1133.1179809570312</v>
      </c>
      <c r="X22" s="14">
        <f t="shared" si="58"/>
        <v>-1180.543374633789</v>
      </c>
      <c r="Y22" s="14">
        <f>+X22*1.02</f>
        <v>-1204.1542421264649</v>
      </c>
      <c r="Z22" s="14">
        <f t="shared" ref="Z22:AF22" si="59">+Y22*1.02</f>
        <v>-1228.2373269689942</v>
      </c>
      <c r="AA22" s="14">
        <f t="shared" si="59"/>
        <v>-1252.8020735083742</v>
      </c>
      <c r="AB22" s="14">
        <f t="shared" si="59"/>
        <v>-1277.8581149785416</v>
      </c>
      <c r="AC22" s="14">
        <f t="shared" si="59"/>
        <v>-1303.4152772781124</v>
      </c>
      <c r="AD22" s="14">
        <f t="shared" si="59"/>
        <v>-1329.4835828236746</v>
      </c>
      <c r="AE22" s="14">
        <f t="shared" si="59"/>
        <v>-1356.0732544801481</v>
      </c>
      <c r="AF22" s="14">
        <f t="shared" si="59"/>
        <v>-1383.194719569751</v>
      </c>
      <c r="AG22" s="14">
        <f t="shared" ref="AG22:AM22" si="60">+AF22*1.02</f>
        <v>-1410.8586139611459</v>
      </c>
      <c r="AH22" s="14">
        <f t="shared" si="60"/>
        <v>-1439.0757862403689</v>
      </c>
      <c r="AI22" s="14">
        <f t="shared" si="60"/>
        <v>-1467.8573019651762</v>
      </c>
      <c r="AJ22" s="14">
        <f t="shared" si="60"/>
        <v>-1497.2144480044799</v>
      </c>
      <c r="AK22" s="14">
        <f t="shared" si="60"/>
        <v>-1527.1587369645695</v>
      </c>
      <c r="AL22" s="14">
        <f t="shared" si="60"/>
        <v>-1557.7019117038608</v>
      </c>
      <c r="AM22" s="14">
        <f t="shared" si="60"/>
        <v>-1588.855949937938</v>
      </c>
    </row>
    <row r="23" spans="2:59" s="14" customFormat="1">
      <c r="B23" s="14" t="s">
        <v>35</v>
      </c>
      <c r="L23" s="14">
        <f>+L18*0.3</f>
        <v>3191.6637900000005</v>
      </c>
      <c r="M23" s="14">
        <f>+M18*0.3</f>
        <v>2851.5940199999995</v>
      </c>
      <c r="N23" s="14">
        <f>+N18*0.3</f>
        <v>2829.2092199999997</v>
      </c>
      <c r="O23" s="14">
        <f>+O18*0.3</f>
        <v>3205.8430723060596</v>
      </c>
      <c r="P23" s="14">
        <f t="shared" ref="P23:W23" si="61">+P18*0.3</f>
        <v>3255.1268028359991</v>
      </c>
      <c r="Q23" s="14">
        <f t="shared" si="61"/>
        <v>3256.434289883699</v>
      </c>
      <c r="R23" s="14">
        <f t="shared" si="61"/>
        <v>3682.3528490475483</v>
      </c>
      <c r="S23" s="14">
        <f t="shared" si="61"/>
        <v>3263.7563646076533</v>
      </c>
      <c r="T23" s="14">
        <f t="shared" si="61"/>
        <v>3250.6901389446889</v>
      </c>
      <c r="U23" s="14">
        <f t="shared" si="61"/>
        <v>3283.9942444100384</v>
      </c>
      <c r="V23" s="14">
        <f t="shared" si="61"/>
        <v>3378.0712431042793</v>
      </c>
      <c r="W23" s="14">
        <f t="shared" si="61"/>
        <v>3585.8819001363922</v>
      </c>
      <c r="X23" s="14">
        <f t="shared" ref="X23:Y23" si="62">+X18*0.3</f>
        <v>3760.6750318980012</v>
      </c>
      <c r="Y23" s="14">
        <f t="shared" si="62"/>
        <v>4446.8343044410922</v>
      </c>
      <c r="Z23" s="14">
        <f t="shared" ref="Z23:AF23" si="63">+Z18*0.3</f>
        <v>4519.3747854041749</v>
      </c>
      <c r="AA23" s="14">
        <f t="shared" si="63"/>
        <v>4142.5815909162739</v>
      </c>
      <c r="AB23" s="14">
        <f t="shared" si="63"/>
        <v>4227.0315544280256</v>
      </c>
      <c r="AC23" s="14">
        <f t="shared" si="63"/>
        <v>4315.2127928709315</v>
      </c>
      <c r="AD23" s="14">
        <f t="shared" si="63"/>
        <v>4407.3547135547042</v>
      </c>
      <c r="AE23" s="14">
        <f t="shared" si="63"/>
        <v>4503.7018781535626</v>
      </c>
      <c r="AF23" s="14">
        <f t="shared" si="63"/>
        <v>4471.3236454437592</v>
      </c>
      <c r="AG23" s="14">
        <f t="shared" ref="AG23:AM23" si="64">+AG18*0.3</f>
        <v>4575.5488430655469</v>
      </c>
      <c r="AH23" s="14">
        <f t="shared" si="64"/>
        <v>4684.8011007067835</v>
      </c>
      <c r="AI23" s="14">
        <f t="shared" si="64"/>
        <v>4799.3963514311572</v>
      </c>
      <c r="AJ23" s="14">
        <f t="shared" si="64"/>
        <v>4919.6715055039849</v>
      </c>
      <c r="AK23" s="14">
        <f t="shared" si="64"/>
        <v>5045.9858620611685</v>
      </c>
      <c r="AL23" s="14">
        <f t="shared" si="64"/>
        <v>5178.7226164075928</v>
      </c>
      <c r="AM23" s="14">
        <f t="shared" si="64"/>
        <v>5318.29046945749</v>
      </c>
    </row>
    <row r="24" spans="2:59" s="1" customFormat="1"/>
    <row r="25" spans="2:59" s="4" customFormat="1">
      <c r="B25" s="4" t="s">
        <v>88</v>
      </c>
      <c r="L25" s="4">
        <f>+L18-(L4*L21) +L22-L23</f>
        <v>4144.9761100000023</v>
      </c>
      <c r="M25" s="4">
        <f>+M18-(M4*M21) +M22-M23</f>
        <v>3729.6077800000003</v>
      </c>
      <c r="N25" s="4">
        <f>+N18-(N4*N21) +N22-N23</f>
        <v>3416.706979999999</v>
      </c>
      <c r="O25" s="4">
        <f>+O18-(O4*O21) +O22-O23</f>
        <v>4212.9061820474744</v>
      </c>
      <c r="P25" s="4">
        <f t="shared" ref="P25:W25" si="65">+P18-(P4*P21) +P22-P23</f>
        <v>4347.012098803998</v>
      </c>
      <c r="Q25" s="4">
        <f t="shared" si="65"/>
        <v>4407.6904743272989</v>
      </c>
      <c r="R25" s="4">
        <f t="shared" si="65"/>
        <v>4786.8742245975145</v>
      </c>
      <c r="S25" s="4">
        <f t="shared" si="65"/>
        <v>4591.2068071631356</v>
      </c>
      <c r="T25" s="4">
        <f t="shared" si="65"/>
        <v>4576.110741107319</v>
      </c>
      <c r="U25" s="4">
        <f t="shared" si="65"/>
        <v>4236.5804942489704</v>
      </c>
      <c r="V25" s="4">
        <f t="shared" si="65"/>
        <v>5278.052078204415</v>
      </c>
      <c r="W25" s="4">
        <f t="shared" si="65"/>
        <v>4971.3456633097503</v>
      </c>
      <c r="X25" s="4">
        <f t="shared" ref="X25:Y25" si="66">+X18-(X4*X21) +X22-X23</f>
        <v>5070.2483518979734</v>
      </c>
      <c r="Y25" s="4">
        <f t="shared" si="66"/>
        <v>5787.7164269107143</v>
      </c>
      <c r="Z25" s="4">
        <f t="shared" ref="Z25" si="67">+Z18-(Z4*Z21) +Z22-Z23</f>
        <v>6051.9235629344885</v>
      </c>
      <c r="AA25" s="4">
        <f t="shared" ref="AA25:AZ25" si="68">+Z25*(1+$AS$28)</f>
        <v>6233.4812698225232</v>
      </c>
      <c r="AB25" s="4">
        <f t="shared" si="68"/>
        <v>6420.4857079171989</v>
      </c>
      <c r="AC25" s="4">
        <f t="shared" si="68"/>
        <v>6613.1002791547153</v>
      </c>
      <c r="AD25" s="4">
        <f t="shared" si="68"/>
        <v>6811.4932875293571</v>
      </c>
      <c r="AE25" s="4">
        <f t="shared" si="68"/>
        <v>7015.8380861552378</v>
      </c>
      <c r="AF25" s="4">
        <f t="shared" si="68"/>
        <v>7226.3132287398948</v>
      </c>
      <c r="AG25" s="4">
        <f t="shared" si="68"/>
        <v>7443.1026256020923</v>
      </c>
      <c r="AH25" s="4">
        <f t="shared" si="68"/>
        <v>7666.3957043701548</v>
      </c>
      <c r="AI25" s="4">
        <f t="shared" si="68"/>
        <v>7896.3875755012596</v>
      </c>
      <c r="AJ25" s="4">
        <f t="shared" si="68"/>
        <v>8133.2792027662972</v>
      </c>
      <c r="AK25" s="4">
        <f t="shared" si="68"/>
        <v>8377.2775788492872</v>
      </c>
      <c r="AL25" s="4">
        <f t="shared" si="68"/>
        <v>8628.5959062147667</v>
      </c>
      <c r="AM25" s="4">
        <f t="shared" si="68"/>
        <v>8887.4537834012099</v>
      </c>
      <c r="AN25" s="4">
        <f t="shared" si="68"/>
        <v>9154.0773969032471</v>
      </c>
      <c r="AO25" s="4">
        <f t="shared" si="68"/>
        <v>9428.6997188103451</v>
      </c>
      <c r="AP25" s="4">
        <f t="shared" si="68"/>
        <v>9711.5607103746552</v>
      </c>
      <c r="AQ25" s="4">
        <f t="shared" si="68"/>
        <v>10002.907531685894</v>
      </c>
      <c r="AR25" s="4">
        <f t="shared" si="68"/>
        <v>10302.994757636472</v>
      </c>
      <c r="AS25" s="4">
        <f t="shared" si="68"/>
        <v>10612.084600365566</v>
      </c>
      <c r="AT25" s="4">
        <f t="shared" si="68"/>
        <v>10930.447138376534</v>
      </c>
      <c r="AU25" s="4">
        <f t="shared" si="68"/>
        <v>11258.360552527831</v>
      </c>
      <c r="AV25" s="4">
        <f t="shared" si="68"/>
        <v>11596.111369103666</v>
      </c>
      <c r="AW25" s="4">
        <f t="shared" si="68"/>
        <v>11943.994710176776</v>
      </c>
      <c r="AX25" s="4">
        <f t="shared" si="68"/>
        <v>12302.314551482079</v>
      </c>
      <c r="AY25" s="4">
        <f t="shared" si="68"/>
        <v>12671.383988026542</v>
      </c>
      <c r="AZ25" s="4">
        <f t="shared" si="68"/>
        <v>13051.525507667338</v>
      </c>
      <c r="BA25" s="4">
        <f t="shared" ref="BA25:BE25" si="69">+AZ25*(1+$AS$28)</f>
        <v>13443.071272897359</v>
      </c>
      <c r="BB25" s="4">
        <f t="shared" si="69"/>
        <v>13846.363411084281</v>
      </c>
      <c r="BC25" s="4">
        <f t="shared" si="69"/>
        <v>14261.75431341681</v>
      </c>
      <c r="BD25" s="4">
        <f t="shared" si="69"/>
        <v>14689.606942819315</v>
      </c>
      <c r="BE25" s="4">
        <f t="shared" si="69"/>
        <v>15130.295151103895</v>
      </c>
      <c r="BF25" s="4">
        <f t="shared" ref="BF25:BG25" si="70">+BE25*(1+$AS$28)</f>
        <v>15584.204005637013</v>
      </c>
      <c r="BG25" s="4">
        <f t="shared" si="70"/>
        <v>16051.730125806123</v>
      </c>
    </row>
    <row r="26" spans="2:59" s="7" customFormat="1">
      <c r="B26" s="7" t="s">
        <v>98</v>
      </c>
      <c r="L26" s="7">
        <f>+L25/L18</f>
        <v>0.38960646071057514</v>
      </c>
      <c r="M26" s="7">
        <f t="shared" ref="M26:AM26" si="71">+M25/M18</f>
        <v>0.39237083755702368</v>
      </c>
      <c r="N26" s="7">
        <f t="shared" si="71"/>
        <v>0.3622963217969436</v>
      </c>
      <c r="O26" s="7">
        <f t="shared" si="71"/>
        <v>0.39424008789834525</v>
      </c>
      <c r="P26" s="7">
        <f t="shared" si="71"/>
        <v>0.40063066928913832</v>
      </c>
      <c r="Q26" s="7">
        <f t="shared" si="71"/>
        <v>0.40605982635854593</v>
      </c>
      <c r="R26" s="7">
        <f t="shared" si="71"/>
        <v>0.38998497054694153</v>
      </c>
      <c r="S26" s="7">
        <f t="shared" si="71"/>
        <v>0.42201742050513558</v>
      </c>
      <c r="T26" s="7">
        <f t="shared" si="71"/>
        <v>0.42232054230117277</v>
      </c>
      <c r="U26" s="7">
        <f t="shared" si="71"/>
        <v>0.38702082089154771</v>
      </c>
      <c r="V26" s="7">
        <f t="shared" si="71"/>
        <v>0.46873363807633739</v>
      </c>
      <c r="W26" s="7">
        <f t="shared" si="71"/>
        <v>0.41590987671294982</v>
      </c>
      <c r="X26" s="7">
        <f t="shared" si="71"/>
        <v>0.40446847777796702</v>
      </c>
      <c r="Y26" s="7">
        <f t="shared" si="71"/>
        <v>0.39046090076689866</v>
      </c>
      <c r="Z26" s="7">
        <f t="shared" si="71"/>
        <v>0.40173191095900151</v>
      </c>
      <c r="AA26" s="7">
        <f t="shared" si="71"/>
        <v>0.4514200480800023</v>
      </c>
      <c r="AB26" s="7">
        <f t="shared" si="71"/>
        <v>0.45567336973328859</v>
      </c>
      <c r="AC26" s="7">
        <f t="shared" si="71"/>
        <v>0.45975254963649109</v>
      </c>
      <c r="AD26" s="7">
        <f t="shared" si="71"/>
        <v>0.4636450022899759</v>
      </c>
      <c r="AE26" s="7">
        <f t="shared" si="71"/>
        <v>0.46733808826384438</v>
      </c>
      <c r="AF26" s="7">
        <f t="shared" si="71"/>
        <v>0.48484389423052249</v>
      </c>
      <c r="AG26" s="7">
        <f t="shared" si="71"/>
        <v>0.48801375840730804</v>
      </c>
      <c r="AH26" s="7">
        <f t="shared" si="71"/>
        <v>0.49093198662458981</v>
      </c>
      <c r="AI26" s="7">
        <f t="shared" si="71"/>
        <v>0.49358629694002626</v>
      </c>
      <c r="AJ26" s="7">
        <f t="shared" si="71"/>
        <v>0.49596477287154367</v>
      </c>
      <c r="AK26" s="7">
        <f t="shared" si="71"/>
        <v>0.49805594830347161</v>
      </c>
      <c r="AL26" s="7">
        <f t="shared" si="71"/>
        <v>0.49984889394599219</v>
      </c>
      <c r="AM26" s="7">
        <f t="shared" si="71"/>
        <v>0.50133330443915014</v>
      </c>
    </row>
    <row r="28" spans="2:59">
      <c r="AR28" t="s">
        <v>72</v>
      </c>
      <c r="AS28" s="16">
        <v>0.03</v>
      </c>
    </row>
    <row r="29" spans="2:59">
      <c r="AR29" t="s">
        <v>73</v>
      </c>
      <c r="AS29" s="16">
        <v>0.08</v>
      </c>
    </row>
    <row r="30" spans="2:59">
      <c r="AR30" t="s">
        <v>74</v>
      </c>
      <c r="AS30" s="17">
        <f>NPV(AS29,O25:BG25)</f>
        <v>74847.100227997944</v>
      </c>
    </row>
    <row r="31" spans="2:59">
      <c r="AR31" t="s">
        <v>91</v>
      </c>
      <c r="AS31" s="1">
        <f>+Main!G6-Main!G7</f>
        <v>-3283.8</v>
      </c>
    </row>
    <row r="32" spans="2:59">
      <c r="AR32" t="s">
        <v>92</v>
      </c>
      <c r="AS32" s="17">
        <f>+SUM(AS30:AS31)</f>
        <v>71563.300227997941</v>
      </c>
    </row>
    <row r="33" spans="44:45">
      <c r="AR33" t="s">
        <v>1</v>
      </c>
      <c r="AS33" s="1">
        <f>+Main!G4</f>
        <v>785.54017899999997</v>
      </c>
    </row>
    <row r="34" spans="44:45">
      <c r="AR34" t="s">
        <v>96</v>
      </c>
      <c r="AS34" s="1">
        <f>+AS32/AS33</f>
        <v>91.100750975078952</v>
      </c>
    </row>
    <row r="35" spans="44:45">
      <c r="AR35" t="s">
        <v>97</v>
      </c>
      <c r="AS35" s="1">
        <f>+Main!G3</f>
        <v>93.9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F2AD-7206-784B-8D3A-375EFDC92F51}">
  <dimension ref="B2:HP64"/>
  <sheetViews>
    <sheetView zoomScale="174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D55" sqref="D55"/>
    </sheetView>
  </sheetViews>
  <sheetFormatPr baseColWidth="10" defaultRowHeight="13"/>
  <cols>
    <col min="1" max="1" width="1.83203125" customWidth="1"/>
    <col min="2" max="2" width="22.6640625" bestFit="1" customWidth="1"/>
    <col min="3" max="5" width="7.1640625" bestFit="1" customWidth="1"/>
    <col min="6" max="6" width="5.6640625" bestFit="1" customWidth="1"/>
    <col min="7" max="9" width="7.1640625" bestFit="1" customWidth="1"/>
    <col min="10" max="10" width="5.5" bestFit="1" customWidth="1"/>
    <col min="11" max="11" width="6.5" bestFit="1" customWidth="1"/>
    <col min="12" max="12" width="7.6640625" bestFit="1" customWidth="1"/>
    <col min="13" max="14" width="7.1640625" bestFit="1" customWidth="1"/>
    <col min="15" max="15" width="6.6640625" bestFit="1" customWidth="1"/>
    <col min="16" max="16" width="9.1640625" bestFit="1" customWidth="1"/>
    <col min="17" max="24" width="6.6640625" bestFit="1" customWidth="1"/>
    <col min="25" max="25" width="5.6640625" bestFit="1" customWidth="1"/>
    <col min="26" max="26" width="8.33203125" bestFit="1" customWidth="1"/>
    <col min="27" max="27" width="10.6640625" bestFit="1" customWidth="1"/>
    <col min="28" max="156" width="5.6640625" bestFit="1" customWidth="1"/>
    <col min="157" max="224" width="6.6640625" bestFit="1" customWidth="1"/>
  </cols>
  <sheetData>
    <row r="2" spans="2:224">
      <c r="C2" t="s">
        <v>56</v>
      </c>
      <c r="D2" t="s">
        <v>58</v>
      </c>
      <c r="E2" t="s">
        <v>57</v>
      </c>
      <c r="F2" t="s">
        <v>59</v>
      </c>
      <c r="G2" t="s">
        <v>60</v>
      </c>
      <c r="H2" t="s">
        <v>61</v>
      </c>
      <c r="I2" t="s">
        <v>6</v>
      </c>
      <c r="J2" t="s">
        <v>62</v>
      </c>
      <c r="L2">
        <v>2021</v>
      </c>
      <c r="M2">
        <f>+L2+1</f>
        <v>2022</v>
      </c>
      <c r="N2">
        <f t="shared" ref="N2:X2" si="0">+M2+1</f>
        <v>2023</v>
      </c>
      <c r="O2">
        <f t="shared" si="0"/>
        <v>2024</v>
      </c>
      <c r="P2">
        <f t="shared" si="0"/>
        <v>2025</v>
      </c>
      <c r="Q2">
        <f t="shared" si="0"/>
        <v>2026</v>
      </c>
      <c r="R2">
        <f t="shared" si="0"/>
        <v>2027</v>
      </c>
      <c r="S2">
        <f t="shared" si="0"/>
        <v>2028</v>
      </c>
      <c r="T2">
        <f t="shared" si="0"/>
        <v>2029</v>
      </c>
      <c r="U2">
        <f t="shared" si="0"/>
        <v>2030</v>
      </c>
      <c r="V2">
        <f t="shared" si="0"/>
        <v>2031</v>
      </c>
      <c r="W2">
        <f t="shared" si="0"/>
        <v>2032</v>
      </c>
      <c r="X2">
        <f t="shared" si="0"/>
        <v>2033</v>
      </c>
      <c r="Y2">
        <f>+X2+1</f>
        <v>2034</v>
      </c>
      <c r="Z2">
        <f>+Y2+1</f>
        <v>2035</v>
      </c>
      <c r="AA2">
        <f t="shared" ref="AA2:CL2" si="1">+Z2+1</f>
        <v>2036</v>
      </c>
      <c r="AB2">
        <f t="shared" si="1"/>
        <v>2037</v>
      </c>
      <c r="AC2">
        <f t="shared" si="1"/>
        <v>2038</v>
      </c>
      <c r="AD2">
        <f t="shared" si="1"/>
        <v>2039</v>
      </c>
      <c r="AE2">
        <f t="shared" si="1"/>
        <v>2040</v>
      </c>
      <c r="AF2">
        <f t="shared" si="1"/>
        <v>2041</v>
      </c>
      <c r="AG2">
        <f t="shared" si="1"/>
        <v>2042</v>
      </c>
      <c r="AH2">
        <f t="shared" si="1"/>
        <v>2043</v>
      </c>
      <c r="AI2">
        <f t="shared" si="1"/>
        <v>2044</v>
      </c>
      <c r="AJ2">
        <f t="shared" si="1"/>
        <v>2045</v>
      </c>
      <c r="AK2">
        <f t="shared" si="1"/>
        <v>2046</v>
      </c>
      <c r="AL2">
        <f t="shared" si="1"/>
        <v>2047</v>
      </c>
      <c r="AM2">
        <f t="shared" si="1"/>
        <v>2048</v>
      </c>
      <c r="AN2">
        <f t="shared" si="1"/>
        <v>2049</v>
      </c>
      <c r="AO2">
        <f t="shared" si="1"/>
        <v>2050</v>
      </c>
      <c r="AP2">
        <f t="shared" si="1"/>
        <v>2051</v>
      </c>
      <c r="AQ2">
        <f t="shared" si="1"/>
        <v>2052</v>
      </c>
      <c r="AR2">
        <f t="shared" si="1"/>
        <v>2053</v>
      </c>
      <c r="AS2">
        <f t="shared" si="1"/>
        <v>2054</v>
      </c>
      <c r="AT2">
        <f t="shared" si="1"/>
        <v>2055</v>
      </c>
      <c r="AU2">
        <f t="shared" si="1"/>
        <v>2056</v>
      </c>
      <c r="AV2">
        <f t="shared" si="1"/>
        <v>2057</v>
      </c>
      <c r="AW2">
        <f t="shared" si="1"/>
        <v>2058</v>
      </c>
      <c r="AX2">
        <f t="shared" si="1"/>
        <v>2059</v>
      </c>
      <c r="AY2">
        <f t="shared" si="1"/>
        <v>2060</v>
      </c>
      <c r="AZ2">
        <f t="shared" si="1"/>
        <v>2061</v>
      </c>
      <c r="BA2">
        <f t="shared" si="1"/>
        <v>2062</v>
      </c>
      <c r="BB2">
        <f t="shared" si="1"/>
        <v>2063</v>
      </c>
      <c r="BC2">
        <f t="shared" si="1"/>
        <v>2064</v>
      </c>
      <c r="BD2">
        <f t="shared" si="1"/>
        <v>2065</v>
      </c>
      <c r="BE2">
        <f t="shared" si="1"/>
        <v>2066</v>
      </c>
      <c r="BF2">
        <f t="shared" si="1"/>
        <v>2067</v>
      </c>
      <c r="BG2">
        <f t="shared" si="1"/>
        <v>2068</v>
      </c>
      <c r="BH2">
        <f t="shared" si="1"/>
        <v>2069</v>
      </c>
      <c r="BI2">
        <f t="shared" si="1"/>
        <v>2070</v>
      </c>
      <c r="BJ2">
        <f t="shared" si="1"/>
        <v>2071</v>
      </c>
      <c r="BK2">
        <f t="shared" si="1"/>
        <v>2072</v>
      </c>
      <c r="BL2">
        <f t="shared" si="1"/>
        <v>2073</v>
      </c>
      <c r="BM2">
        <f t="shared" si="1"/>
        <v>2074</v>
      </c>
      <c r="BN2">
        <f t="shared" si="1"/>
        <v>2075</v>
      </c>
      <c r="BO2">
        <f t="shared" si="1"/>
        <v>2076</v>
      </c>
      <c r="BP2">
        <f t="shared" si="1"/>
        <v>2077</v>
      </c>
      <c r="BQ2">
        <f t="shared" si="1"/>
        <v>2078</v>
      </c>
      <c r="BR2">
        <f t="shared" si="1"/>
        <v>2079</v>
      </c>
      <c r="BS2">
        <f t="shared" si="1"/>
        <v>2080</v>
      </c>
      <c r="BT2">
        <f t="shared" si="1"/>
        <v>2081</v>
      </c>
      <c r="BU2">
        <f t="shared" si="1"/>
        <v>2082</v>
      </c>
      <c r="BV2">
        <f t="shared" si="1"/>
        <v>2083</v>
      </c>
      <c r="BW2">
        <f t="shared" si="1"/>
        <v>2084</v>
      </c>
      <c r="BX2">
        <f t="shared" si="1"/>
        <v>2085</v>
      </c>
      <c r="BY2">
        <f t="shared" si="1"/>
        <v>2086</v>
      </c>
      <c r="BZ2">
        <f t="shared" si="1"/>
        <v>2087</v>
      </c>
      <c r="CA2">
        <f t="shared" si="1"/>
        <v>2088</v>
      </c>
      <c r="CB2">
        <f t="shared" si="1"/>
        <v>2089</v>
      </c>
      <c r="CC2">
        <f t="shared" si="1"/>
        <v>2090</v>
      </c>
      <c r="CD2">
        <f t="shared" si="1"/>
        <v>2091</v>
      </c>
      <c r="CE2">
        <f t="shared" si="1"/>
        <v>2092</v>
      </c>
      <c r="CF2">
        <f t="shared" si="1"/>
        <v>2093</v>
      </c>
      <c r="CG2">
        <f t="shared" si="1"/>
        <v>2094</v>
      </c>
      <c r="CH2">
        <f t="shared" si="1"/>
        <v>2095</v>
      </c>
      <c r="CI2">
        <f t="shared" si="1"/>
        <v>2096</v>
      </c>
      <c r="CJ2">
        <f t="shared" si="1"/>
        <v>2097</v>
      </c>
      <c r="CK2">
        <f t="shared" si="1"/>
        <v>2098</v>
      </c>
      <c r="CL2">
        <f t="shared" si="1"/>
        <v>2099</v>
      </c>
      <c r="CM2">
        <f t="shared" ref="CM2:CZ2" si="2">+CL2+1</f>
        <v>2100</v>
      </c>
      <c r="CN2">
        <f t="shared" si="2"/>
        <v>2101</v>
      </c>
      <c r="CO2">
        <f t="shared" si="2"/>
        <v>2102</v>
      </c>
      <c r="CP2">
        <f t="shared" si="2"/>
        <v>2103</v>
      </c>
      <c r="CQ2">
        <f t="shared" si="2"/>
        <v>2104</v>
      </c>
      <c r="CR2">
        <f t="shared" si="2"/>
        <v>2105</v>
      </c>
      <c r="CS2">
        <f t="shared" si="2"/>
        <v>2106</v>
      </c>
      <c r="CT2">
        <f t="shared" si="2"/>
        <v>2107</v>
      </c>
      <c r="CU2">
        <f t="shared" si="2"/>
        <v>2108</v>
      </c>
      <c r="CV2">
        <f t="shared" si="2"/>
        <v>2109</v>
      </c>
      <c r="CW2">
        <f t="shared" si="2"/>
        <v>2110</v>
      </c>
      <c r="CX2">
        <f t="shared" si="2"/>
        <v>2111</v>
      </c>
      <c r="CY2">
        <f t="shared" si="2"/>
        <v>2112</v>
      </c>
      <c r="CZ2">
        <f t="shared" si="2"/>
        <v>2113</v>
      </c>
      <c r="DA2">
        <f t="shared" ref="DA2:FJ2" si="3">+CZ2+1</f>
        <v>2114</v>
      </c>
      <c r="DB2">
        <f t="shared" si="3"/>
        <v>2115</v>
      </c>
      <c r="DC2">
        <f t="shared" si="3"/>
        <v>2116</v>
      </c>
      <c r="DD2">
        <f t="shared" si="3"/>
        <v>2117</v>
      </c>
      <c r="DE2">
        <f t="shared" si="3"/>
        <v>2118</v>
      </c>
      <c r="DF2">
        <f t="shared" si="3"/>
        <v>2119</v>
      </c>
      <c r="DG2">
        <f t="shared" si="3"/>
        <v>2120</v>
      </c>
      <c r="DH2">
        <f t="shared" si="3"/>
        <v>2121</v>
      </c>
      <c r="DI2">
        <f t="shared" si="3"/>
        <v>2122</v>
      </c>
      <c r="DJ2">
        <f t="shared" si="3"/>
        <v>2123</v>
      </c>
      <c r="DK2">
        <f t="shared" si="3"/>
        <v>2124</v>
      </c>
      <c r="DL2">
        <f t="shared" si="3"/>
        <v>2125</v>
      </c>
      <c r="DM2">
        <f t="shared" si="3"/>
        <v>2126</v>
      </c>
      <c r="DN2">
        <f t="shared" si="3"/>
        <v>2127</v>
      </c>
      <c r="DO2">
        <f t="shared" si="3"/>
        <v>2128</v>
      </c>
      <c r="DP2">
        <f t="shared" si="3"/>
        <v>2129</v>
      </c>
      <c r="DQ2">
        <f t="shared" si="3"/>
        <v>2130</v>
      </c>
      <c r="DR2">
        <f t="shared" si="3"/>
        <v>2131</v>
      </c>
      <c r="DS2">
        <f t="shared" si="3"/>
        <v>2132</v>
      </c>
      <c r="DT2">
        <f t="shared" si="3"/>
        <v>2133</v>
      </c>
      <c r="DU2">
        <f t="shared" si="3"/>
        <v>2134</v>
      </c>
      <c r="DV2">
        <f t="shared" si="3"/>
        <v>2135</v>
      </c>
      <c r="DW2">
        <f t="shared" si="3"/>
        <v>2136</v>
      </c>
      <c r="DX2">
        <f t="shared" si="3"/>
        <v>2137</v>
      </c>
      <c r="DY2">
        <f t="shared" si="3"/>
        <v>2138</v>
      </c>
      <c r="DZ2">
        <f t="shared" si="3"/>
        <v>2139</v>
      </c>
      <c r="EA2">
        <f t="shared" si="3"/>
        <v>2140</v>
      </c>
      <c r="EB2">
        <f t="shared" si="3"/>
        <v>2141</v>
      </c>
      <c r="EC2">
        <f t="shared" si="3"/>
        <v>2142</v>
      </c>
      <c r="ED2">
        <f t="shared" si="3"/>
        <v>2143</v>
      </c>
      <c r="EE2">
        <f t="shared" si="3"/>
        <v>2144</v>
      </c>
      <c r="EF2">
        <f t="shared" si="3"/>
        <v>2145</v>
      </c>
      <c r="EG2">
        <f t="shared" si="3"/>
        <v>2146</v>
      </c>
      <c r="EH2">
        <f t="shared" si="3"/>
        <v>2147</v>
      </c>
      <c r="EI2">
        <f t="shared" si="3"/>
        <v>2148</v>
      </c>
      <c r="EJ2">
        <f t="shared" si="3"/>
        <v>2149</v>
      </c>
      <c r="EK2">
        <f t="shared" si="3"/>
        <v>2150</v>
      </c>
      <c r="EL2">
        <f t="shared" si="3"/>
        <v>2151</v>
      </c>
      <c r="EM2">
        <f t="shared" si="3"/>
        <v>2152</v>
      </c>
      <c r="EN2">
        <f t="shared" si="3"/>
        <v>2153</v>
      </c>
      <c r="EO2">
        <f t="shared" si="3"/>
        <v>2154</v>
      </c>
      <c r="EP2">
        <f t="shared" si="3"/>
        <v>2155</v>
      </c>
      <c r="EQ2">
        <f t="shared" si="3"/>
        <v>2156</v>
      </c>
      <c r="ER2">
        <f t="shared" si="3"/>
        <v>2157</v>
      </c>
      <c r="ES2">
        <f t="shared" si="3"/>
        <v>2158</v>
      </c>
      <c r="ET2">
        <f t="shared" si="3"/>
        <v>2159</v>
      </c>
      <c r="EU2">
        <f t="shared" si="3"/>
        <v>2160</v>
      </c>
      <c r="EV2">
        <f t="shared" si="3"/>
        <v>2161</v>
      </c>
      <c r="EW2">
        <f t="shared" si="3"/>
        <v>2162</v>
      </c>
      <c r="EX2">
        <f t="shared" si="3"/>
        <v>2163</v>
      </c>
      <c r="EY2">
        <f t="shared" si="3"/>
        <v>2164</v>
      </c>
      <c r="EZ2">
        <f t="shared" si="3"/>
        <v>2165</v>
      </c>
      <c r="FA2">
        <f t="shared" si="3"/>
        <v>2166</v>
      </c>
      <c r="FB2">
        <f t="shared" si="3"/>
        <v>2167</v>
      </c>
      <c r="FC2">
        <f t="shared" si="3"/>
        <v>2168</v>
      </c>
      <c r="FD2">
        <f t="shared" si="3"/>
        <v>2169</v>
      </c>
      <c r="FE2">
        <f t="shared" si="3"/>
        <v>2170</v>
      </c>
      <c r="FF2">
        <f t="shared" si="3"/>
        <v>2171</v>
      </c>
      <c r="FG2">
        <f t="shared" si="3"/>
        <v>2172</v>
      </c>
      <c r="FH2">
        <f t="shared" si="3"/>
        <v>2173</v>
      </c>
      <c r="FI2">
        <f t="shared" si="3"/>
        <v>2174</v>
      </c>
      <c r="FJ2">
        <f t="shared" si="3"/>
        <v>2175</v>
      </c>
      <c r="FK2">
        <f t="shared" ref="FK2:GO2" si="4">+FJ2+1</f>
        <v>2176</v>
      </c>
      <c r="FL2">
        <f t="shared" si="4"/>
        <v>2177</v>
      </c>
      <c r="FM2">
        <f t="shared" si="4"/>
        <v>2178</v>
      </c>
      <c r="FN2">
        <f t="shared" si="4"/>
        <v>2179</v>
      </c>
      <c r="FO2">
        <f t="shared" si="4"/>
        <v>2180</v>
      </c>
      <c r="FP2">
        <f t="shared" si="4"/>
        <v>2181</v>
      </c>
      <c r="FQ2">
        <f t="shared" si="4"/>
        <v>2182</v>
      </c>
      <c r="FR2">
        <f t="shared" si="4"/>
        <v>2183</v>
      </c>
      <c r="FS2">
        <f t="shared" si="4"/>
        <v>2184</v>
      </c>
      <c r="FT2">
        <f t="shared" si="4"/>
        <v>2185</v>
      </c>
      <c r="FU2">
        <f t="shared" si="4"/>
        <v>2186</v>
      </c>
      <c r="FV2">
        <f t="shared" si="4"/>
        <v>2187</v>
      </c>
      <c r="FW2">
        <f t="shared" si="4"/>
        <v>2188</v>
      </c>
      <c r="FX2">
        <f t="shared" si="4"/>
        <v>2189</v>
      </c>
      <c r="FY2">
        <f t="shared" si="4"/>
        <v>2190</v>
      </c>
      <c r="FZ2">
        <f t="shared" si="4"/>
        <v>2191</v>
      </c>
      <c r="GA2">
        <f t="shared" si="4"/>
        <v>2192</v>
      </c>
      <c r="GB2">
        <f t="shared" si="4"/>
        <v>2193</v>
      </c>
      <c r="GC2">
        <f t="shared" si="4"/>
        <v>2194</v>
      </c>
      <c r="GD2">
        <f t="shared" si="4"/>
        <v>2195</v>
      </c>
      <c r="GE2">
        <f t="shared" si="4"/>
        <v>2196</v>
      </c>
      <c r="GF2">
        <f t="shared" si="4"/>
        <v>2197</v>
      </c>
      <c r="GG2">
        <f t="shared" si="4"/>
        <v>2198</v>
      </c>
      <c r="GH2">
        <f t="shared" si="4"/>
        <v>2199</v>
      </c>
      <c r="GI2">
        <f t="shared" si="4"/>
        <v>2200</v>
      </c>
      <c r="GJ2">
        <f t="shared" si="4"/>
        <v>2201</v>
      </c>
      <c r="GK2">
        <f t="shared" si="4"/>
        <v>2202</v>
      </c>
      <c r="GL2">
        <f t="shared" si="4"/>
        <v>2203</v>
      </c>
      <c r="GM2">
        <f t="shared" si="4"/>
        <v>2204</v>
      </c>
      <c r="GN2">
        <f t="shared" si="4"/>
        <v>2205</v>
      </c>
      <c r="GO2">
        <f t="shared" si="4"/>
        <v>2206</v>
      </c>
      <c r="GP2">
        <f t="shared" ref="GP2:HI2" si="5">+GO2+1</f>
        <v>2207</v>
      </c>
      <c r="GQ2">
        <f t="shared" si="5"/>
        <v>2208</v>
      </c>
      <c r="GR2">
        <f t="shared" si="5"/>
        <v>2209</v>
      </c>
      <c r="GS2">
        <f t="shared" si="5"/>
        <v>2210</v>
      </c>
      <c r="GT2">
        <f t="shared" si="5"/>
        <v>2211</v>
      </c>
      <c r="GU2">
        <f t="shared" si="5"/>
        <v>2212</v>
      </c>
      <c r="GV2">
        <f t="shared" si="5"/>
        <v>2213</v>
      </c>
      <c r="GW2">
        <f t="shared" si="5"/>
        <v>2214</v>
      </c>
      <c r="GX2">
        <f t="shared" si="5"/>
        <v>2215</v>
      </c>
      <c r="GY2">
        <f t="shared" si="5"/>
        <v>2216</v>
      </c>
      <c r="GZ2">
        <f t="shared" si="5"/>
        <v>2217</v>
      </c>
      <c r="HA2">
        <f t="shared" si="5"/>
        <v>2218</v>
      </c>
      <c r="HB2">
        <f t="shared" si="5"/>
        <v>2219</v>
      </c>
      <c r="HC2">
        <f t="shared" si="5"/>
        <v>2220</v>
      </c>
      <c r="HD2">
        <f t="shared" si="5"/>
        <v>2221</v>
      </c>
      <c r="HE2">
        <f t="shared" si="5"/>
        <v>2222</v>
      </c>
      <c r="HF2">
        <f t="shared" si="5"/>
        <v>2223</v>
      </c>
      <c r="HG2">
        <f t="shared" si="5"/>
        <v>2224</v>
      </c>
      <c r="HH2">
        <f t="shared" si="5"/>
        <v>2225</v>
      </c>
      <c r="HI2">
        <f t="shared" si="5"/>
        <v>2226</v>
      </c>
      <c r="HJ2">
        <f t="shared" ref="HJ2:HP2" si="6">+HI2+1</f>
        <v>2227</v>
      </c>
      <c r="HK2">
        <f t="shared" si="6"/>
        <v>2228</v>
      </c>
      <c r="HL2">
        <f t="shared" si="6"/>
        <v>2229</v>
      </c>
      <c r="HM2">
        <f t="shared" si="6"/>
        <v>2230</v>
      </c>
      <c r="HN2">
        <f t="shared" si="6"/>
        <v>2231</v>
      </c>
      <c r="HO2">
        <f t="shared" si="6"/>
        <v>2232</v>
      </c>
      <c r="HP2">
        <f t="shared" si="6"/>
        <v>2233</v>
      </c>
    </row>
    <row r="3" spans="2:224" s="1" customFormat="1">
      <c r="B3" s="1" t="s">
        <v>40</v>
      </c>
      <c r="C3" s="1">
        <v>113.1</v>
      </c>
      <c r="D3" s="1">
        <v>117.3</v>
      </c>
      <c r="E3" s="1">
        <v>123.3</v>
      </c>
      <c r="F3" s="1">
        <f>+N3-SUM(C3:E3)</f>
        <v>142.10000000000002</v>
      </c>
      <c r="G3" s="1">
        <v>138.19999999999999</v>
      </c>
      <c r="H3" s="1">
        <v>142.1</v>
      </c>
      <c r="I3" s="1">
        <v>143.4</v>
      </c>
      <c r="L3" s="1">
        <v>505.7</v>
      </c>
      <c r="M3" s="1">
        <v>444.2</v>
      </c>
      <c r="N3" s="1">
        <v>495.8</v>
      </c>
    </row>
    <row r="4" spans="2:224" s="6" customFormat="1">
      <c r="B4" s="6" t="s">
        <v>41</v>
      </c>
      <c r="C4" s="6">
        <v>80</v>
      </c>
      <c r="D4" s="6">
        <v>83.8</v>
      </c>
      <c r="E4" s="1">
        <v>74.7</v>
      </c>
      <c r="F4" s="1">
        <f t="shared" ref="F4:F11" si="7">+N4-SUM(C4:E4)</f>
        <v>90.5</v>
      </c>
      <c r="G4" s="6">
        <v>90.9</v>
      </c>
      <c r="H4" s="6">
        <v>89.9</v>
      </c>
      <c r="I4" s="1">
        <v>90.2</v>
      </c>
      <c r="L4" s="6">
        <v>372.6</v>
      </c>
      <c r="M4" s="6">
        <v>309.39999999999998</v>
      </c>
      <c r="N4" s="6">
        <v>329</v>
      </c>
    </row>
    <row r="5" spans="2:224">
      <c r="B5" t="s">
        <v>42</v>
      </c>
      <c r="C5">
        <v>57.6</v>
      </c>
      <c r="D5">
        <v>60.3</v>
      </c>
      <c r="E5" s="1">
        <v>61.3</v>
      </c>
      <c r="F5" s="1">
        <f t="shared" si="7"/>
        <v>65.100000000000023</v>
      </c>
      <c r="G5">
        <v>65</v>
      </c>
      <c r="H5">
        <v>64.599999999999994</v>
      </c>
      <c r="I5" s="1">
        <v>64.400000000000006</v>
      </c>
      <c r="L5">
        <v>282.39999999999998</v>
      </c>
      <c r="M5">
        <v>246.5</v>
      </c>
      <c r="N5">
        <v>244.3</v>
      </c>
    </row>
    <row r="6" spans="2:224">
      <c r="B6" t="s">
        <v>43</v>
      </c>
      <c r="C6">
        <v>236.9</v>
      </c>
      <c r="D6">
        <v>234.8</v>
      </c>
      <c r="E6" s="1">
        <v>233.6</v>
      </c>
      <c r="F6" s="1">
        <f t="shared" si="7"/>
        <v>212.89999999999998</v>
      </c>
      <c r="G6">
        <v>229.9</v>
      </c>
      <c r="H6">
        <v>232.9</v>
      </c>
      <c r="I6" s="1">
        <v>253</v>
      </c>
      <c r="L6">
        <v>932.6</v>
      </c>
      <c r="M6">
        <v>952.3</v>
      </c>
      <c r="N6">
        <v>918.2</v>
      </c>
    </row>
    <row r="7" spans="2:224">
      <c r="B7" t="s">
        <v>44</v>
      </c>
      <c r="C7">
        <v>4.5999999999999996</v>
      </c>
      <c r="D7">
        <v>5.4</v>
      </c>
      <c r="E7" s="1">
        <v>5.6</v>
      </c>
      <c r="F7" s="1">
        <f t="shared" si="7"/>
        <v>5.5000000000000018</v>
      </c>
      <c r="G7">
        <v>5.6</v>
      </c>
      <c r="H7">
        <v>5.0999999999999996</v>
      </c>
      <c r="I7" s="1">
        <v>5.0999999999999996</v>
      </c>
      <c r="L7">
        <v>19.2</v>
      </c>
      <c r="M7">
        <v>20.100000000000001</v>
      </c>
      <c r="N7">
        <v>21.1</v>
      </c>
    </row>
    <row r="8" spans="2:224" s="4" customFormat="1">
      <c r="B8" s="4" t="s">
        <v>47</v>
      </c>
      <c r="C8" s="4">
        <f>+SUM(C3:C7)</f>
        <v>492.20000000000005</v>
      </c>
      <c r="D8" s="4">
        <f>+SUM(D3:D7)</f>
        <v>501.59999999999997</v>
      </c>
      <c r="E8" s="4">
        <f>+SUM(E3:E7)</f>
        <v>498.5</v>
      </c>
      <c r="F8" s="4">
        <f t="shared" si="7"/>
        <v>516.09999999999991</v>
      </c>
      <c r="G8" s="4">
        <f>+SUM(G3:G7)</f>
        <v>529.6</v>
      </c>
      <c r="H8" s="4">
        <f>+SUM(H3:H7)</f>
        <v>534.6</v>
      </c>
      <c r="I8" s="4">
        <f>+SUM(I3:I7)</f>
        <v>556.1</v>
      </c>
      <c r="J8" s="4">
        <f>+O8-SUM(G8:I8)</f>
        <v>529.19999999999982</v>
      </c>
      <c r="L8" s="4">
        <f>+SUM(L3:L7)</f>
        <v>2112.4999999999995</v>
      </c>
      <c r="M8" s="4">
        <f>+SUM(M3:M7)</f>
        <v>1972.4999999999998</v>
      </c>
      <c r="N8" s="4">
        <f>+SUM(N3:N7)</f>
        <v>2008.3999999999999</v>
      </c>
      <c r="O8" s="4">
        <v>2149.5</v>
      </c>
      <c r="P8" s="4">
        <f>(978300*2.20462)/10^3</f>
        <v>2156.7797459999997</v>
      </c>
      <c r="Q8" s="4">
        <f>+P8*0.995</f>
        <v>2145.9958472699996</v>
      </c>
      <c r="R8" s="4">
        <f t="shared" ref="R8:X8" si="8">+Q8*0.995</f>
        <v>2135.2658680336494</v>
      </c>
      <c r="S8" s="4">
        <f t="shared" si="8"/>
        <v>2124.5895386934812</v>
      </c>
      <c r="T8" s="4">
        <f t="shared" si="8"/>
        <v>2113.966591000014</v>
      </c>
      <c r="U8" s="4">
        <f t="shared" si="8"/>
        <v>2103.3967580450139</v>
      </c>
      <c r="V8" s="4">
        <f t="shared" si="8"/>
        <v>2092.879774254789</v>
      </c>
      <c r="W8" s="4">
        <f t="shared" si="8"/>
        <v>2082.4153753835149</v>
      </c>
      <c r="X8" s="4">
        <f t="shared" si="8"/>
        <v>2072.0032985065973</v>
      </c>
    </row>
    <row r="9" spans="2:224" s="13" customFormat="1">
      <c r="B9" s="13" t="s">
        <v>48</v>
      </c>
      <c r="C9" s="13">
        <v>14.2</v>
      </c>
      <c r="D9" s="13">
        <v>14</v>
      </c>
      <c r="E9" s="13">
        <v>15.1</v>
      </c>
      <c r="F9" s="13">
        <f t="shared" si="7"/>
        <v>15.900000000000006</v>
      </c>
      <c r="G9" s="13">
        <v>15.6</v>
      </c>
      <c r="H9" s="13">
        <v>16.899999999999999</v>
      </c>
      <c r="I9" s="13">
        <v>16</v>
      </c>
      <c r="J9" s="14">
        <f>+O9-SUM(G9:I9)</f>
        <v>13.670283999999995</v>
      </c>
      <c r="L9" s="13">
        <v>66.7</v>
      </c>
      <c r="M9" s="13">
        <v>57.8</v>
      </c>
      <c r="N9" s="13">
        <v>59.2</v>
      </c>
      <c r="O9" s="13">
        <f>(28200*2.20462)/10^3</f>
        <v>62.170283999999995</v>
      </c>
      <c r="P9" s="13">
        <f>+(26200*2.20462)/10^3</f>
        <v>57.761043999999991</v>
      </c>
      <c r="Q9" s="13">
        <f>+P9*0.99</f>
        <v>57.18343355999999</v>
      </c>
      <c r="R9" s="13">
        <f>+Q9*0.99</f>
        <v>56.611599224399988</v>
      </c>
      <c r="S9" s="13">
        <f>+R9*0.99</f>
        <v>56.045483232155988</v>
      </c>
      <c r="T9" s="13">
        <f>+S9</f>
        <v>56.045483232155988</v>
      </c>
      <c r="U9" s="13">
        <f t="shared" ref="U9:X9" si="9">+T9</f>
        <v>56.045483232155988</v>
      </c>
      <c r="V9" s="13">
        <f t="shared" si="9"/>
        <v>56.045483232155988</v>
      </c>
      <c r="W9" s="13">
        <f t="shared" si="9"/>
        <v>56.045483232155988</v>
      </c>
      <c r="X9" s="13">
        <f t="shared" si="9"/>
        <v>56.045483232155988</v>
      </c>
    </row>
    <row r="10" spans="2:224">
      <c r="B10" t="s">
        <v>50</v>
      </c>
      <c r="C10" s="1">
        <v>4.4000000000000004</v>
      </c>
      <c r="D10" s="1">
        <v>4.8</v>
      </c>
      <c r="E10" s="1">
        <v>4.4000000000000004</v>
      </c>
      <c r="F10" s="1">
        <f>+N10-SUM(C10:E10)</f>
        <v>4.7999999999999989</v>
      </c>
      <c r="G10" s="1">
        <v>4.8</v>
      </c>
      <c r="H10" s="1">
        <v>5.2</v>
      </c>
      <c r="I10" s="1">
        <v>5.3</v>
      </c>
      <c r="J10" s="1">
        <f>+O10-SUM(G10:I10)</f>
        <v>5.5</v>
      </c>
      <c r="L10">
        <v>19</v>
      </c>
      <c r="M10">
        <v>18.600000000000001</v>
      </c>
      <c r="N10">
        <v>18.399999999999999</v>
      </c>
      <c r="O10">
        <v>20.8</v>
      </c>
      <c r="P10">
        <f>+O10*1.05</f>
        <v>21.840000000000003</v>
      </c>
      <c r="Q10">
        <f>+P10*1.05</f>
        <v>22.932000000000006</v>
      </c>
      <c r="R10">
        <f>+Q10*1.05</f>
        <v>24.078600000000009</v>
      </c>
      <c r="S10">
        <f>+R10*1.05</f>
        <v>25.282530000000012</v>
      </c>
      <c r="T10" s="13">
        <f>+S10</f>
        <v>25.282530000000012</v>
      </c>
      <c r="U10" s="13">
        <f t="shared" ref="U10:X10" si="10">+T10</f>
        <v>25.282530000000012</v>
      </c>
      <c r="V10" s="13">
        <f t="shared" si="10"/>
        <v>25.282530000000012</v>
      </c>
      <c r="W10" s="13">
        <f t="shared" si="10"/>
        <v>25.282530000000012</v>
      </c>
      <c r="X10" s="13">
        <f t="shared" si="10"/>
        <v>25.282530000000012</v>
      </c>
    </row>
    <row r="11" spans="2:224" s="13" customFormat="1">
      <c r="B11" s="13" t="s">
        <v>71</v>
      </c>
      <c r="C11" s="13">
        <v>33.200000000000003</v>
      </c>
      <c r="D11" s="13">
        <v>38</v>
      </c>
      <c r="E11" s="13">
        <v>35.9</v>
      </c>
      <c r="F11" s="13">
        <f t="shared" si="7"/>
        <v>37.300000000000011</v>
      </c>
      <c r="G11" s="13">
        <v>58.1</v>
      </c>
      <c r="H11" s="13">
        <v>64.900000000000006</v>
      </c>
      <c r="I11" s="13">
        <v>68.5</v>
      </c>
      <c r="L11" s="13">
        <v>147.6</v>
      </c>
      <c r="M11" s="13">
        <v>132.30000000000001</v>
      </c>
      <c r="N11" s="13">
        <v>144.4</v>
      </c>
      <c r="O11" s="15">
        <f>(120300*2.20462)/10^3</f>
        <v>265.21578599999998</v>
      </c>
      <c r="P11" s="13">
        <f>+O11*1.1</f>
        <v>291.73736459999998</v>
      </c>
      <c r="Q11" s="13">
        <f>+P11*1.1</f>
        <v>320.91110106000002</v>
      </c>
      <c r="R11" s="13">
        <f>+Q11*1.1</f>
        <v>353.00221116600005</v>
      </c>
      <c r="S11" s="13">
        <f>+R11*1.1</f>
        <v>388.30243228260008</v>
      </c>
      <c r="T11" s="13">
        <f>+S11</f>
        <v>388.30243228260008</v>
      </c>
      <c r="U11" s="13">
        <f t="shared" ref="U11:X11" si="11">+T11</f>
        <v>388.30243228260008</v>
      </c>
      <c r="V11" s="13">
        <f t="shared" si="11"/>
        <v>388.30243228260008</v>
      </c>
      <c r="W11" s="13">
        <f t="shared" si="11"/>
        <v>388.30243228260008</v>
      </c>
      <c r="X11" s="13">
        <f t="shared" si="11"/>
        <v>388.30243228260008</v>
      </c>
    </row>
    <row r="13" spans="2:224">
      <c r="B13" s="8" t="s">
        <v>70</v>
      </c>
      <c r="J13" s="12"/>
    </row>
    <row r="14" spans="2:224" s="6" customFormat="1">
      <c r="B14" s="6" t="s">
        <v>68</v>
      </c>
      <c r="C14" s="6">
        <f>+C19/C8</f>
        <v>4.3651139780576997</v>
      </c>
      <c r="D14" s="6">
        <f t="shared" ref="D14:I14" si="12">+D19/D8</f>
        <v>3.5547099282296655</v>
      </c>
      <c r="E14" s="6">
        <f t="shared" si="12"/>
        <v>3.7596565697091271</v>
      </c>
      <c r="F14" s="6">
        <f t="shared" si="12"/>
        <v>3.4573497384227854</v>
      </c>
      <c r="G14" s="6">
        <f t="shared" si="12"/>
        <v>3.8584645015105745</v>
      </c>
      <c r="H14" s="6">
        <f t="shared" si="12"/>
        <v>4.4272160493827162</v>
      </c>
      <c r="I14" s="6">
        <f t="shared" si="12"/>
        <v>4.0635207696457467</v>
      </c>
      <c r="L14" s="6">
        <f t="shared" ref="L14:N14" si="13">+L19/L8</f>
        <v>4.1769555976331381</v>
      </c>
      <c r="M14" s="6">
        <f t="shared" si="13"/>
        <v>3.8204942965779467</v>
      </c>
      <c r="N14" s="6">
        <f t="shared" si="13"/>
        <v>3.7791667994423421</v>
      </c>
      <c r="O14" s="6">
        <f>+I14</f>
        <v>4.0635207696457467</v>
      </c>
      <c r="P14" s="6">
        <v>4.0999999999999996</v>
      </c>
      <c r="Q14" s="6">
        <v>4.0999999999999996</v>
      </c>
      <c r="R14" s="6">
        <v>4.0999999999999996</v>
      </c>
      <c r="S14" s="6">
        <v>4.0999999999999996</v>
      </c>
      <c r="T14" s="6">
        <v>4.0999999999999996</v>
      </c>
      <c r="U14" s="6">
        <v>4.0999999999999996</v>
      </c>
      <c r="V14" s="6">
        <v>4.0999999999999996</v>
      </c>
      <c r="W14" s="6">
        <v>4.0999999999999996</v>
      </c>
      <c r="X14" s="6">
        <v>4.0999999999999996</v>
      </c>
    </row>
    <row r="15" spans="2:224">
      <c r="B15" t="s">
        <v>69</v>
      </c>
      <c r="C15" s="6">
        <f>+C20/C9</f>
        <v>21.24938028169014</v>
      </c>
      <c r="D15" s="6">
        <f t="shared" ref="D15:I15" si="14">+D20/D9</f>
        <v>18.241264285714283</v>
      </c>
      <c r="E15" s="6">
        <f t="shared" si="14"/>
        <v>22.732927152317881</v>
      </c>
      <c r="F15" s="6">
        <f t="shared" si="14"/>
        <v>14.322962264150945</v>
      </c>
      <c r="G15" s="6">
        <f t="shared" si="14"/>
        <v>17.498653846153847</v>
      </c>
      <c r="H15" s="6">
        <f t="shared" si="14"/>
        <v>22.510804733727813</v>
      </c>
      <c r="I15" s="6">
        <f t="shared" si="14"/>
        <v>18.501306250000003</v>
      </c>
      <c r="L15" s="6">
        <f t="shared" ref="L15:N15" si="15">+L20/L9</f>
        <v>15.737235382308846</v>
      </c>
      <c r="M15" s="6">
        <f t="shared" si="15"/>
        <v>20.686852941176468</v>
      </c>
      <c r="N15" s="6">
        <f t="shared" si="15"/>
        <v>19.056101351351352</v>
      </c>
      <c r="O15" s="6">
        <f>+I15</f>
        <v>18.501306250000003</v>
      </c>
      <c r="P15" s="6">
        <v>19</v>
      </c>
      <c r="Q15" s="6">
        <v>19</v>
      </c>
      <c r="R15" s="6">
        <v>19</v>
      </c>
      <c r="S15" s="6">
        <v>19</v>
      </c>
      <c r="T15" s="6">
        <v>19</v>
      </c>
      <c r="U15" s="6">
        <v>19</v>
      </c>
      <c r="V15" s="6">
        <v>19</v>
      </c>
      <c r="W15" s="6">
        <v>19</v>
      </c>
      <c r="X15" s="6">
        <v>19</v>
      </c>
    </row>
    <row r="16" spans="2:224">
      <c r="B16" t="s">
        <v>53</v>
      </c>
      <c r="C16" s="6">
        <f>+C21/C10</f>
        <v>26.034068181818181</v>
      </c>
      <c r="D16" s="6">
        <f t="shared" ref="D16:I16" si="16">+D21/D10</f>
        <v>20.610437499999996</v>
      </c>
      <c r="E16" s="6">
        <f t="shared" si="16"/>
        <v>23.917090909090909</v>
      </c>
      <c r="F16" s="6">
        <f t="shared" si="16"/>
        <v>20.189250000000012</v>
      </c>
      <c r="G16" s="6">
        <f t="shared" si="16"/>
        <v>23.289874999999999</v>
      </c>
      <c r="H16" s="6">
        <f t="shared" si="16"/>
        <v>29.98365384615385</v>
      </c>
      <c r="I16" s="6">
        <f t="shared" si="16"/>
        <v>28.756</v>
      </c>
      <c r="L16" s="6">
        <f t="shared" ref="L16:N16" si="17">+L21/L10</f>
        <v>24.745594736842104</v>
      </c>
      <c r="M16" s="6">
        <f t="shared" si="17"/>
        <v>21.608387096774191</v>
      </c>
      <c r="N16" s="6">
        <f t="shared" si="17"/>
        <v>22.588239130434786</v>
      </c>
      <c r="O16" s="6">
        <f>+I16</f>
        <v>28.756</v>
      </c>
      <c r="P16" s="6">
        <v>28</v>
      </c>
      <c r="Q16" s="6">
        <v>28</v>
      </c>
      <c r="R16" s="6">
        <v>28</v>
      </c>
      <c r="S16" s="6">
        <v>28</v>
      </c>
      <c r="T16" s="6">
        <v>28</v>
      </c>
      <c r="U16" s="6">
        <v>28</v>
      </c>
      <c r="V16" s="6">
        <v>28</v>
      </c>
      <c r="W16" s="6">
        <v>28</v>
      </c>
      <c r="X16" s="6">
        <v>28</v>
      </c>
    </row>
    <row r="17" spans="2:24">
      <c r="B17" t="s">
        <v>55</v>
      </c>
      <c r="C17" s="6">
        <f>+C22/C11</f>
        <v>2.7770692771084335</v>
      </c>
      <c r="D17" s="6">
        <f t="shared" ref="D17:I17" si="18">+D22/D11</f>
        <v>1.6347078947368421</v>
      </c>
      <c r="E17" s="6">
        <f t="shared" si="18"/>
        <v>1.9542284122562676</v>
      </c>
      <c r="F17" s="6">
        <f t="shared" si="18"/>
        <v>1.9410080428954408</v>
      </c>
      <c r="G17" s="6">
        <f t="shared" si="18"/>
        <v>1.2081686746987952</v>
      </c>
      <c r="H17" s="6">
        <f t="shared" si="18"/>
        <v>1.7777673343605545</v>
      </c>
      <c r="I17" s="6">
        <f t="shared" si="18"/>
        <v>1.6686875912408761</v>
      </c>
      <c r="L17" s="6">
        <f t="shared" ref="L17:N17" si="19">+L22/L11</f>
        <v>2.0001402439024392</v>
      </c>
      <c r="M17" s="6">
        <f t="shared" si="19"/>
        <v>2.8100702947845799</v>
      </c>
      <c r="N17" s="6">
        <f t="shared" si="19"/>
        <v>2.0559141274238226</v>
      </c>
      <c r="O17" s="6">
        <f>+I17</f>
        <v>1.6686875912408761</v>
      </c>
      <c r="P17" s="6">
        <v>2.1</v>
      </c>
      <c r="Q17" s="6">
        <v>2.1</v>
      </c>
      <c r="R17" s="6">
        <v>2.1</v>
      </c>
      <c r="S17" s="6">
        <v>2.1</v>
      </c>
      <c r="T17" s="6">
        <v>2.1</v>
      </c>
      <c r="U17" s="6">
        <v>2.1</v>
      </c>
      <c r="V17" s="6">
        <v>2.1</v>
      </c>
      <c r="W17" s="6">
        <v>2.1</v>
      </c>
      <c r="X17" s="6">
        <v>2.1</v>
      </c>
    </row>
    <row r="19" spans="2:24" s="1" customFormat="1">
      <c r="B19" s="1" t="s">
        <v>51</v>
      </c>
      <c r="C19" s="1">
        <f>+C24*0.769</f>
        <v>2148.5091000000002</v>
      </c>
      <c r="D19" s="1">
        <f>+D24*0.775</f>
        <v>1783.0425</v>
      </c>
      <c r="E19" s="1">
        <f>+E24*0.748</f>
        <v>1874.1887999999999</v>
      </c>
      <c r="F19" s="1">
        <f>+N19-SUM(C19:E19)</f>
        <v>1784.3381999999992</v>
      </c>
      <c r="G19" s="1">
        <f>+G24*0.786</f>
        <v>2043.4428000000003</v>
      </c>
      <c r="H19" s="1">
        <f>+H24*0.759</f>
        <v>2366.7897000000003</v>
      </c>
      <c r="I19" s="1">
        <f>+I24*0.771</f>
        <v>2259.7239</v>
      </c>
      <c r="L19" s="1">
        <v>8823.8187000000016</v>
      </c>
      <c r="M19" s="1">
        <v>7535.9249999999993</v>
      </c>
      <c r="N19" s="1">
        <v>7590.0785999999998</v>
      </c>
      <c r="O19" s="1">
        <f>+O8*O14</f>
        <v>8734.5378943535325</v>
      </c>
      <c r="P19" s="1">
        <f t="shared" ref="P19:X19" si="20">+P8*P14</f>
        <v>8842.7969585999981</v>
      </c>
      <c r="Q19" s="1">
        <f t="shared" si="20"/>
        <v>8798.582973806997</v>
      </c>
      <c r="R19" s="1">
        <f t="shared" si="20"/>
        <v>8754.5900589379617</v>
      </c>
      <c r="S19" s="1">
        <f t="shared" si="20"/>
        <v>8710.8171086432721</v>
      </c>
      <c r="T19" s="1">
        <f t="shared" si="20"/>
        <v>8667.2630231000567</v>
      </c>
      <c r="U19" s="1">
        <f t="shared" si="20"/>
        <v>8623.9267079845558</v>
      </c>
      <c r="V19" s="1">
        <f t="shared" si="20"/>
        <v>8580.8070744446341</v>
      </c>
      <c r="W19" s="1">
        <f t="shared" si="20"/>
        <v>8537.903039072411</v>
      </c>
      <c r="X19" s="1">
        <f t="shared" si="20"/>
        <v>8495.2135238770479</v>
      </c>
    </row>
    <row r="20" spans="2:24" s="1" customFormat="1">
      <c r="B20" s="1" t="s">
        <v>52</v>
      </c>
      <c r="C20" s="1">
        <f>+C$24*0.108</f>
        <v>301.74119999999999</v>
      </c>
      <c r="D20" s="1">
        <f>+D$24*0.111</f>
        <v>255.37769999999998</v>
      </c>
      <c r="E20" s="1">
        <f>+E$24*0.137</f>
        <v>343.2672</v>
      </c>
      <c r="F20" s="1">
        <f t="shared" ref="F20:F39" si="21">+N20-SUM(C20:E20)</f>
        <v>227.7351000000001</v>
      </c>
      <c r="G20" s="1">
        <f>+G$24*0.105</f>
        <v>272.97899999999998</v>
      </c>
      <c r="H20" s="1">
        <f>+H$24*0.122</f>
        <v>380.43260000000004</v>
      </c>
      <c r="I20" s="1">
        <f>+I$24*0.101</f>
        <v>296.02090000000004</v>
      </c>
      <c r="L20" s="1">
        <v>1049.6736000000001</v>
      </c>
      <c r="M20" s="1">
        <v>1195.7000999999998</v>
      </c>
      <c r="N20" s="1">
        <v>1128.1212</v>
      </c>
      <c r="O20" s="1">
        <f>+O9*O15</f>
        <v>1150.231463933475</v>
      </c>
      <c r="P20" s="1">
        <f t="shared" ref="P20:X20" si="22">+P9*P15</f>
        <v>1097.4598359999998</v>
      </c>
      <c r="Q20" s="1">
        <f t="shared" si="22"/>
        <v>1086.4852376399999</v>
      </c>
      <c r="R20" s="1">
        <f t="shared" si="22"/>
        <v>1075.6203852635997</v>
      </c>
      <c r="S20" s="1">
        <f t="shared" si="22"/>
        <v>1064.8641814109637</v>
      </c>
      <c r="T20" s="1">
        <f t="shared" si="22"/>
        <v>1064.8641814109637</v>
      </c>
      <c r="U20" s="1">
        <f t="shared" si="22"/>
        <v>1064.8641814109637</v>
      </c>
      <c r="V20" s="1">
        <f t="shared" si="22"/>
        <v>1064.8641814109637</v>
      </c>
      <c r="W20" s="1">
        <f t="shared" si="22"/>
        <v>1064.8641814109637</v>
      </c>
      <c r="X20" s="1">
        <f t="shared" si="22"/>
        <v>1064.8641814109637</v>
      </c>
    </row>
    <row r="21" spans="2:24" s="1" customFormat="1">
      <c r="B21" s="1" t="s">
        <v>53</v>
      </c>
      <c r="C21" s="1">
        <f>+C$24*0.041</f>
        <v>114.54990000000001</v>
      </c>
      <c r="D21" s="1">
        <f>+D$24*0.043</f>
        <v>98.930099999999982</v>
      </c>
      <c r="E21" s="1">
        <f>+E$24*0.042</f>
        <v>105.23520000000001</v>
      </c>
      <c r="F21" s="1">
        <f t="shared" si="21"/>
        <v>96.908400000000029</v>
      </c>
      <c r="G21" s="1">
        <f>+G$24*0.043</f>
        <v>111.7914</v>
      </c>
      <c r="H21" s="1">
        <f>+H$24*0.05</f>
        <v>155.91500000000002</v>
      </c>
      <c r="I21" s="1">
        <f>+I$24*0.052</f>
        <v>152.4068</v>
      </c>
      <c r="L21" s="1">
        <v>470.16629999999998</v>
      </c>
      <c r="M21" s="1">
        <v>401.916</v>
      </c>
      <c r="N21" s="1">
        <v>415.62360000000001</v>
      </c>
      <c r="O21" s="1">
        <f>+O10*O16</f>
        <v>598.12480000000005</v>
      </c>
      <c r="P21" s="1">
        <f t="shared" ref="P21:X21" si="23">+P10*P16</f>
        <v>611.5200000000001</v>
      </c>
      <c r="Q21" s="1">
        <f t="shared" si="23"/>
        <v>642.09600000000012</v>
      </c>
      <c r="R21" s="1">
        <f t="shared" si="23"/>
        <v>674.2008000000003</v>
      </c>
      <c r="S21" s="1">
        <f t="shared" si="23"/>
        <v>707.91084000000035</v>
      </c>
      <c r="T21" s="1">
        <f t="shared" si="23"/>
        <v>707.91084000000035</v>
      </c>
      <c r="U21" s="1">
        <f t="shared" si="23"/>
        <v>707.91084000000035</v>
      </c>
      <c r="V21" s="1">
        <f t="shared" si="23"/>
        <v>707.91084000000035</v>
      </c>
      <c r="W21" s="1">
        <f t="shared" si="23"/>
        <v>707.91084000000035</v>
      </c>
      <c r="X21" s="1">
        <f t="shared" si="23"/>
        <v>707.91084000000035</v>
      </c>
    </row>
    <row r="22" spans="2:24" s="1" customFormat="1">
      <c r="B22" s="1" t="s">
        <v>55</v>
      </c>
      <c r="C22" s="1">
        <f>+C$24*0.033</f>
        <v>92.198700000000002</v>
      </c>
      <c r="D22" s="1">
        <f>+D$24*0.027</f>
        <v>62.118899999999996</v>
      </c>
      <c r="E22" s="1">
        <f>+E$24*0.028</f>
        <v>70.156800000000004</v>
      </c>
      <c r="F22" s="1">
        <f t="shared" si="21"/>
        <v>72.399599999999964</v>
      </c>
      <c r="G22" s="1">
        <f>+G$24*0.027</f>
        <v>70.194600000000008</v>
      </c>
      <c r="H22" s="1">
        <f>+H$24*0.037</f>
        <v>115.3771</v>
      </c>
      <c r="I22" s="1">
        <f>+I$24*0.039</f>
        <v>114.30510000000001</v>
      </c>
      <c r="L22" s="1">
        <v>295.22070000000002</v>
      </c>
      <c r="M22" s="1">
        <v>371.77229999999997</v>
      </c>
      <c r="N22" s="1">
        <v>296.87399999999997</v>
      </c>
      <c r="O22" s="1">
        <f>+O11*O17</f>
        <v>442.56229109939562</v>
      </c>
      <c r="P22" s="1">
        <f t="shared" ref="P22:X22" si="24">+P11*P17</f>
        <v>612.64846565999994</v>
      </c>
      <c r="Q22" s="1">
        <f t="shared" si="24"/>
        <v>673.91331222600013</v>
      </c>
      <c r="R22" s="1">
        <f t="shared" si="24"/>
        <v>741.30464344860013</v>
      </c>
      <c r="S22" s="1">
        <f t="shared" si="24"/>
        <v>815.43510779346025</v>
      </c>
      <c r="T22" s="1">
        <f t="shared" si="24"/>
        <v>815.43510779346025</v>
      </c>
      <c r="U22" s="1">
        <f t="shared" si="24"/>
        <v>815.43510779346025</v>
      </c>
      <c r="V22" s="1">
        <f t="shared" si="24"/>
        <v>815.43510779346025</v>
      </c>
      <c r="W22" s="1">
        <f t="shared" si="24"/>
        <v>815.43510779346025</v>
      </c>
      <c r="X22" s="1">
        <f t="shared" si="24"/>
        <v>815.43510779346025</v>
      </c>
    </row>
    <row r="23" spans="2:24" s="1" customFormat="1">
      <c r="B23" s="1" t="s">
        <v>54</v>
      </c>
      <c r="C23" s="1">
        <f>+C$24*0.049</f>
        <v>136.90110000000001</v>
      </c>
      <c r="D23" s="1">
        <f>+D$24*0.044</f>
        <v>101.23079999999999</v>
      </c>
      <c r="E23" s="1">
        <f>+E$24*0.045</f>
        <v>112.752</v>
      </c>
      <c r="F23" s="1">
        <f t="shared" si="21"/>
        <v>114.21869999999996</v>
      </c>
      <c r="G23" s="1">
        <f>+G$24*0.039</f>
        <v>101.3922</v>
      </c>
      <c r="H23" s="1">
        <f>+H$24*0.032</f>
        <v>99.785600000000002</v>
      </c>
      <c r="I23" s="1">
        <f>+I$24*0.037</f>
        <v>108.44329999999999</v>
      </c>
      <c r="L23" s="1">
        <v>295.22070000000002</v>
      </c>
      <c r="M23" s="1">
        <v>542.58659999999998</v>
      </c>
      <c r="N23" s="1">
        <v>465.10259999999994</v>
      </c>
      <c r="O23" s="1">
        <f>+O12*O18</f>
        <v>0</v>
      </c>
      <c r="P23" s="1">
        <f t="shared" ref="P23:X23" si="25">+P12*P18</f>
        <v>0</v>
      </c>
      <c r="Q23" s="1">
        <f t="shared" si="25"/>
        <v>0</v>
      </c>
      <c r="R23" s="1">
        <f t="shared" si="25"/>
        <v>0</v>
      </c>
      <c r="S23" s="1">
        <f t="shared" si="25"/>
        <v>0</v>
      </c>
      <c r="T23" s="1">
        <f t="shared" si="25"/>
        <v>0</v>
      </c>
      <c r="U23" s="1">
        <f t="shared" si="25"/>
        <v>0</v>
      </c>
      <c r="V23" s="1">
        <f t="shared" si="25"/>
        <v>0</v>
      </c>
      <c r="W23" s="1">
        <f t="shared" si="25"/>
        <v>0</v>
      </c>
      <c r="X23" s="1">
        <f t="shared" si="25"/>
        <v>0</v>
      </c>
    </row>
    <row r="24" spans="2:24" s="4" customFormat="1">
      <c r="B24" s="4" t="s">
        <v>25</v>
      </c>
      <c r="C24" s="4">
        <v>2793.9</v>
      </c>
      <c r="D24" s="4">
        <v>2300.6999999999998</v>
      </c>
      <c r="E24" s="4">
        <v>2505.6</v>
      </c>
      <c r="F24" s="4">
        <f t="shared" si="21"/>
        <v>2295.6000000000004</v>
      </c>
      <c r="G24" s="4">
        <v>2599.8000000000002</v>
      </c>
      <c r="H24" s="4">
        <v>3118.3</v>
      </c>
      <c r="I24" s="4">
        <v>2930.9</v>
      </c>
      <c r="L24" s="4">
        <f>SUM(L19:L23)</f>
        <v>10934.100000000002</v>
      </c>
      <c r="M24" s="4">
        <f>SUM(M19:M23)</f>
        <v>10047.9</v>
      </c>
      <c r="N24" s="4">
        <f>SUM(N19:N23)</f>
        <v>9895.8000000000011</v>
      </c>
      <c r="O24" s="1">
        <f>+SUM(O19:O23)</f>
        <v>10925.456449386402</v>
      </c>
      <c r="P24" s="1">
        <f t="shared" ref="P24:X24" si="26">+SUM(P19:P23)</f>
        <v>11164.425260259999</v>
      </c>
      <c r="Q24" s="1">
        <f t="shared" si="26"/>
        <v>11201.077523672997</v>
      </c>
      <c r="R24" s="1">
        <f t="shared" si="26"/>
        <v>11245.715887650162</v>
      </c>
      <c r="S24" s="1">
        <f t="shared" si="26"/>
        <v>11299.027237847697</v>
      </c>
      <c r="T24" s="1">
        <f t="shared" si="26"/>
        <v>11255.473152304481</v>
      </c>
      <c r="U24" s="1">
        <f t="shared" si="26"/>
        <v>11212.13683718898</v>
      </c>
      <c r="V24" s="1">
        <f t="shared" si="26"/>
        <v>11169.017203649059</v>
      </c>
      <c r="W24" s="1">
        <f t="shared" si="26"/>
        <v>11126.113168276835</v>
      </c>
      <c r="X24" s="1">
        <f t="shared" si="26"/>
        <v>11083.423653081472</v>
      </c>
    </row>
    <row r="25" spans="2:24">
      <c r="B25" t="s">
        <v>26</v>
      </c>
      <c r="C25">
        <v>1194.2</v>
      </c>
      <c r="D25">
        <v>1147.7</v>
      </c>
      <c r="E25">
        <v>1175.7</v>
      </c>
      <c r="F25" s="1">
        <f t="shared" si="21"/>
        <v>1170.0999999999995</v>
      </c>
      <c r="G25">
        <v>1157.5999999999999</v>
      </c>
      <c r="H25">
        <v>1248.9000000000001</v>
      </c>
      <c r="I25">
        <v>1223.0999999999999</v>
      </c>
      <c r="L25">
        <v>3894.4</v>
      </c>
      <c r="M25">
        <v>4649.1000000000004</v>
      </c>
      <c r="N25">
        <v>4687.7</v>
      </c>
      <c r="O25" s="1">
        <f>+O$24*(N25/N$24)</f>
        <v>5175.4544552020689</v>
      </c>
      <c r="P25" s="1">
        <f t="shared" ref="P25:X25" si="27">+P$24*(O25/O$24)</f>
        <v>5288.6554187150905</v>
      </c>
      <c r="Q25" s="1">
        <f t="shared" si="27"/>
        <v>5306.0178164192794</v>
      </c>
      <c r="R25" s="1">
        <f t="shared" si="27"/>
        <v>5327.1632780106374</v>
      </c>
      <c r="S25" s="1">
        <f t="shared" si="27"/>
        <v>5352.417185357288</v>
      </c>
      <c r="T25" s="1">
        <f t="shared" si="27"/>
        <v>5331.785352983864</v>
      </c>
      <c r="U25" s="1">
        <f t="shared" si="27"/>
        <v>5311.2566797723066</v>
      </c>
      <c r="V25" s="1">
        <f t="shared" si="27"/>
        <v>5290.8306499268074</v>
      </c>
      <c r="W25" s="1">
        <f t="shared" si="27"/>
        <v>5270.5067502305355</v>
      </c>
      <c r="X25" s="1">
        <f t="shared" si="27"/>
        <v>5250.2844700327441</v>
      </c>
    </row>
    <row r="26" spans="2:24">
      <c r="B26" t="s">
        <v>27</v>
      </c>
      <c r="C26">
        <v>30.8</v>
      </c>
      <c r="D26">
        <v>31</v>
      </c>
      <c r="E26">
        <v>32.700000000000003</v>
      </c>
      <c r="F26" s="1">
        <f t="shared" si="21"/>
        <v>32.700000000000003</v>
      </c>
      <c r="G26">
        <v>30.8</v>
      </c>
      <c r="H26">
        <v>33.9</v>
      </c>
      <c r="I26">
        <v>31.2</v>
      </c>
      <c r="L26">
        <v>125.2</v>
      </c>
      <c r="M26">
        <v>125</v>
      </c>
      <c r="N26">
        <v>127.2</v>
      </c>
      <c r="O26" s="1">
        <f t="shared" ref="O26:X33" si="28">+O$24*(N26/N$24)</f>
        <v>140.43514019704824</v>
      </c>
      <c r="P26" s="1">
        <f t="shared" si="28"/>
        <v>143.506830484152</v>
      </c>
      <c r="Q26" s="1">
        <f t="shared" si="28"/>
        <v>143.97795640688017</v>
      </c>
      <c r="R26" s="1">
        <f t="shared" si="28"/>
        <v>144.55173517139596</v>
      </c>
      <c r="S26" s="1">
        <f t="shared" si="28"/>
        <v>145.23699596336087</v>
      </c>
      <c r="T26" s="1">
        <f t="shared" si="28"/>
        <v>144.67715444664699</v>
      </c>
      <c r="U26" s="1">
        <f t="shared" si="28"/>
        <v>144.12011213751668</v>
      </c>
      <c r="V26" s="1">
        <f t="shared" si="28"/>
        <v>143.56585503993205</v>
      </c>
      <c r="W26" s="1">
        <f t="shared" si="28"/>
        <v>143.01436922783532</v>
      </c>
      <c r="X26" s="1">
        <f t="shared" si="28"/>
        <v>142.46564084479905</v>
      </c>
    </row>
    <row r="27" spans="2:24">
      <c r="B27" t="s">
        <v>28</v>
      </c>
      <c r="C27">
        <v>203.7</v>
      </c>
      <c r="D27">
        <v>209.2</v>
      </c>
      <c r="E27">
        <v>212.5</v>
      </c>
      <c r="F27" s="1">
        <f t="shared" si="21"/>
        <v>208.20000000000005</v>
      </c>
      <c r="G27">
        <v>209</v>
      </c>
      <c r="H27">
        <v>209.6</v>
      </c>
      <c r="I27">
        <v>213.1</v>
      </c>
      <c r="L27">
        <v>806</v>
      </c>
      <c r="M27">
        <v>796.3</v>
      </c>
      <c r="N27">
        <v>833.6</v>
      </c>
      <c r="O27" s="1">
        <f t="shared" si="28"/>
        <v>920.33595022216525</v>
      </c>
      <c r="P27" s="1">
        <f t="shared" si="28"/>
        <v>940.46614694645541</v>
      </c>
      <c r="Q27" s="1">
        <f t="shared" si="28"/>
        <v>943.55365142118967</v>
      </c>
      <c r="R27" s="1">
        <f t="shared" si="28"/>
        <v>947.31388709807936</v>
      </c>
      <c r="S27" s="1">
        <f t="shared" si="28"/>
        <v>951.80471568441544</v>
      </c>
      <c r="T27" s="1">
        <f t="shared" si="28"/>
        <v>948.13581719123408</v>
      </c>
      <c r="U27" s="1">
        <f t="shared" si="28"/>
        <v>944.48526319051848</v>
      </c>
      <c r="V27" s="1">
        <f t="shared" si="28"/>
        <v>940.85296195980652</v>
      </c>
      <c r="W27" s="1">
        <f t="shared" si="28"/>
        <v>937.23882223524811</v>
      </c>
      <c r="X27" s="1">
        <f t="shared" si="28"/>
        <v>933.64275320931245</v>
      </c>
    </row>
    <row r="28" spans="2:24">
      <c r="B28" t="s">
        <v>29</v>
      </c>
      <c r="C28">
        <v>11.9</v>
      </c>
      <c r="D28">
        <v>12.1</v>
      </c>
      <c r="E28">
        <v>15.5</v>
      </c>
      <c r="F28" s="1">
        <f t="shared" si="21"/>
        <v>15.5</v>
      </c>
      <c r="G28">
        <v>12.7</v>
      </c>
      <c r="H28">
        <v>18.600000000000001</v>
      </c>
      <c r="I28">
        <v>13.2</v>
      </c>
      <c r="L28">
        <v>43.4</v>
      </c>
      <c r="M28">
        <v>41.7</v>
      </c>
      <c r="N28">
        <v>55</v>
      </c>
      <c r="O28" s="1">
        <f>+O$24*(N28/N$24)</f>
        <v>60.722741437402945</v>
      </c>
      <c r="P28" s="1">
        <f t="shared" si="28"/>
        <v>62.050909407455677</v>
      </c>
      <c r="Q28" s="1">
        <f t="shared" si="28"/>
        <v>62.254619515553543</v>
      </c>
      <c r="R28" s="1">
        <f t="shared" si="28"/>
        <v>62.502715679455811</v>
      </c>
      <c r="S28" s="1">
        <f t="shared" si="28"/>
        <v>62.799015550195364</v>
      </c>
      <c r="T28" s="1">
        <f t="shared" si="28"/>
        <v>62.556945711993613</v>
      </c>
      <c r="U28" s="1">
        <f t="shared" si="28"/>
        <v>62.316086222982868</v>
      </c>
      <c r="V28" s="1">
        <f t="shared" si="28"/>
        <v>62.076431031417187</v>
      </c>
      <c r="W28" s="1">
        <f t="shared" si="28"/>
        <v>61.837974115809324</v>
      </c>
      <c r="X28" s="1">
        <f t="shared" si="28"/>
        <v>61.600709484779493</v>
      </c>
    </row>
    <row r="29" spans="2:24">
      <c r="B29" s="3" t="s">
        <v>30</v>
      </c>
      <c r="C29" s="1">
        <f>+C24-SUM(C25:C28)</f>
        <v>1353.3</v>
      </c>
      <c r="D29" s="1">
        <f>+D24-SUM(D25:D28)</f>
        <v>900.69999999999982</v>
      </c>
      <c r="E29" s="1">
        <f>+E24-SUM(E25:E28)</f>
        <v>1069.1999999999998</v>
      </c>
      <c r="F29" s="1">
        <f t="shared" si="21"/>
        <v>869.10000000000127</v>
      </c>
      <c r="G29" s="1">
        <f>+G24-SUM(G25:G28)</f>
        <v>1189.7000000000003</v>
      </c>
      <c r="H29" s="1">
        <f>+H24-SUM(H25:H28)</f>
        <v>1607.3000000000002</v>
      </c>
      <c r="I29" s="1">
        <f>+I24-SUM(I25:I28)</f>
        <v>1450.3000000000002</v>
      </c>
      <c r="J29" s="3"/>
      <c r="K29" s="3"/>
      <c r="L29" s="1">
        <f>+L24-SUM(L25:L28)</f>
        <v>6065.1000000000022</v>
      </c>
      <c r="M29" s="1">
        <f>+M24-SUM(M25:M28)</f>
        <v>4435.7999999999993</v>
      </c>
      <c r="N29" s="1">
        <f>+N24-SUM(N25:N28)</f>
        <v>4192.3000000000011</v>
      </c>
      <c r="O29" s="1">
        <f>+O24-SUM(O25:O28)</f>
        <v>4628.5081623277165</v>
      </c>
      <c r="P29" s="1">
        <f t="shared" ref="P29:X29" si="29">+P24-SUM(P25:P28)</f>
        <v>4729.7459547068456</v>
      </c>
      <c r="Q29" s="1">
        <f t="shared" si="29"/>
        <v>4745.2734799100936</v>
      </c>
      <c r="R29" s="1">
        <f t="shared" si="29"/>
        <v>4764.1842716905931</v>
      </c>
      <c r="S29" s="1">
        <f t="shared" si="29"/>
        <v>4786.7693252924364</v>
      </c>
      <c r="T29" s="1">
        <f t="shared" si="29"/>
        <v>4768.3178819707418</v>
      </c>
      <c r="U29" s="1">
        <f t="shared" si="29"/>
        <v>4749.9586958656555</v>
      </c>
      <c r="V29" s="1">
        <f t="shared" si="29"/>
        <v>4731.6913056910953</v>
      </c>
      <c r="W29" s="1">
        <f t="shared" si="29"/>
        <v>4713.5152524674068</v>
      </c>
      <c r="X29" s="1">
        <f t="shared" si="29"/>
        <v>4695.4300795098379</v>
      </c>
    </row>
    <row r="30" spans="2:24">
      <c r="B30" s="3" t="s">
        <v>31</v>
      </c>
      <c r="C30">
        <v>-94.1</v>
      </c>
      <c r="D30">
        <v>-94</v>
      </c>
      <c r="E30">
        <v>-94.2</v>
      </c>
      <c r="F30" s="1">
        <f t="shared" si="21"/>
        <v>-94</v>
      </c>
      <c r="G30">
        <v>-94.2</v>
      </c>
      <c r="H30">
        <v>-94.1</v>
      </c>
      <c r="I30">
        <v>-94.1</v>
      </c>
      <c r="J30" s="3"/>
      <c r="K30" s="3"/>
      <c r="L30">
        <v>-387.9</v>
      </c>
      <c r="M30">
        <v>-387.1</v>
      </c>
      <c r="N30">
        <v>-376.3</v>
      </c>
      <c r="O30" s="1">
        <f t="shared" si="28"/>
        <v>-415.45395641626777</v>
      </c>
      <c r="P30" s="1">
        <f t="shared" si="28"/>
        <v>-424.54104018228315</v>
      </c>
      <c r="Q30" s="1">
        <f t="shared" si="28"/>
        <v>-425.93478770368728</v>
      </c>
      <c r="R30" s="1">
        <f t="shared" si="28"/>
        <v>-427.63221654871313</v>
      </c>
      <c r="S30" s="1">
        <f t="shared" si="28"/>
        <v>-429.65944639160938</v>
      </c>
      <c r="T30" s="1">
        <f t="shared" si="28"/>
        <v>-428.00324857133086</v>
      </c>
      <c r="U30" s="1">
        <f t="shared" si="28"/>
        <v>-426.3553317401537</v>
      </c>
      <c r="V30" s="1">
        <f t="shared" si="28"/>
        <v>-424.71565449313249</v>
      </c>
      <c r="W30" s="1">
        <f t="shared" si="28"/>
        <v>-423.08417563234633</v>
      </c>
      <c r="X30" s="1">
        <f t="shared" si="28"/>
        <v>-421.46085416586408</v>
      </c>
    </row>
    <row r="31" spans="2:24">
      <c r="B31" s="3" t="s">
        <v>32</v>
      </c>
      <c r="C31">
        <v>11.4</v>
      </c>
      <c r="D31">
        <v>12.4</v>
      </c>
      <c r="E31">
        <v>12.7</v>
      </c>
      <c r="F31" s="1">
        <f t="shared" si="21"/>
        <v>13.100000000000001</v>
      </c>
      <c r="G31">
        <v>13.7</v>
      </c>
      <c r="H31">
        <v>10.8</v>
      </c>
      <c r="I31">
        <v>11</v>
      </c>
      <c r="J31" s="3"/>
      <c r="K31" s="3"/>
      <c r="L31">
        <v>30.8</v>
      </c>
      <c r="M31">
        <v>47</v>
      </c>
      <c r="N31">
        <v>49.6</v>
      </c>
      <c r="O31" s="1">
        <f t="shared" si="28"/>
        <v>54.76087227809429</v>
      </c>
      <c r="P31" s="1">
        <f t="shared" si="28"/>
        <v>55.958638301996388</v>
      </c>
      <c r="Q31" s="1">
        <f t="shared" si="28"/>
        <v>56.142347781299193</v>
      </c>
      <c r="R31" s="1">
        <f t="shared" si="28"/>
        <v>56.366085412745605</v>
      </c>
      <c r="S31" s="1">
        <f t="shared" si="28"/>
        <v>56.633294023448904</v>
      </c>
      <c r="T31" s="1">
        <f t="shared" si="28"/>
        <v>56.414991042088786</v>
      </c>
      <c r="U31" s="1">
        <f t="shared" si="28"/>
        <v>56.197779575635458</v>
      </c>
      <c r="V31" s="1">
        <f t="shared" si="28"/>
        <v>55.981654166514403</v>
      </c>
      <c r="W31" s="1">
        <f t="shared" si="28"/>
        <v>55.766609384438951</v>
      </c>
      <c r="X31" s="1">
        <f t="shared" si="28"/>
        <v>55.552639826273868</v>
      </c>
    </row>
    <row r="32" spans="2:24">
      <c r="B32" s="3" t="s">
        <v>33</v>
      </c>
      <c r="C32">
        <v>10.5</v>
      </c>
      <c r="D32">
        <v>5.6</v>
      </c>
      <c r="E32">
        <v>8.9</v>
      </c>
      <c r="F32" s="1">
        <f t="shared" si="21"/>
        <v>-21.4</v>
      </c>
      <c r="G32">
        <v>19</v>
      </c>
      <c r="H32">
        <v>-19.899999999999999</v>
      </c>
      <c r="I32">
        <v>21.2</v>
      </c>
      <c r="J32" s="3"/>
      <c r="K32" s="3"/>
      <c r="L32">
        <v>-18.399999999999999</v>
      </c>
      <c r="M32">
        <v>117.1</v>
      </c>
      <c r="N32">
        <v>3.6</v>
      </c>
      <c r="O32" s="1">
        <f t="shared" si="28"/>
        <v>3.9745794395391019</v>
      </c>
      <c r="P32" s="1">
        <f t="shared" si="28"/>
        <v>4.06151407030619</v>
      </c>
      <c r="Q32" s="1">
        <f t="shared" si="28"/>
        <v>4.0748478228362321</v>
      </c>
      <c r="R32" s="1">
        <f t="shared" si="28"/>
        <v>4.0910868444734714</v>
      </c>
      <c r="S32" s="1">
        <f t="shared" si="28"/>
        <v>4.1104810178309688</v>
      </c>
      <c r="T32" s="1">
        <f t="shared" si="28"/>
        <v>4.0946364466032179</v>
      </c>
      <c r="U32" s="1">
        <f t="shared" si="28"/>
        <v>4.0788710982316054</v>
      </c>
      <c r="V32" s="1">
        <f t="shared" si="28"/>
        <v>4.0631845766018513</v>
      </c>
      <c r="W32" s="1">
        <f t="shared" si="28"/>
        <v>4.0475764875802458</v>
      </c>
      <c r="X32" s="1">
        <f t="shared" si="28"/>
        <v>4.0320464390037483</v>
      </c>
    </row>
    <row r="33" spans="2:224">
      <c r="B33" s="3" t="s">
        <v>37</v>
      </c>
      <c r="C33">
        <v>21.3</v>
      </c>
      <c r="D33">
        <v>23.2</v>
      </c>
      <c r="E33">
        <v>20.8</v>
      </c>
      <c r="F33" s="1">
        <f t="shared" si="21"/>
        <v>21.299999999999997</v>
      </c>
      <c r="G33">
        <v>27.3</v>
      </c>
      <c r="H33">
        <v>26.5</v>
      </c>
      <c r="I33">
        <v>38.299999999999997</v>
      </c>
      <c r="J33" s="3"/>
      <c r="K33" s="3"/>
      <c r="L33">
        <v>7.2</v>
      </c>
      <c r="M33">
        <v>35</v>
      </c>
      <c r="N33">
        <v>86.6</v>
      </c>
      <c r="O33" s="1">
        <f t="shared" si="28"/>
        <v>95.610716517801706</v>
      </c>
      <c r="P33" s="1">
        <f t="shared" si="28"/>
        <v>97.701977357921109</v>
      </c>
      <c r="Q33" s="1">
        <f t="shared" si="28"/>
        <v>98.022728182671571</v>
      </c>
      <c r="R33" s="1">
        <f t="shared" si="28"/>
        <v>98.41336686983405</v>
      </c>
      <c r="S33" s="1">
        <f t="shared" si="28"/>
        <v>98.879904484489415</v>
      </c>
      <c r="T33" s="1">
        <f t="shared" si="28"/>
        <v>98.498754521066289</v>
      </c>
      <c r="U33" s="1">
        <f t="shared" si="28"/>
        <v>98.119510307460288</v>
      </c>
      <c r="V33" s="1">
        <f t="shared" si="28"/>
        <v>97.742162314922311</v>
      </c>
      <c r="W33" s="1">
        <f t="shared" si="28"/>
        <v>97.366701062347033</v>
      </c>
      <c r="X33" s="1">
        <f t="shared" si="28"/>
        <v>96.993117116034611</v>
      </c>
    </row>
    <row r="34" spans="2:224">
      <c r="B34" s="3" t="s">
        <v>34</v>
      </c>
      <c r="C34" s="1">
        <f>+SUM(C29:C33)</f>
        <v>1302.4000000000001</v>
      </c>
      <c r="D34" s="1">
        <f>+SUM(D29:D33)</f>
        <v>847.89999999999986</v>
      </c>
      <c r="E34" s="1">
        <f>+SUM(E29:E33)</f>
        <v>1017.3999999999997</v>
      </c>
      <c r="F34" s="1">
        <f t="shared" si="21"/>
        <v>788.10000000000082</v>
      </c>
      <c r="G34" s="1">
        <f>+SUM(G29:G33)</f>
        <v>1155.5000000000002</v>
      </c>
      <c r="H34" s="1">
        <f>+SUM(H29:H33)</f>
        <v>1530.6000000000001</v>
      </c>
      <c r="I34" s="1">
        <f>+SUM(I29:I33)</f>
        <v>1426.7000000000003</v>
      </c>
      <c r="J34" s="3"/>
      <c r="K34" s="3"/>
      <c r="L34" s="1">
        <f>+SUM(L29:L33)</f>
        <v>5696.8000000000029</v>
      </c>
      <c r="M34" s="1">
        <f>+SUM(M29:M33)</f>
        <v>4247.7999999999993</v>
      </c>
      <c r="N34" s="1">
        <f>+SUM(N29:N33)</f>
        <v>3955.8000000000006</v>
      </c>
      <c r="O34" s="1">
        <f>+SUM(O29:O33)</f>
        <v>4367.4003741468841</v>
      </c>
      <c r="P34" s="1">
        <f t="shared" ref="P34:X34" si="30">+SUM(P29:P33)</f>
        <v>4462.9270442547859</v>
      </c>
      <c r="Q34" s="1">
        <f t="shared" si="30"/>
        <v>4477.578615993214</v>
      </c>
      <c r="R34" s="1">
        <f t="shared" si="30"/>
        <v>4495.4225942689327</v>
      </c>
      <c r="S34" s="1">
        <f t="shared" si="30"/>
        <v>4516.7335584265966</v>
      </c>
      <c r="T34" s="1">
        <f t="shared" si="30"/>
        <v>4499.3230154091689</v>
      </c>
      <c r="U34" s="1">
        <f t="shared" si="30"/>
        <v>4481.9995251068294</v>
      </c>
      <c r="V34" s="1">
        <f t="shared" si="30"/>
        <v>4464.7626522560013</v>
      </c>
      <c r="W34" s="1">
        <f t="shared" si="30"/>
        <v>4447.6119637694264</v>
      </c>
      <c r="X34" s="1">
        <f t="shared" si="30"/>
        <v>4430.5470287252847</v>
      </c>
    </row>
    <row r="35" spans="2:224">
      <c r="B35" s="3" t="s">
        <v>35</v>
      </c>
      <c r="C35">
        <v>480.5</v>
      </c>
      <c r="D35">
        <v>294.5</v>
      </c>
      <c r="E35">
        <v>395.3</v>
      </c>
      <c r="F35" s="1">
        <f t="shared" si="21"/>
        <v>407.70000000000005</v>
      </c>
      <c r="G35">
        <v>423.4</v>
      </c>
      <c r="H35">
        <v>578.79999999999995</v>
      </c>
      <c r="I35">
        <v>562.4</v>
      </c>
      <c r="J35" s="3"/>
      <c r="K35" s="3"/>
      <c r="L35">
        <v>-2425.5</v>
      </c>
      <c r="M35">
        <v>1477.5</v>
      </c>
      <c r="N35">
        <v>1578</v>
      </c>
      <c r="O35" s="1">
        <f>+O$34*(N35/N$34)</f>
        <v>1742.1906543313066</v>
      </c>
      <c r="P35" s="1">
        <f t="shared" ref="P35:X35" si="31">+P$34*(O35/O$34)</f>
        <v>1780.2970008175466</v>
      </c>
      <c r="Q35" s="1">
        <f t="shared" si="31"/>
        <v>1786.1416290098819</v>
      </c>
      <c r="R35" s="1">
        <f t="shared" si="31"/>
        <v>1793.2597334942047</v>
      </c>
      <c r="S35" s="1">
        <f t="shared" si="31"/>
        <v>1801.7608461492412</v>
      </c>
      <c r="T35" s="1">
        <f t="shared" si="31"/>
        <v>1794.8156424277436</v>
      </c>
      <c r="U35" s="1">
        <f t="shared" si="31"/>
        <v>1787.9051647248536</v>
      </c>
      <c r="V35" s="1">
        <f t="shared" si="31"/>
        <v>1781.0292394104781</v>
      </c>
      <c r="W35" s="1">
        <f t="shared" si="31"/>
        <v>1774.1876937226741</v>
      </c>
      <c r="X35" s="1">
        <f t="shared" si="31"/>
        <v>1767.3803557633091</v>
      </c>
    </row>
    <row r="36" spans="2:224">
      <c r="B36" s="3" t="s">
        <v>38</v>
      </c>
      <c r="C36">
        <v>0</v>
      </c>
      <c r="D36">
        <v>0</v>
      </c>
      <c r="E36">
        <v>0</v>
      </c>
      <c r="F36" s="1">
        <f t="shared" si="21"/>
        <v>-59.1</v>
      </c>
      <c r="G36">
        <v>0</v>
      </c>
      <c r="H36">
        <v>0</v>
      </c>
      <c r="I36">
        <v>0</v>
      </c>
      <c r="J36" s="3"/>
      <c r="K36" s="3"/>
      <c r="L36">
        <v>-126.3</v>
      </c>
      <c r="M36">
        <v>118.6</v>
      </c>
      <c r="N36">
        <v>-59.1</v>
      </c>
      <c r="O36" s="1">
        <f>+O$34*(N36/N$34)</f>
        <v>-65.249345799100254</v>
      </c>
      <c r="P36" s="1">
        <f t="shared" ref="P36:X36" si="32">+P$34*(O36/O$34)</f>
        <v>-66.676522654193278</v>
      </c>
      <c r="Q36" s="1">
        <f t="shared" si="32"/>
        <v>-66.8954184248948</v>
      </c>
      <c r="R36" s="1">
        <f t="shared" si="32"/>
        <v>-67.16200903010612</v>
      </c>
      <c r="S36" s="1">
        <f t="shared" si="32"/>
        <v>-67.480396709391712</v>
      </c>
      <c r="T36" s="1">
        <f t="shared" si="32"/>
        <v>-67.220281665069464</v>
      </c>
      <c r="U36" s="1">
        <f t="shared" si="32"/>
        <v>-66.961467195968837</v>
      </c>
      <c r="V36" s="1">
        <f t="shared" si="32"/>
        <v>-66.703946799213711</v>
      </c>
      <c r="W36" s="1">
        <f t="shared" si="32"/>
        <v>-66.447714004442346</v>
      </c>
      <c r="X36" s="1">
        <f t="shared" si="32"/>
        <v>-66.19276237364484</v>
      </c>
    </row>
    <row r="37" spans="2:224" s="4" customFormat="1">
      <c r="B37" s="4" t="s">
        <v>36</v>
      </c>
      <c r="C37" s="4">
        <f>+C34-SUM(C35:C36)</f>
        <v>821.90000000000009</v>
      </c>
      <c r="D37" s="4">
        <f>+D34-SUM(D35:D36)</f>
        <v>553.39999999999986</v>
      </c>
      <c r="E37" s="4">
        <f>+E34-SUM(E35:E36)</f>
        <v>622.09999999999968</v>
      </c>
      <c r="F37" s="4">
        <f t="shared" si="21"/>
        <v>439.50000000000091</v>
      </c>
      <c r="G37" s="4">
        <f>+G34-SUM(G35:G36)</f>
        <v>732.10000000000025</v>
      </c>
      <c r="H37" s="4">
        <f>+H34-SUM(H35:H36)</f>
        <v>951.80000000000018</v>
      </c>
      <c r="I37" s="4">
        <f>+I34-SUM(I35:I36)</f>
        <v>864.3000000000003</v>
      </c>
      <c r="L37" s="4">
        <f>+SUM(L34:L36)</f>
        <v>3145.0000000000027</v>
      </c>
      <c r="M37" s="4">
        <f>+M34-SUM(M35:M36)</f>
        <v>2651.6999999999994</v>
      </c>
      <c r="N37" s="4">
        <f>+N34-SUM(N35:N36)</f>
        <v>2436.9000000000005</v>
      </c>
      <c r="O37" s="4">
        <f>+O34-SUM(O35:O36)</f>
        <v>2690.4590656146775</v>
      </c>
      <c r="P37" s="4">
        <f t="shared" ref="P37:X37" si="33">+P34-SUM(P35:P36)</f>
        <v>2749.3065660914326</v>
      </c>
      <c r="Q37" s="4">
        <f t="shared" si="33"/>
        <v>2758.3324054082268</v>
      </c>
      <c r="R37" s="4">
        <f t="shared" si="33"/>
        <v>2769.3248698048342</v>
      </c>
      <c r="S37" s="4">
        <f t="shared" si="33"/>
        <v>2782.4531089867469</v>
      </c>
      <c r="T37" s="4">
        <f t="shared" si="33"/>
        <v>2771.7276546464946</v>
      </c>
      <c r="U37" s="4">
        <f t="shared" si="33"/>
        <v>2761.0558275779449</v>
      </c>
      <c r="V37" s="4">
        <f t="shared" si="33"/>
        <v>2750.4373596447367</v>
      </c>
      <c r="W37" s="4">
        <f t="shared" si="33"/>
        <v>2739.8719840511949</v>
      </c>
      <c r="X37" s="4">
        <f t="shared" si="33"/>
        <v>2729.3594353356202</v>
      </c>
      <c r="Y37" s="4">
        <f>+X37*(1+$AA$43)</f>
        <v>2756.6530296889764</v>
      </c>
      <c r="Z37" s="4">
        <f>+Y37*(1+$AA$43)</f>
        <v>2784.219559985866</v>
      </c>
      <c r="AA37" s="4">
        <f t="shared" ref="AA37:CL37" si="34">+Z37*(1+$AA$43)</f>
        <v>2812.0617555857248</v>
      </c>
      <c r="AB37" s="4">
        <f t="shared" si="34"/>
        <v>2840.182373141582</v>
      </c>
      <c r="AC37" s="4">
        <f t="shared" si="34"/>
        <v>2868.5841968729978</v>
      </c>
      <c r="AD37" s="4">
        <f t="shared" si="34"/>
        <v>2897.2700388417279</v>
      </c>
      <c r="AE37" s="4">
        <f t="shared" si="34"/>
        <v>2926.2427392301452</v>
      </c>
      <c r="AF37" s="4">
        <f t="shared" si="34"/>
        <v>2955.5051666224467</v>
      </c>
      <c r="AG37" s="4">
        <f t="shared" si="34"/>
        <v>2985.0602182886714</v>
      </c>
      <c r="AH37" s="4">
        <f t="shared" si="34"/>
        <v>3014.9108204715581</v>
      </c>
      <c r="AI37" s="4">
        <f t="shared" si="34"/>
        <v>3045.0599286762736</v>
      </c>
      <c r="AJ37" s="4">
        <f t="shared" si="34"/>
        <v>3075.5105279630361</v>
      </c>
      <c r="AK37" s="4">
        <f t="shared" si="34"/>
        <v>3106.2656332426664</v>
      </c>
      <c r="AL37" s="4">
        <f t="shared" si="34"/>
        <v>3137.3282895750931</v>
      </c>
      <c r="AM37" s="4">
        <f t="shared" si="34"/>
        <v>3168.701572470844</v>
      </c>
      <c r="AN37" s="4">
        <f t="shared" si="34"/>
        <v>3200.3885881955525</v>
      </c>
      <c r="AO37" s="4">
        <f t="shared" si="34"/>
        <v>3232.3924740775083</v>
      </c>
      <c r="AP37" s="4">
        <f t="shared" si="34"/>
        <v>3264.7163988182833</v>
      </c>
      <c r="AQ37" s="4">
        <f t="shared" si="34"/>
        <v>3297.3635628064662</v>
      </c>
      <c r="AR37" s="4">
        <f t="shared" si="34"/>
        <v>3330.3371984345308</v>
      </c>
      <c r="AS37" s="4">
        <f t="shared" si="34"/>
        <v>3363.640570418876</v>
      </c>
      <c r="AT37" s="4">
        <f t="shared" si="34"/>
        <v>3397.2769761230647</v>
      </c>
      <c r="AU37" s="4">
        <f t="shared" si="34"/>
        <v>3431.2497458842954</v>
      </c>
      <c r="AV37" s="4">
        <f t="shared" si="34"/>
        <v>3465.5622433431386</v>
      </c>
      <c r="AW37" s="4">
        <f t="shared" si="34"/>
        <v>3500.2178657765699</v>
      </c>
      <c r="AX37" s="4">
        <f t="shared" si="34"/>
        <v>3535.2200444343357</v>
      </c>
      <c r="AY37" s="4">
        <f t="shared" si="34"/>
        <v>3570.5722448786792</v>
      </c>
      <c r="AZ37" s="4">
        <f t="shared" si="34"/>
        <v>3606.2779673274658</v>
      </c>
      <c r="BA37" s="4">
        <f t="shared" si="34"/>
        <v>3642.3407470007405</v>
      </c>
      <c r="BB37" s="4">
        <f t="shared" si="34"/>
        <v>3678.7641544707481</v>
      </c>
      <c r="BC37" s="4">
        <f t="shared" si="34"/>
        <v>3715.5517960154557</v>
      </c>
      <c r="BD37" s="4">
        <f t="shared" si="34"/>
        <v>3752.7073139756103</v>
      </c>
      <c r="BE37" s="4">
        <f t="shared" si="34"/>
        <v>3790.2343871153666</v>
      </c>
      <c r="BF37" s="4">
        <f t="shared" si="34"/>
        <v>3828.1367309865204</v>
      </c>
      <c r="BG37" s="4">
        <f t="shared" si="34"/>
        <v>3866.4180982963858</v>
      </c>
      <c r="BH37" s="4">
        <f t="shared" si="34"/>
        <v>3905.0822792793497</v>
      </c>
      <c r="BI37" s="4">
        <f t="shared" si="34"/>
        <v>3944.1331020721432</v>
      </c>
      <c r="BJ37" s="4">
        <f t="shared" si="34"/>
        <v>3983.5744330928646</v>
      </c>
      <c r="BK37" s="4">
        <f t="shared" si="34"/>
        <v>4023.4101774237934</v>
      </c>
      <c r="BL37" s="4">
        <f t="shared" si="34"/>
        <v>4063.6442791980312</v>
      </c>
      <c r="BM37" s="4">
        <f t="shared" si="34"/>
        <v>4104.2807219900114</v>
      </c>
      <c r="BN37" s="4">
        <f t="shared" si="34"/>
        <v>4145.3235292099116</v>
      </c>
      <c r="BO37" s="4">
        <f t="shared" si="34"/>
        <v>4186.7767645020103</v>
      </c>
      <c r="BP37" s="4">
        <f t="shared" si="34"/>
        <v>4228.6445321470301</v>
      </c>
      <c r="BQ37" s="4">
        <f t="shared" si="34"/>
        <v>4270.9309774685007</v>
      </c>
      <c r="BR37" s="4">
        <f t="shared" si="34"/>
        <v>4313.6402872431854</v>
      </c>
      <c r="BS37" s="4">
        <f t="shared" si="34"/>
        <v>4356.7766901156174</v>
      </c>
      <c r="BT37" s="4">
        <f t="shared" si="34"/>
        <v>4400.344457016774</v>
      </c>
      <c r="BU37" s="4">
        <f t="shared" si="34"/>
        <v>4444.3479015869416</v>
      </c>
      <c r="BV37" s="4">
        <f t="shared" si="34"/>
        <v>4488.7913806028109</v>
      </c>
      <c r="BW37" s="4">
        <f t="shared" si="34"/>
        <v>4533.6792944088393</v>
      </c>
      <c r="BX37" s="4">
        <f t="shared" si="34"/>
        <v>4579.0160873529276</v>
      </c>
      <c r="BY37" s="4">
        <f t="shared" si="34"/>
        <v>4624.8062482264568</v>
      </c>
      <c r="BZ37" s="4">
        <f t="shared" si="34"/>
        <v>4671.0543107087215</v>
      </c>
      <c r="CA37" s="4">
        <f t="shared" si="34"/>
        <v>4717.7648538158091</v>
      </c>
      <c r="CB37" s="4">
        <f t="shared" si="34"/>
        <v>4764.942502353967</v>
      </c>
      <c r="CC37" s="4">
        <f t="shared" si="34"/>
        <v>4812.5919273775071</v>
      </c>
      <c r="CD37" s="4">
        <f t="shared" si="34"/>
        <v>4860.7178466512823</v>
      </c>
      <c r="CE37" s="4">
        <f t="shared" si="34"/>
        <v>4909.3250251177951</v>
      </c>
      <c r="CF37" s="4">
        <f t="shared" si="34"/>
        <v>4958.4182753689729</v>
      </c>
      <c r="CG37" s="4">
        <f t="shared" si="34"/>
        <v>5008.0024581226626</v>
      </c>
      <c r="CH37" s="4">
        <f t="shared" si="34"/>
        <v>5058.0824827038896</v>
      </c>
      <c r="CI37" s="4">
        <f t="shared" si="34"/>
        <v>5108.6633075309283</v>
      </c>
      <c r="CJ37" s="4">
        <f t="shared" si="34"/>
        <v>5159.7499406062379</v>
      </c>
      <c r="CK37" s="4">
        <f t="shared" si="34"/>
        <v>5211.3474400123005</v>
      </c>
      <c r="CL37" s="4">
        <f t="shared" si="34"/>
        <v>5263.4609144124233</v>
      </c>
      <c r="CM37" s="4">
        <f t="shared" ref="CM37:CZ37" si="35">+CL37*(1+$AA$43)</f>
        <v>5316.095523556548</v>
      </c>
      <c r="CN37" s="4">
        <f t="shared" si="35"/>
        <v>5369.2564787921137</v>
      </c>
      <c r="CO37" s="4">
        <f t="shared" si="35"/>
        <v>5422.9490435800353</v>
      </c>
      <c r="CP37" s="4">
        <f t="shared" si="35"/>
        <v>5477.1785340158358</v>
      </c>
      <c r="CQ37" s="4">
        <f t="shared" si="35"/>
        <v>5531.950319355994</v>
      </c>
      <c r="CR37" s="4">
        <f t="shared" si="35"/>
        <v>5587.2698225495542</v>
      </c>
      <c r="CS37" s="4">
        <f t="shared" si="35"/>
        <v>5643.1425207750499</v>
      </c>
      <c r="CT37" s="4">
        <f t="shared" si="35"/>
        <v>5699.5739459828001</v>
      </c>
      <c r="CU37" s="4">
        <f t="shared" si="35"/>
        <v>5756.5696854426278</v>
      </c>
      <c r="CV37" s="4">
        <f t="shared" si="35"/>
        <v>5814.1353822970541</v>
      </c>
      <c r="CW37" s="4">
        <f t="shared" si="35"/>
        <v>5872.2767361200249</v>
      </c>
      <c r="CX37" s="4">
        <f t="shared" si="35"/>
        <v>5930.9995034812255</v>
      </c>
      <c r="CY37" s="4">
        <f t="shared" si="35"/>
        <v>5990.3094985160378</v>
      </c>
      <c r="CZ37" s="4">
        <f t="shared" si="35"/>
        <v>6050.2125935011982</v>
      </c>
      <c r="DA37" s="4">
        <f t="shared" ref="DA37:FJ37" si="36">+CZ37*(1+$AA$43)</f>
        <v>6110.7147194362105</v>
      </c>
      <c r="DB37" s="4">
        <f t="shared" si="36"/>
        <v>6171.8218666305729</v>
      </c>
      <c r="DC37" s="4">
        <f t="shared" si="36"/>
        <v>6233.5400852968787</v>
      </c>
      <c r="DD37" s="4">
        <f t="shared" si="36"/>
        <v>6295.8754861498473</v>
      </c>
      <c r="DE37" s="4">
        <f t="shared" si="36"/>
        <v>6358.8342410113455</v>
      </c>
      <c r="DF37" s="4">
        <f t="shared" si="36"/>
        <v>6422.4225834214594</v>
      </c>
      <c r="DG37" s="4">
        <f t="shared" si="36"/>
        <v>6486.6468092556743</v>
      </c>
      <c r="DH37" s="4">
        <f t="shared" si="36"/>
        <v>6551.513277348231</v>
      </c>
      <c r="DI37" s="4">
        <f t="shared" si="36"/>
        <v>6617.028410121713</v>
      </c>
      <c r="DJ37" s="4">
        <f t="shared" si="36"/>
        <v>6683.1986942229305</v>
      </c>
      <c r="DK37" s="4">
        <f t="shared" si="36"/>
        <v>6750.0306811651599</v>
      </c>
      <c r="DL37" s="4">
        <f t="shared" si="36"/>
        <v>6817.530987976812</v>
      </c>
      <c r="DM37" s="4">
        <f t="shared" si="36"/>
        <v>6885.70629785658</v>
      </c>
      <c r="DN37" s="4">
        <f t="shared" si="36"/>
        <v>6954.5633608351454</v>
      </c>
      <c r="DO37" s="4">
        <f t="shared" si="36"/>
        <v>7024.1089944434971</v>
      </c>
      <c r="DP37" s="4">
        <f t="shared" si="36"/>
        <v>7094.3500843879319</v>
      </c>
      <c r="DQ37" s="4">
        <f t="shared" si="36"/>
        <v>7165.2935852318114</v>
      </c>
      <c r="DR37" s="4">
        <f t="shared" si="36"/>
        <v>7236.9465210841299</v>
      </c>
      <c r="DS37" s="4">
        <f t="shared" si="36"/>
        <v>7309.3159862949715</v>
      </c>
      <c r="DT37" s="4">
        <f t="shared" si="36"/>
        <v>7382.409146157921</v>
      </c>
      <c r="DU37" s="4">
        <f t="shared" si="36"/>
        <v>7456.2332376195</v>
      </c>
      <c r="DV37" s="4">
        <f t="shared" si="36"/>
        <v>7530.7955699956947</v>
      </c>
      <c r="DW37" s="4">
        <f t="shared" si="36"/>
        <v>7606.103525695652</v>
      </c>
      <c r="DX37" s="4">
        <f t="shared" si="36"/>
        <v>7682.1645609526086</v>
      </c>
      <c r="DY37" s="4">
        <f t="shared" si="36"/>
        <v>7758.9862065621346</v>
      </c>
      <c r="DZ37" s="4">
        <f t="shared" si="36"/>
        <v>7836.5760686277563</v>
      </c>
      <c r="EA37" s="4">
        <f t="shared" si="36"/>
        <v>7914.9418293140343</v>
      </c>
      <c r="EB37" s="4">
        <f t="shared" si="36"/>
        <v>7994.0912476071744</v>
      </c>
      <c r="EC37" s="4">
        <f t="shared" si="36"/>
        <v>8074.0321600832458</v>
      </c>
      <c r="ED37" s="4">
        <f t="shared" si="36"/>
        <v>8154.7724816840782</v>
      </c>
      <c r="EE37" s="4">
        <f t="shared" si="36"/>
        <v>8236.3202065009191</v>
      </c>
      <c r="EF37" s="4">
        <f t="shared" si="36"/>
        <v>8318.6834085659284</v>
      </c>
      <c r="EG37" s="4">
        <f t="shared" si="36"/>
        <v>8401.8702426515883</v>
      </c>
      <c r="EH37" s="4">
        <f t="shared" si="36"/>
        <v>8485.8889450781044</v>
      </c>
      <c r="EI37" s="4">
        <f t="shared" si="36"/>
        <v>8570.7478345288855</v>
      </c>
      <c r="EJ37" s="4">
        <f t="shared" si="36"/>
        <v>8656.4553128741736</v>
      </c>
      <c r="EK37" s="4">
        <f t="shared" si="36"/>
        <v>8743.0198660029146</v>
      </c>
      <c r="EL37" s="4">
        <f t="shared" si="36"/>
        <v>8830.450064662944</v>
      </c>
      <c r="EM37" s="4">
        <f t="shared" si="36"/>
        <v>8918.7545653095731</v>
      </c>
      <c r="EN37" s="4">
        <f t="shared" si="36"/>
        <v>9007.9421109626692</v>
      </c>
      <c r="EO37" s="4">
        <f t="shared" si="36"/>
        <v>9098.0215320722964</v>
      </c>
      <c r="EP37" s="4">
        <f t="shared" si="36"/>
        <v>9189.0017473930202</v>
      </c>
      <c r="EQ37" s="4">
        <f t="shared" si="36"/>
        <v>9280.8917648669503</v>
      </c>
      <c r="ER37" s="4">
        <f t="shared" si="36"/>
        <v>9373.7006825156204</v>
      </c>
      <c r="ES37" s="4">
        <f t="shared" si="36"/>
        <v>9467.4376893407771</v>
      </c>
      <c r="ET37" s="4">
        <f t="shared" si="36"/>
        <v>9562.1120662341855</v>
      </c>
      <c r="EU37" s="4">
        <f t="shared" si="36"/>
        <v>9657.7331868965266</v>
      </c>
      <c r="EV37" s="4">
        <f t="shared" si="36"/>
        <v>9754.3105187654928</v>
      </c>
      <c r="EW37" s="4">
        <f t="shared" si="36"/>
        <v>9851.8536239531477</v>
      </c>
      <c r="EX37" s="4">
        <f t="shared" si="36"/>
        <v>9950.3721601926791</v>
      </c>
      <c r="EY37" s="4">
        <f t="shared" si="36"/>
        <v>10049.875881794605</v>
      </c>
      <c r="EZ37" s="4">
        <f t="shared" si="36"/>
        <v>10150.374640612552</v>
      </c>
      <c r="FA37" s="4">
        <f t="shared" si="36"/>
        <v>10251.878387018678</v>
      </c>
      <c r="FB37" s="4">
        <f t="shared" si="36"/>
        <v>10354.397170888866</v>
      </c>
      <c r="FC37" s="4">
        <f t="shared" si="36"/>
        <v>10457.941142597754</v>
      </c>
      <c r="FD37" s="4">
        <f t="shared" si="36"/>
        <v>10562.520554023731</v>
      </c>
      <c r="FE37" s="4">
        <f t="shared" si="36"/>
        <v>10668.145759563969</v>
      </c>
      <c r="FF37" s="4">
        <f t="shared" si="36"/>
        <v>10774.827217159609</v>
      </c>
      <c r="FG37" s="4">
        <f t="shared" si="36"/>
        <v>10882.575489331206</v>
      </c>
      <c r="FH37" s="4">
        <f t="shared" si="36"/>
        <v>10991.401244224518</v>
      </c>
      <c r="FI37" s="4">
        <f t="shared" si="36"/>
        <v>11101.315256666763</v>
      </c>
      <c r="FJ37" s="4">
        <f t="shared" si="36"/>
        <v>11212.328409233431</v>
      </c>
      <c r="FK37" s="4">
        <f t="shared" ref="FK37:GO37" si="37">+FJ37*(1+$AA$43)</f>
        <v>11324.451693325766</v>
      </c>
      <c r="FL37" s="4">
        <f t="shared" si="37"/>
        <v>11437.696210259024</v>
      </c>
      <c r="FM37" s="4">
        <f t="shared" si="37"/>
        <v>11552.073172361614</v>
      </c>
      <c r="FN37" s="4">
        <f t="shared" si="37"/>
        <v>11667.59390408523</v>
      </c>
      <c r="FO37" s="4">
        <f t="shared" si="37"/>
        <v>11784.269843126081</v>
      </c>
      <c r="FP37" s="4">
        <f t="shared" si="37"/>
        <v>11902.112541557342</v>
      </c>
      <c r="FQ37" s="4">
        <f t="shared" si="37"/>
        <v>12021.133666972915</v>
      </c>
      <c r="FR37" s="4">
        <f t="shared" si="37"/>
        <v>12141.345003642644</v>
      </c>
      <c r="FS37" s="4">
        <f t="shared" si="37"/>
        <v>12262.758453679071</v>
      </c>
      <c r="FT37" s="4">
        <f t="shared" si="37"/>
        <v>12385.386038215862</v>
      </c>
      <c r="FU37" s="4">
        <f t="shared" si="37"/>
        <v>12509.23989859802</v>
      </c>
      <c r="FV37" s="4">
        <f t="shared" si="37"/>
        <v>12634.332297584</v>
      </c>
      <c r="FW37" s="4">
        <f t="shared" si="37"/>
        <v>12760.675620559839</v>
      </c>
      <c r="FX37" s="4">
        <f t="shared" si="37"/>
        <v>12888.282376765437</v>
      </c>
      <c r="FY37" s="4">
        <f t="shared" si="37"/>
        <v>13017.165200533093</v>
      </c>
      <c r="FZ37" s="4">
        <f t="shared" si="37"/>
        <v>13147.336852538423</v>
      </c>
      <c r="GA37" s="4">
        <f t="shared" si="37"/>
        <v>13278.810221063808</v>
      </c>
      <c r="GB37" s="4">
        <f t="shared" si="37"/>
        <v>13411.598323274446</v>
      </c>
      <c r="GC37" s="4">
        <f t="shared" si="37"/>
        <v>13545.71430650719</v>
      </c>
      <c r="GD37" s="4">
        <f t="shared" si="37"/>
        <v>13681.171449572263</v>
      </c>
      <c r="GE37" s="4">
        <f t="shared" si="37"/>
        <v>13817.983164067986</v>
      </c>
      <c r="GF37" s="4">
        <f t="shared" si="37"/>
        <v>13956.162995708666</v>
      </c>
      <c r="GG37" s="4">
        <f t="shared" si="37"/>
        <v>14095.724625665753</v>
      </c>
      <c r="GH37" s="4">
        <f t="shared" si="37"/>
        <v>14236.68187192241</v>
      </c>
      <c r="GI37" s="4">
        <f t="shared" si="37"/>
        <v>14379.048690641634</v>
      </c>
      <c r="GJ37" s="4">
        <f t="shared" si="37"/>
        <v>14522.83917754805</v>
      </c>
      <c r="GK37" s="4">
        <f t="shared" si="37"/>
        <v>14668.067569323532</v>
      </c>
      <c r="GL37" s="4">
        <f t="shared" si="37"/>
        <v>14814.748245016766</v>
      </c>
      <c r="GM37" s="4">
        <f t="shared" si="37"/>
        <v>14962.895727466934</v>
      </c>
      <c r="GN37" s="4">
        <f t="shared" si="37"/>
        <v>15112.524684741604</v>
      </c>
      <c r="GO37" s="4">
        <f t="shared" si="37"/>
        <v>15263.64993158902</v>
      </c>
      <c r="GP37" s="4">
        <f t="shared" ref="GP37:HI37" si="38">+GO37*(1+$AA$43)</f>
        <v>15416.286430904909</v>
      </c>
      <c r="GQ37" s="4">
        <f t="shared" si="38"/>
        <v>15570.449295213959</v>
      </c>
      <c r="GR37" s="4">
        <f t="shared" si="38"/>
        <v>15726.153788166099</v>
      </c>
      <c r="GS37" s="4">
        <f t="shared" si="38"/>
        <v>15883.41532604776</v>
      </c>
      <c r="GT37" s="4">
        <f t="shared" si="38"/>
        <v>16042.249479308237</v>
      </c>
      <c r="GU37" s="4">
        <f t="shared" si="38"/>
        <v>16202.67197410132</v>
      </c>
      <c r="GV37" s="4">
        <f t="shared" si="38"/>
        <v>16364.698693842334</v>
      </c>
      <c r="GW37" s="4">
        <f t="shared" si="38"/>
        <v>16528.345680780756</v>
      </c>
      <c r="GX37" s="4">
        <f t="shared" si="38"/>
        <v>16693.629137588563</v>
      </c>
      <c r="GY37" s="4">
        <f t="shared" si="38"/>
        <v>16860.565428964448</v>
      </c>
      <c r="GZ37" s="4">
        <f t="shared" si="38"/>
        <v>17029.171083254092</v>
      </c>
      <c r="HA37" s="4">
        <f t="shared" si="38"/>
        <v>17199.462794086634</v>
      </c>
      <c r="HB37" s="4">
        <f t="shared" si="38"/>
        <v>17371.457422027499</v>
      </c>
      <c r="HC37" s="4">
        <f t="shared" si="38"/>
        <v>17545.171996247773</v>
      </c>
      <c r="HD37" s="4">
        <f t="shared" si="38"/>
        <v>17720.623716210252</v>
      </c>
      <c r="HE37" s="4">
        <f t="shared" si="38"/>
        <v>17897.829953372355</v>
      </c>
      <c r="HF37" s="4">
        <f t="shared" si="38"/>
        <v>18076.808252906078</v>
      </c>
      <c r="HG37" s="4">
        <f t="shared" si="38"/>
        <v>18257.57633543514</v>
      </c>
      <c r="HH37" s="4">
        <f t="shared" si="38"/>
        <v>18440.152098789491</v>
      </c>
      <c r="HI37" s="4">
        <f t="shared" si="38"/>
        <v>18624.553619777387</v>
      </c>
      <c r="HJ37" s="4">
        <f t="shared" ref="HJ37:HP37" si="39">+HI37*(1+$AA$43)</f>
        <v>18810.799155975161</v>
      </c>
      <c r="HK37" s="4">
        <f t="shared" si="39"/>
        <v>18998.907147534912</v>
      </c>
      <c r="HL37" s="4">
        <f t="shared" si="39"/>
        <v>19188.896219010261</v>
      </c>
      <c r="HM37" s="4">
        <f t="shared" si="39"/>
        <v>19380.785181200365</v>
      </c>
      <c r="HN37" s="4">
        <f t="shared" si="39"/>
        <v>19574.59303301237</v>
      </c>
      <c r="HO37" s="4">
        <f t="shared" si="39"/>
        <v>19770.338963342492</v>
      </c>
      <c r="HP37" s="4">
        <f t="shared" si="39"/>
        <v>19968.042352975917</v>
      </c>
    </row>
    <row r="38" spans="2:224">
      <c r="B38" s="3" t="s">
        <v>1</v>
      </c>
      <c r="C38">
        <v>773.1</v>
      </c>
      <c r="D38">
        <v>773.1</v>
      </c>
      <c r="E38">
        <v>773.1</v>
      </c>
      <c r="F38" s="1">
        <f>+F37/F39</f>
        <v>773.10000000000036</v>
      </c>
      <c r="G38">
        <v>773.1</v>
      </c>
      <c r="H38">
        <v>777.9</v>
      </c>
      <c r="I38">
        <v>782.9</v>
      </c>
      <c r="J38" s="3"/>
      <c r="K38" s="3"/>
      <c r="L38">
        <v>773.1</v>
      </c>
      <c r="M38">
        <v>773.1</v>
      </c>
      <c r="N38">
        <v>773.1</v>
      </c>
      <c r="O38">
        <f>+N38</f>
        <v>773.1</v>
      </c>
      <c r="P38">
        <f t="shared" ref="P38:X38" si="40">+O38</f>
        <v>773.1</v>
      </c>
      <c r="Q38">
        <f t="shared" si="40"/>
        <v>773.1</v>
      </c>
      <c r="R38">
        <f t="shared" si="40"/>
        <v>773.1</v>
      </c>
      <c r="S38">
        <f t="shared" si="40"/>
        <v>773.1</v>
      </c>
      <c r="T38">
        <f t="shared" si="40"/>
        <v>773.1</v>
      </c>
      <c r="U38">
        <f t="shared" si="40"/>
        <v>773.1</v>
      </c>
      <c r="V38">
        <f t="shared" si="40"/>
        <v>773.1</v>
      </c>
      <c r="W38">
        <f t="shared" si="40"/>
        <v>773.1</v>
      </c>
      <c r="X38">
        <f t="shared" si="40"/>
        <v>773.1</v>
      </c>
    </row>
    <row r="39" spans="2:224" s="6" customFormat="1">
      <c r="B39" s="5" t="s">
        <v>39</v>
      </c>
      <c r="C39" s="6">
        <f>+C37/C38</f>
        <v>1.063122493855905</v>
      </c>
      <c r="D39" s="6">
        <f>+D37/D38</f>
        <v>0.71581942827577272</v>
      </c>
      <c r="E39" s="6">
        <f>+E37/E38</f>
        <v>0.80468244729013017</v>
      </c>
      <c r="F39" s="6">
        <f t="shared" si="21"/>
        <v>0.56849049282111075</v>
      </c>
      <c r="G39" s="6">
        <f>+G37/G38</f>
        <v>0.94696675721122781</v>
      </c>
      <c r="H39" s="6">
        <f>+H37/H38</f>
        <v>1.2235505849080861</v>
      </c>
      <c r="I39" s="6">
        <f>+I37/I38</f>
        <v>1.1039724102695112</v>
      </c>
      <c r="J39" s="5"/>
      <c r="K39" s="5"/>
      <c r="L39" s="6">
        <f>+L37/L38</f>
        <v>4.0680377700168187</v>
      </c>
      <c r="M39" s="6">
        <f>+M37/M38</f>
        <v>3.4299573147070226</v>
      </c>
      <c r="N39" s="6">
        <f>+N37/N38</f>
        <v>3.1521148622429189</v>
      </c>
      <c r="O39" s="6">
        <f>+O37/O38</f>
        <v>3.4800919229267588</v>
      </c>
      <c r="P39" s="6">
        <f t="shared" ref="P39:X39" si="41">+P37/P38</f>
        <v>3.5562107956169093</v>
      </c>
      <c r="Q39" s="6">
        <f t="shared" si="41"/>
        <v>3.5678856621500796</v>
      </c>
      <c r="R39" s="6">
        <f t="shared" si="41"/>
        <v>3.5821043458864752</v>
      </c>
      <c r="S39" s="6">
        <f t="shared" si="41"/>
        <v>3.5990856409089984</v>
      </c>
      <c r="T39" s="6">
        <f t="shared" si="41"/>
        <v>3.5852123330054257</v>
      </c>
      <c r="U39" s="6">
        <f t="shared" si="41"/>
        <v>3.5714083916413721</v>
      </c>
      <c r="V39" s="6">
        <f t="shared" si="41"/>
        <v>3.5576734699841372</v>
      </c>
      <c r="W39" s="6">
        <f t="shared" si="41"/>
        <v>3.5440072229351891</v>
      </c>
      <c r="X39" s="6">
        <f t="shared" si="41"/>
        <v>3.5304093071214853</v>
      </c>
    </row>
    <row r="41" spans="2:224">
      <c r="B41" s="8" t="s">
        <v>46</v>
      </c>
      <c r="C41" s="8"/>
      <c r="D41" s="8"/>
      <c r="E41" s="8"/>
      <c r="F41" s="8"/>
      <c r="G41" s="8"/>
      <c r="H41" s="8"/>
      <c r="I41" s="8"/>
      <c r="J41" s="8"/>
      <c r="K41" s="8"/>
    </row>
    <row r="42" spans="2:224" s="7" customFormat="1">
      <c r="B42" s="7" t="s">
        <v>40</v>
      </c>
      <c r="G42" s="7">
        <f t="shared" ref="G42:G50" si="42">+G3/C3-1</f>
        <v>0.22192749778956666</v>
      </c>
      <c r="H42" s="7">
        <f t="shared" ref="H42:H50" si="43">+H3/D3-1</f>
        <v>0.21142369991474852</v>
      </c>
      <c r="I42" s="7">
        <f t="shared" ref="I42:I50" si="44">+I3/E3-1</f>
        <v>0.16301703163017045</v>
      </c>
      <c r="M42" s="7">
        <f t="shared" ref="M42:N48" si="45">+M3/L3-1</f>
        <v>-0.12161360490409334</v>
      </c>
      <c r="N42" s="7">
        <f t="shared" si="45"/>
        <v>0.11616389013957673</v>
      </c>
    </row>
    <row r="43" spans="2:224" s="7" customFormat="1">
      <c r="B43" s="7" t="s">
        <v>41</v>
      </c>
      <c r="G43" s="7">
        <f t="shared" si="42"/>
        <v>0.13624999999999998</v>
      </c>
      <c r="H43" s="7">
        <f t="shared" si="43"/>
        <v>7.2792362768496544E-2</v>
      </c>
      <c r="I43" s="7">
        <f t="shared" si="44"/>
        <v>0.20749665327978573</v>
      </c>
      <c r="M43" s="7">
        <f t="shared" si="45"/>
        <v>-0.1696188942565755</v>
      </c>
      <c r="N43" s="7">
        <f t="shared" si="45"/>
        <v>6.3348416289592757E-2</v>
      </c>
      <c r="Z43" s="7" t="s">
        <v>72</v>
      </c>
      <c r="AA43" s="16">
        <v>0.01</v>
      </c>
    </row>
    <row r="44" spans="2:224" s="7" customFormat="1">
      <c r="B44" s="7" t="s">
        <v>42</v>
      </c>
      <c r="G44" s="7">
        <f t="shared" si="42"/>
        <v>0.1284722222222221</v>
      </c>
      <c r="H44" s="7">
        <f t="shared" si="43"/>
        <v>7.1310116086235498E-2</v>
      </c>
      <c r="I44" s="7">
        <f t="shared" si="44"/>
        <v>5.0570962479608683E-2</v>
      </c>
      <c r="M44" s="7">
        <f t="shared" si="45"/>
        <v>-0.12712464589235117</v>
      </c>
      <c r="N44" s="7">
        <f t="shared" si="45"/>
        <v>-8.924949290060824E-3</v>
      </c>
      <c r="AA44" s="16"/>
    </row>
    <row r="45" spans="2:224" s="7" customFormat="1">
      <c r="B45" s="7" t="s">
        <v>43</v>
      </c>
      <c r="G45" s="7">
        <f t="shared" si="42"/>
        <v>-2.954833262980161E-2</v>
      </c>
      <c r="H45" s="7">
        <f t="shared" si="43"/>
        <v>-8.0919931856899829E-3</v>
      </c>
      <c r="I45" s="7">
        <f t="shared" si="44"/>
        <v>8.3047945205479534E-2</v>
      </c>
      <c r="M45" s="7">
        <f t="shared" si="45"/>
        <v>2.1123740081492537E-2</v>
      </c>
      <c r="N45" s="7">
        <f t="shared" si="45"/>
        <v>-3.5808043683713042E-2</v>
      </c>
      <c r="AA45" s="17"/>
    </row>
    <row r="46" spans="2:224" s="7" customFormat="1">
      <c r="B46" s="7" t="s">
        <v>44</v>
      </c>
      <c r="G46" s="7">
        <f t="shared" si="42"/>
        <v>0.21739130434782616</v>
      </c>
      <c r="H46" s="7">
        <f t="shared" si="43"/>
        <v>-5.5555555555555691E-2</v>
      </c>
      <c r="I46" s="7">
        <f t="shared" si="44"/>
        <v>-8.9285714285714302E-2</v>
      </c>
      <c r="M46" s="7">
        <f t="shared" si="45"/>
        <v>4.6875000000000222E-2</v>
      </c>
      <c r="N46" s="7">
        <f t="shared" si="45"/>
        <v>4.9751243781094523E-2</v>
      </c>
      <c r="AA46" s="1"/>
    </row>
    <row r="47" spans="2:224" s="9" customFormat="1">
      <c r="B47" s="9" t="s">
        <v>45</v>
      </c>
      <c r="G47" s="9">
        <f t="shared" si="42"/>
        <v>7.5985371800081136E-2</v>
      </c>
      <c r="H47" s="9">
        <f t="shared" si="43"/>
        <v>6.578947368421062E-2</v>
      </c>
      <c r="I47" s="9">
        <f t="shared" si="44"/>
        <v>0.11554663991975933</v>
      </c>
      <c r="M47" s="9">
        <f t="shared" si="45"/>
        <v>-6.6272189349112387E-2</v>
      </c>
      <c r="N47" s="9">
        <f t="shared" si="45"/>
        <v>1.8200253485424644E-2</v>
      </c>
      <c r="AA47" s="18"/>
    </row>
    <row r="48" spans="2:224">
      <c r="B48" t="s">
        <v>48</v>
      </c>
      <c r="F48" s="7"/>
      <c r="G48" s="7">
        <f t="shared" si="42"/>
        <v>9.8591549295774739E-2</v>
      </c>
      <c r="H48" s="7">
        <f t="shared" si="43"/>
        <v>0.20714285714285707</v>
      </c>
      <c r="I48" s="7">
        <f t="shared" si="44"/>
        <v>5.9602649006622599E-2</v>
      </c>
      <c r="M48" s="7">
        <f t="shared" si="45"/>
        <v>-0.13343328335832094</v>
      </c>
      <c r="N48" s="7">
        <f t="shared" si="45"/>
        <v>2.4221453287197381E-2</v>
      </c>
    </row>
    <row r="49" spans="2:14">
      <c r="B49" t="s">
        <v>49</v>
      </c>
      <c r="F49" s="7"/>
      <c r="G49" s="7">
        <f t="shared" si="42"/>
        <v>9.0909090909090828E-2</v>
      </c>
      <c r="H49" s="7">
        <f t="shared" si="43"/>
        <v>8.3333333333333481E-2</v>
      </c>
      <c r="I49" s="7">
        <f t="shared" si="44"/>
        <v>0.20454545454545436</v>
      </c>
      <c r="M49" s="7">
        <f>+M11/L11-1</f>
        <v>-0.10365853658536572</v>
      </c>
      <c r="N49" s="7">
        <f>+N11/M11-1</f>
        <v>9.1458805744520033E-2</v>
      </c>
    </row>
    <row r="50" spans="2:14">
      <c r="B50" t="s">
        <v>50</v>
      </c>
      <c r="F50" s="7"/>
      <c r="G50" s="7">
        <f t="shared" si="42"/>
        <v>0.75</v>
      </c>
      <c r="H50" s="7">
        <f t="shared" si="43"/>
        <v>0.70789473684210535</v>
      </c>
      <c r="I50" s="7">
        <f t="shared" si="44"/>
        <v>0.90807799442896941</v>
      </c>
      <c r="M50" s="7" t="e">
        <f>+M13/L13-1</f>
        <v>#DIV/0!</v>
      </c>
      <c r="N50" s="7" t="e">
        <f>+N13/M13-1</f>
        <v>#DIV/0!</v>
      </c>
    </row>
    <row r="51" spans="2:14">
      <c r="B51" s="10" t="s">
        <v>67</v>
      </c>
      <c r="H51" s="7"/>
      <c r="I51" s="7"/>
      <c r="M51" s="7"/>
      <c r="N51" s="7"/>
    </row>
    <row r="52" spans="2:14" s="7" customFormat="1">
      <c r="B52" s="7" t="str">
        <f t="shared" ref="B52:B57" si="46">+B19</f>
        <v>Copper</v>
      </c>
      <c r="G52" s="7">
        <f>+G19/C19-1</f>
        <v>-4.8901957175792266E-2</v>
      </c>
      <c r="H52" s="7">
        <f>+H19/D19-1</f>
        <v>0.3273882703300679</v>
      </c>
      <c r="I52" s="7">
        <f>+I19/E19-1</f>
        <v>0.20570771738685023</v>
      </c>
      <c r="M52" s="7">
        <f>+M24/L24-1</f>
        <v>-8.1049194721102058E-2</v>
      </c>
      <c r="N52" s="7">
        <f t="shared" ref="N52:N57" si="47">+N19/M19-1</f>
        <v>7.1860587784513541E-3</v>
      </c>
    </row>
    <row r="53" spans="2:14">
      <c r="B53" s="7" t="str">
        <f t="shared" si="46"/>
        <v>Molyndenum</v>
      </c>
      <c r="C53" s="7"/>
      <c r="D53" s="7"/>
      <c r="E53" s="7"/>
      <c r="F53" s="7"/>
      <c r="G53" s="7">
        <f t="shared" ref="G53:I56" si="48">+G20/C20-1</f>
        <v>-9.5320758318718224E-2</v>
      </c>
      <c r="H53" s="7">
        <f t="shared" si="48"/>
        <v>0.489686061077377</v>
      </c>
      <c r="I53" s="7">
        <f t="shared" si="48"/>
        <v>-0.13763709436846849</v>
      </c>
      <c r="J53" s="7"/>
      <c r="K53" s="7"/>
      <c r="N53" s="7">
        <f t="shared" si="47"/>
        <v>-5.6518269087708295E-2</v>
      </c>
    </row>
    <row r="54" spans="2:14">
      <c r="B54" s="7" t="str">
        <f t="shared" si="46"/>
        <v>Silver</v>
      </c>
      <c r="C54" s="7"/>
      <c r="D54" s="7"/>
      <c r="E54" s="7"/>
      <c r="F54" s="7"/>
      <c r="G54" s="7">
        <f t="shared" si="48"/>
        <v>-2.4081208276916954E-2</v>
      </c>
      <c r="H54" s="7">
        <f t="shared" si="48"/>
        <v>0.57601174971014935</v>
      </c>
      <c r="I54" s="7">
        <f t="shared" si="48"/>
        <v>0.44824925500212842</v>
      </c>
      <c r="J54" s="7"/>
      <c r="K54" s="7"/>
      <c r="N54" s="7">
        <f t="shared" si="47"/>
        <v>3.4105634013077424E-2</v>
      </c>
    </row>
    <row r="55" spans="2:14">
      <c r="B55" s="7" t="str">
        <f t="shared" si="46"/>
        <v>Zinc</v>
      </c>
      <c r="C55" s="7"/>
      <c r="D55" s="7"/>
      <c r="E55" s="7"/>
      <c r="F55" s="7"/>
      <c r="G55" s="7">
        <f t="shared" si="48"/>
        <v>-0.23865954726042771</v>
      </c>
      <c r="H55" s="7">
        <f t="shared" si="48"/>
        <v>0.85735903243618306</v>
      </c>
      <c r="I55" s="7">
        <f t="shared" si="48"/>
        <v>0.6292804118773947</v>
      </c>
      <c r="J55" s="7"/>
      <c r="K55" s="7"/>
      <c r="N55" s="7">
        <f t="shared" si="47"/>
        <v>-0.2014628308779326</v>
      </c>
    </row>
    <row r="56" spans="2:14">
      <c r="B56" s="7" t="str">
        <f t="shared" si="46"/>
        <v>Other By-Products</v>
      </c>
      <c r="C56" s="7"/>
      <c r="D56" s="7"/>
      <c r="E56" s="7"/>
      <c r="F56" s="7"/>
      <c r="G56" s="7">
        <f t="shared" si="48"/>
        <v>-0.25937629427374953</v>
      </c>
      <c r="H56" s="7">
        <f t="shared" si="48"/>
        <v>-1.4276287454015879E-2</v>
      </c>
      <c r="I56" s="7">
        <f t="shared" si="48"/>
        <v>-3.8213956293458251E-2</v>
      </c>
      <c r="J56" s="7"/>
      <c r="K56" s="7"/>
      <c r="N56" s="7">
        <f t="shared" si="47"/>
        <v>-0.14280485363995354</v>
      </c>
    </row>
    <row r="57" spans="2:14">
      <c r="B57" s="7" t="str">
        <f t="shared" si="46"/>
        <v>Sales</v>
      </c>
      <c r="C57" s="7"/>
      <c r="D57" s="7"/>
      <c r="E57" s="7"/>
      <c r="F57" s="7"/>
      <c r="G57" s="7">
        <f>+G24/C24-1</f>
        <v>-6.9472779984967259E-2</v>
      </c>
      <c r="H57" s="7">
        <f>+H24/D24-1</f>
        <v>0.35537010475072828</v>
      </c>
      <c r="I57" s="7">
        <f>+I24/E24-1</f>
        <v>0.16973978288633473</v>
      </c>
      <c r="J57" s="7"/>
      <c r="K57" s="7"/>
      <c r="N57" s="7">
        <f t="shared" si="47"/>
        <v>-1.5137491416116644E-2</v>
      </c>
    </row>
    <row r="62" spans="2:14">
      <c r="B62" t="s">
        <v>75</v>
      </c>
    </row>
    <row r="63" spans="2:14">
      <c r="B63" t="s">
        <v>76</v>
      </c>
    </row>
    <row r="64" spans="2:14">
      <c r="B64" t="s">
        <v>77</v>
      </c>
    </row>
  </sheetData>
  <conditionalFormatting sqref="C14:I17">
    <cfRule type="top10" dxfId="3" priority="4" percent="1" rank="10"/>
  </conditionalFormatting>
  <conditionalFormatting sqref="L14:L17">
    <cfRule type="top10" dxfId="2" priority="3" percent="1" rank="10"/>
  </conditionalFormatting>
  <conditionalFormatting sqref="M14:M17">
    <cfRule type="top10" dxfId="1" priority="2" percent="1" rank="10"/>
  </conditionalFormatting>
  <conditionalFormatting sqref="N14:N17">
    <cfRule type="top10" dxfId="0" priority="1" percent="1" rank="10"/>
  </conditionalFormatting>
  <pageMargins left="0.7" right="0.7" top="0.75" bottom="0.75" header="0.3" footer="0.3"/>
  <ignoredErrors>
    <ignoredError sqref="L8" formulaRange="1"/>
    <ignoredError sqref="F29:F39 F8 O30:Y36 O38:Z41 O37:X37 P29:Y2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2024-12-23T08:43:32Z</dcterms:created>
  <dcterms:modified xsi:type="dcterms:W3CDTF">2024-12-27T04:58:05Z</dcterms:modified>
</cp:coreProperties>
</file>