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8_{C5D6D301-BC43-7544-ADF1-6CD95BEC1DD9}" xr6:coauthVersionLast="47" xr6:coauthVersionMax="47" xr10:uidLastSave="{00000000-0000-0000-0000-000000000000}"/>
  <bookViews>
    <workbookView xWindow="9260" yWindow="2540" windowWidth="32720" windowHeight="19100" xr2:uid="{2B513002-EE7F-1848-8A6F-5D5F9E234F2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S15" i="1"/>
  <c r="S11" i="1"/>
  <c r="S12" i="1" s="1"/>
  <c r="S9" i="1"/>
  <c r="S6" i="1"/>
  <c r="I5" i="2"/>
  <c r="H5" i="2"/>
  <c r="P43" i="1"/>
  <c r="P37" i="1"/>
  <c r="P33" i="1"/>
  <c r="P34" i="1" s="1"/>
  <c r="P31" i="1"/>
  <c r="P32" i="1" s="1"/>
  <c r="P28" i="1"/>
  <c r="M43" i="1"/>
  <c r="M37" i="1"/>
  <c r="M33" i="1"/>
  <c r="M34" i="1" s="1"/>
  <c r="M38" i="1" s="1"/>
  <c r="M31" i="1"/>
  <c r="M32" i="1" s="1"/>
  <c r="M39" i="1" s="1"/>
  <c r="M28" i="1"/>
  <c r="P20" i="1"/>
  <c r="P14" i="1"/>
  <c r="P10" i="1"/>
  <c r="P11" i="1" s="1"/>
  <c r="P8" i="1"/>
  <c r="P9" i="1" s="1"/>
  <c r="P5" i="1"/>
  <c r="M20" i="1"/>
  <c r="M10" i="1"/>
  <c r="M11" i="1" s="1"/>
  <c r="M14" i="1"/>
  <c r="M8" i="1"/>
  <c r="M5" i="1"/>
  <c r="M9" i="1" s="1"/>
  <c r="J10" i="1"/>
  <c r="J5" i="1"/>
  <c r="I24" i="2"/>
  <c r="G7" i="1"/>
  <c r="G6" i="1"/>
  <c r="F8" i="1"/>
  <c r="J6" i="1" s="1"/>
  <c r="J7" i="1" s="1"/>
  <c r="F7" i="1"/>
  <c r="F6" i="1"/>
  <c r="M18" i="1" s="1"/>
  <c r="F5" i="1"/>
  <c r="P18" i="1" l="1"/>
  <c r="M41" i="1"/>
  <c r="P41" i="1" s="1"/>
  <c r="S19" i="1" s="1"/>
  <c r="J9" i="1"/>
  <c r="J11" i="1" s="1"/>
  <c r="P38" i="1"/>
  <c r="P39" i="1" s="1"/>
  <c r="P40" i="1" s="1"/>
  <c r="P42" i="1" s="1"/>
  <c r="P44" i="1" s="1"/>
  <c r="P46" i="1" s="1"/>
  <c r="J8" i="1"/>
  <c r="M40" i="1"/>
  <c r="S16" i="1"/>
  <c r="S10" i="1"/>
  <c r="S17" i="1" s="1"/>
  <c r="S18" i="1" s="1"/>
  <c r="P15" i="1"/>
  <c r="P16" i="1" s="1"/>
  <c r="P17" i="1" s="1"/>
  <c r="P19" i="1" s="1"/>
  <c r="P21" i="1" s="1"/>
  <c r="P23" i="1" s="1"/>
  <c r="M15" i="1"/>
  <c r="M16" i="1" s="1"/>
  <c r="M17" i="1" s="1"/>
  <c r="M19" i="1" s="1"/>
  <c r="M21" i="1" s="1"/>
  <c r="M23" i="1" s="1"/>
  <c r="S20" i="1" l="1"/>
  <c r="S22" i="1" s="1"/>
  <c r="S24" i="1" s="1"/>
  <c r="M42" i="1"/>
  <c r="M44" i="1" s="1"/>
  <c r="M46" i="1" s="1"/>
</calcChain>
</file>

<file path=xl/sharedStrings.xml><?xml version="1.0" encoding="utf-8"?>
<sst xmlns="http://schemas.openxmlformats.org/spreadsheetml/2006/main" count="150" uniqueCount="60">
  <si>
    <t>P</t>
  </si>
  <si>
    <t>S</t>
  </si>
  <si>
    <t>MC</t>
  </si>
  <si>
    <t>C</t>
  </si>
  <si>
    <t>D</t>
  </si>
  <si>
    <t>EV</t>
  </si>
  <si>
    <t>Q324</t>
  </si>
  <si>
    <t>Q123</t>
  </si>
  <si>
    <t>Q223</t>
  </si>
  <si>
    <t>Q323</t>
  </si>
  <si>
    <t>Q423</t>
  </si>
  <si>
    <t>Q124</t>
  </si>
  <si>
    <t>Q224</t>
  </si>
  <si>
    <t>Q424</t>
  </si>
  <si>
    <t>R Y/Y</t>
  </si>
  <si>
    <t xml:space="preserve">CEO </t>
  </si>
  <si>
    <t xml:space="preserve">CFO </t>
  </si>
  <si>
    <t xml:space="preserve">Key Takeaways </t>
  </si>
  <si>
    <t xml:space="preserve">Metallurgical Coal Market Challenges </t>
  </si>
  <si>
    <t>Demand weakness:declining steel demand globally, especially in Europe and the Americas pressuring prices</t>
  </si>
  <si>
    <t>Increased Comp: Discounted Russian coal flooding Asian markets impacting pricing</t>
  </si>
  <si>
    <t xml:space="preserve">Austrialian coal is regaining market share in China </t>
  </si>
  <si>
    <t>Price Declines: Atlantic and Pacific: coking coal indices have dropped sig in 2024 due to weak demand and inceased supply</t>
  </si>
  <si>
    <t>Logistical Issues</t>
  </si>
  <si>
    <t>containerl accident blocked the Curtis Bay Terminal (CBT) for export coal during Q224. perations have resumed,  likely caused temporary shipment delays, adding to operational inefficiencies.</t>
  </si>
  <si>
    <t>Thermal coal Segment Decline</t>
  </si>
  <si>
    <t xml:space="preserve">Domestic Pressues: coal stockpiles, increased renewable energy generation, low nat gas prices, coal plant retirements hurt domestic demand for thermal coal </t>
  </si>
  <si>
    <t xml:space="preserve">Operational Restructuring: reducing powder river basin operations and aligning prod with sales commits, indicating long term secular delcine </t>
  </si>
  <si>
    <t xml:space="preserve">Secular Decline in Coal </t>
  </si>
  <si>
    <t xml:space="preserve">company acknowledges ongoing challenges in the u.s thermal coal market , including comp from renewables and natural gas </t>
  </si>
  <si>
    <t>Current</t>
  </si>
  <si>
    <t>9M Ebitda</t>
  </si>
  <si>
    <t>annualized ebitda</t>
  </si>
  <si>
    <t>EV/EBITDA</t>
  </si>
  <si>
    <t>Net Cash</t>
  </si>
  <si>
    <t>Market Cap</t>
  </si>
  <si>
    <t>Shares</t>
  </si>
  <si>
    <t>Estimate</t>
  </si>
  <si>
    <t xml:space="preserve">Share Price </t>
  </si>
  <si>
    <t>Tons Sold 9M YTD</t>
  </si>
  <si>
    <t>Cost per Ton</t>
  </si>
  <si>
    <t>Spread</t>
  </si>
  <si>
    <t>Annualized Tons Sold</t>
  </si>
  <si>
    <t>Price @ $120/ton</t>
  </si>
  <si>
    <t>Price/Ton</t>
  </si>
  <si>
    <t>Metallurgical Coal EBITDA</t>
  </si>
  <si>
    <t>Thermal Coal EBITDA</t>
  </si>
  <si>
    <t>Total Adjusted EBITDA</t>
  </si>
  <si>
    <t>.</t>
  </si>
  <si>
    <t>Implied EV</t>
  </si>
  <si>
    <t>Net cash</t>
  </si>
  <si>
    <t>Implied market Cap</t>
  </si>
  <si>
    <t>Upside</t>
  </si>
  <si>
    <t>Price @ $125/ton</t>
  </si>
  <si>
    <t>Price @ $115/ton</t>
  </si>
  <si>
    <t xml:space="preserve">Revenue </t>
  </si>
  <si>
    <t>Realized prices</t>
  </si>
  <si>
    <t>9m</t>
  </si>
  <si>
    <t xml:space="preserve">Price @ $131.71/ton 9M Price </t>
  </si>
  <si>
    <t xml:space="preserve">Price @ $127/ton 9M 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</si>
</sst>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3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2" fillId="0" borderId="0" xfId="0" applyNumberFormat="1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DBA7-056E-7349-A482-C0FAADD91594}">
  <dimension ref="B3:S55"/>
  <sheetViews>
    <sheetView showGridLines="0" tabSelected="1" zoomScale="90" zoomScaleNormal="90" workbookViewId="0">
      <selection activeCell="B16" sqref="B16"/>
    </sheetView>
  </sheetViews>
  <sheetFormatPr baseColWidth="10" defaultRowHeight="13"/>
  <cols>
    <col min="1" max="4" width="10.83203125" style="1"/>
    <col min="5" max="5" width="3.6640625" style="1" bestFit="1" customWidth="1"/>
    <col min="6" max="6" width="5.6640625" style="1" bestFit="1" customWidth="1"/>
    <col min="7" max="7" width="5.5" style="1" bestFit="1" customWidth="1"/>
    <col min="8" max="8" width="10.83203125" style="1"/>
    <col min="9" max="9" width="15" style="1" bestFit="1" customWidth="1"/>
    <col min="10" max="11" width="10.83203125" style="1"/>
    <col min="12" max="12" width="23.1640625" style="1" bestFit="1" customWidth="1"/>
    <col min="13" max="14" width="10.83203125" style="1"/>
    <col min="15" max="15" width="23.1640625" style="1" bestFit="1" customWidth="1"/>
    <col min="16" max="17" width="10.83203125" style="1"/>
    <col min="18" max="18" width="22.83203125" style="1" bestFit="1" customWidth="1"/>
    <col min="19" max="16384" width="10.83203125" style="1"/>
  </cols>
  <sheetData>
    <row r="3" spans="2:19">
      <c r="B3" s="1" t="s">
        <v>15</v>
      </c>
      <c r="E3" s="1" t="s">
        <v>0</v>
      </c>
      <c r="F3" s="1">
        <v>138.13999999999999</v>
      </c>
      <c r="I3" s="1" t="s">
        <v>30</v>
      </c>
      <c r="L3" s="1" t="s">
        <v>43</v>
      </c>
      <c r="O3" s="1" t="s">
        <v>53</v>
      </c>
    </row>
    <row r="4" spans="2:19">
      <c r="B4" s="1" t="s">
        <v>16</v>
      </c>
      <c r="E4" s="1" t="s">
        <v>1</v>
      </c>
      <c r="F4" s="1">
        <v>18.108609000000001</v>
      </c>
      <c r="G4" s="1" t="s">
        <v>6</v>
      </c>
      <c r="I4" s="1" t="s">
        <v>31</v>
      </c>
      <c r="J4" s="1">
        <v>270.97800000000001</v>
      </c>
      <c r="L4" s="1" t="s">
        <v>39</v>
      </c>
      <c r="M4" s="1">
        <v>6.766</v>
      </c>
      <c r="O4" s="1" t="s">
        <v>39</v>
      </c>
      <c r="P4" s="1">
        <v>6.766</v>
      </c>
      <c r="R4" s="1" t="s">
        <v>59</v>
      </c>
    </row>
    <row r="5" spans="2:19">
      <c r="E5" s="1" t="s">
        <v>2</v>
      </c>
      <c r="F5" s="1">
        <f>+F3*F4</f>
        <v>2501.5232472600001</v>
      </c>
      <c r="I5" s="6" t="s">
        <v>32</v>
      </c>
      <c r="J5" s="1">
        <f>+(J4/9) * 12</f>
        <v>361.30400000000003</v>
      </c>
      <c r="L5" s="1" t="s">
        <v>42</v>
      </c>
      <c r="M5" s="1">
        <f>+M4/9*12</f>
        <v>9.0213333333333328</v>
      </c>
      <c r="O5" s="1" t="s">
        <v>42</v>
      </c>
      <c r="P5" s="1">
        <f>+P4/9*12</f>
        <v>9.0213333333333328</v>
      </c>
      <c r="R5" s="1" t="s">
        <v>39</v>
      </c>
      <c r="S5" s="1">
        <v>6.766</v>
      </c>
    </row>
    <row r="6" spans="2:19">
      <c r="E6" s="1" t="s">
        <v>3</v>
      </c>
      <c r="F6" s="1">
        <f>219.595+36.347+1.1</f>
        <v>257.04200000000003</v>
      </c>
      <c r="G6" s="1" t="str">
        <f>+G4</f>
        <v>Q324</v>
      </c>
      <c r="I6" s="1" t="s">
        <v>33</v>
      </c>
      <c r="J6" s="7">
        <f>+F8/J5</f>
        <v>6.5633877489870027</v>
      </c>
      <c r="L6" s="1" t="s">
        <v>44</v>
      </c>
      <c r="M6" s="1">
        <v>120</v>
      </c>
      <c r="O6" s="1" t="s">
        <v>44</v>
      </c>
      <c r="P6" s="1">
        <v>125</v>
      </c>
      <c r="R6" s="1" t="s">
        <v>42</v>
      </c>
      <c r="S6" s="1">
        <f>+S5/9*12</f>
        <v>9.0213333333333328</v>
      </c>
    </row>
    <row r="7" spans="2:19">
      <c r="E7" s="1" t="s">
        <v>4</v>
      </c>
      <c r="F7" s="1">
        <f>126.897+0</f>
        <v>126.89700000000001</v>
      </c>
      <c r="G7" s="1" t="str">
        <f>+G6</f>
        <v>Q324</v>
      </c>
      <c r="I7" s="1" t="s">
        <v>5</v>
      </c>
      <c r="J7" s="1">
        <f>+J6*J5</f>
        <v>2371.3782472600001</v>
      </c>
      <c r="L7" s="1" t="s">
        <v>40</v>
      </c>
      <c r="M7" s="1">
        <v>93.81</v>
      </c>
      <c r="O7" s="1" t="s">
        <v>40</v>
      </c>
      <c r="P7" s="1">
        <v>93.81</v>
      </c>
      <c r="R7" s="1" t="s">
        <v>44</v>
      </c>
      <c r="S7" s="1">
        <v>127.3</v>
      </c>
    </row>
    <row r="8" spans="2:19">
      <c r="E8" s="1" t="s">
        <v>5</v>
      </c>
      <c r="F8" s="1">
        <f>+F5-F6+F7</f>
        <v>2371.3782472600001</v>
      </c>
      <c r="I8" s="1" t="s">
        <v>34</v>
      </c>
      <c r="J8" s="1">
        <f>+F6-F7</f>
        <v>130.14500000000004</v>
      </c>
      <c r="L8" s="1" t="s">
        <v>41</v>
      </c>
      <c r="M8" s="1">
        <f>+M6-M7</f>
        <v>26.189999999999998</v>
      </c>
      <c r="O8" s="1" t="s">
        <v>41</v>
      </c>
      <c r="P8" s="1">
        <f>+P6-P7</f>
        <v>31.189999999999998</v>
      </c>
      <c r="R8" s="1" t="s">
        <v>40</v>
      </c>
      <c r="S8" s="1">
        <v>93.81</v>
      </c>
    </row>
    <row r="9" spans="2:19">
      <c r="I9" s="1" t="s">
        <v>35</v>
      </c>
      <c r="J9" s="1">
        <f>+J7+J8</f>
        <v>2501.5232472600001</v>
      </c>
      <c r="L9" s="8" t="s">
        <v>45</v>
      </c>
      <c r="M9" s="8">
        <f>+M8*M5</f>
        <v>236.26871999999997</v>
      </c>
      <c r="O9" s="8" t="s">
        <v>45</v>
      </c>
      <c r="P9" s="8">
        <f>+P8*P5</f>
        <v>281.3753866666666</v>
      </c>
      <c r="R9" s="1" t="s">
        <v>41</v>
      </c>
      <c r="S9" s="1">
        <f>+S7-S8</f>
        <v>33.489999999999995</v>
      </c>
    </row>
    <row r="10" spans="2:19">
      <c r="I10" s="1" t="s">
        <v>36</v>
      </c>
      <c r="J10" s="1">
        <f>+F4</f>
        <v>18.108609000000001</v>
      </c>
      <c r="L10" s="1" t="s">
        <v>39</v>
      </c>
      <c r="M10" s="1">
        <f>37662/1000</f>
        <v>37.661999999999999</v>
      </c>
      <c r="O10" s="1" t="s">
        <v>39</v>
      </c>
      <c r="P10" s="1">
        <f>37662/1000</f>
        <v>37.661999999999999</v>
      </c>
      <c r="R10" s="8" t="s">
        <v>45</v>
      </c>
      <c r="S10" s="8">
        <f>+S9*S6</f>
        <v>302.12445333333329</v>
      </c>
    </row>
    <row r="11" spans="2:19">
      <c r="I11" s="1" t="s">
        <v>38</v>
      </c>
      <c r="J11" s="1">
        <f>+J9/J10</f>
        <v>138.13999999999999</v>
      </c>
      <c r="L11" s="1" t="s">
        <v>42</v>
      </c>
      <c r="M11" s="1">
        <f>+M10/9*12</f>
        <v>50.216000000000001</v>
      </c>
      <c r="O11" s="1" t="s">
        <v>42</v>
      </c>
      <c r="P11" s="1">
        <f>+P10/9*12</f>
        <v>50.216000000000001</v>
      </c>
      <c r="R11" s="1" t="s">
        <v>39</v>
      </c>
      <c r="S11" s="1">
        <f>37662/1000</f>
        <v>37.661999999999999</v>
      </c>
    </row>
    <row r="12" spans="2:19">
      <c r="L12" s="1" t="s">
        <v>44</v>
      </c>
      <c r="M12" s="6">
        <v>18</v>
      </c>
      <c r="O12" s="1" t="s">
        <v>44</v>
      </c>
      <c r="P12" s="6">
        <v>18</v>
      </c>
      <c r="R12" s="1" t="s">
        <v>42</v>
      </c>
      <c r="S12" s="1">
        <f>+S11/9*12</f>
        <v>50.216000000000001</v>
      </c>
    </row>
    <row r="13" spans="2:19">
      <c r="L13" s="1" t="s">
        <v>40</v>
      </c>
      <c r="M13" s="6">
        <v>16</v>
      </c>
      <c r="O13" s="1" t="s">
        <v>40</v>
      </c>
      <c r="P13" s="6">
        <v>16</v>
      </c>
      <c r="R13" s="1" t="s">
        <v>44</v>
      </c>
      <c r="S13" s="6">
        <v>18</v>
      </c>
    </row>
    <row r="14" spans="2:19">
      <c r="L14" s="1" t="s">
        <v>41</v>
      </c>
      <c r="M14" s="6">
        <f>+M12-M13</f>
        <v>2</v>
      </c>
      <c r="O14" s="1" t="s">
        <v>41</v>
      </c>
      <c r="P14" s="6">
        <f>+P12-P13</f>
        <v>2</v>
      </c>
      <c r="R14" s="1" t="s">
        <v>40</v>
      </c>
      <c r="S14" s="6">
        <v>16</v>
      </c>
    </row>
    <row r="15" spans="2:19">
      <c r="L15" s="8" t="s">
        <v>46</v>
      </c>
      <c r="M15" s="8">
        <f>+M14*M11</f>
        <v>100.432</v>
      </c>
      <c r="O15" s="8" t="s">
        <v>46</v>
      </c>
      <c r="P15" s="8">
        <f>+P14*P11</f>
        <v>100.432</v>
      </c>
      <c r="R15" s="1" t="s">
        <v>41</v>
      </c>
      <c r="S15" s="6">
        <f>+S13-S14</f>
        <v>2</v>
      </c>
    </row>
    <row r="16" spans="2:19">
      <c r="L16" s="1" t="s">
        <v>47</v>
      </c>
      <c r="M16" s="1">
        <f>+M9+M15</f>
        <v>336.70071999999999</v>
      </c>
      <c r="O16" s="1" t="s">
        <v>47</v>
      </c>
      <c r="P16" s="1">
        <f>+P9+P15</f>
        <v>381.80738666666662</v>
      </c>
      <c r="R16" s="8" t="s">
        <v>46</v>
      </c>
      <c r="S16" s="8">
        <f>+S15*S12</f>
        <v>100.432</v>
      </c>
    </row>
    <row r="17" spans="12:19">
      <c r="L17" s="1" t="s">
        <v>49</v>
      </c>
      <c r="M17" s="1">
        <f>+M16*$J$6</f>
        <v>2209.8973807231032</v>
      </c>
      <c r="O17" s="1" t="s">
        <v>49</v>
      </c>
      <c r="P17" s="1">
        <f>+P16*$J$6</f>
        <v>2505.9499241207432</v>
      </c>
      <c r="R17" s="1" t="s">
        <v>47</v>
      </c>
      <c r="S17" s="1">
        <f>+S10+S16</f>
        <v>402.55645333333331</v>
      </c>
    </row>
    <row r="18" spans="12:19">
      <c r="L18" s="1" t="s">
        <v>50</v>
      </c>
      <c r="M18" s="1">
        <f>+F6-F7</f>
        <v>130.14500000000004</v>
      </c>
      <c r="O18" s="1" t="s">
        <v>50</v>
      </c>
      <c r="P18" s="1">
        <f>+M18</f>
        <v>130.14500000000004</v>
      </c>
      <c r="R18" s="1" t="s">
        <v>49</v>
      </c>
      <c r="S18" s="1">
        <f>+S17*$J$6</f>
        <v>2642.1340940836581</v>
      </c>
    </row>
    <row r="19" spans="12:19">
      <c r="L19" s="1" t="s">
        <v>51</v>
      </c>
      <c r="M19" s="1">
        <f>+M17-M18</f>
        <v>2079.7523807231032</v>
      </c>
      <c r="O19" s="1" t="s">
        <v>51</v>
      </c>
      <c r="P19" s="1">
        <f>+P17-P18</f>
        <v>2375.8049241207432</v>
      </c>
      <c r="R19" s="1" t="s">
        <v>50</v>
      </c>
      <c r="S19" s="1">
        <f>+P41</f>
        <v>130.14500000000004</v>
      </c>
    </row>
    <row r="20" spans="12:19">
      <c r="L20" s="1" t="s">
        <v>36</v>
      </c>
      <c r="M20" s="1">
        <f>+$F$4</f>
        <v>18.108609000000001</v>
      </c>
      <c r="O20" s="1" t="s">
        <v>36</v>
      </c>
      <c r="P20" s="1">
        <f>+$F$4</f>
        <v>18.108609000000001</v>
      </c>
      <c r="R20" s="1" t="s">
        <v>51</v>
      </c>
      <c r="S20" s="1">
        <f>+S18-S19</f>
        <v>2511.9890940836581</v>
      </c>
    </row>
    <row r="21" spans="12:19">
      <c r="L21" s="8" t="s">
        <v>37</v>
      </c>
      <c r="M21" s="8">
        <f>+M19/M20</f>
        <v>114.84882028890806</v>
      </c>
      <c r="O21" s="8" t="s">
        <v>37</v>
      </c>
      <c r="P21" s="8">
        <f>+P19/P20</f>
        <v>131.1975383708789</v>
      </c>
      <c r="R21" s="1" t="s">
        <v>36</v>
      </c>
      <c r="S21" s="1">
        <f>+$F$4</f>
        <v>18.108609000000001</v>
      </c>
    </row>
    <row r="22" spans="12:19">
      <c r="L22" s="1" t="s">
        <v>30</v>
      </c>
      <c r="M22" s="1">
        <v>138</v>
      </c>
      <c r="O22" s="1" t="s">
        <v>30</v>
      </c>
      <c r="P22" s="1">
        <v>138</v>
      </c>
      <c r="R22" s="8" t="s">
        <v>37</v>
      </c>
      <c r="S22" s="8">
        <f>+S20/S21</f>
        <v>138.71794868858552</v>
      </c>
    </row>
    <row r="23" spans="12:19">
      <c r="L23" s="1" t="s">
        <v>52</v>
      </c>
      <c r="M23" s="2">
        <f>+M21/M22-1</f>
        <v>-0.16776217181950681</v>
      </c>
      <c r="O23" s="1" t="s">
        <v>52</v>
      </c>
      <c r="P23" s="2">
        <f>+P21/P22-1</f>
        <v>-4.9293200211022459E-2</v>
      </c>
      <c r="R23" s="1" t="s">
        <v>30</v>
      </c>
      <c r="S23" s="1">
        <v>138</v>
      </c>
    </row>
    <row r="24" spans="12:19">
      <c r="L24" s="1" t="s">
        <v>48</v>
      </c>
      <c r="O24" s="1" t="s">
        <v>48</v>
      </c>
      <c r="R24" s="1" t="s">
        <v>52</v>
      </c>
      <c r="S24" s="2">
        <f>+S22/S23-1</f>
        <v>5.2025267288806631E-3</v>
      </c>
    </row>
    <row r="26" spans="12:19">
      <c r="L26" s="1" t="s">
        <v>54</v>
      </c>
      <c r="O26" s="1" t="s">
        <v>58</v>
      </c>
    </row>
    <row r="27" spans="12:19">
      <c r="L27" s="1" t="s">
        <v>39</v>
      </c>
      <c r="M27" s="1">
        <v>6.766</v>
      </c>
      <c r="O27" s="1" t="s">
        <v>39</v>
      </c>
      <c r="P27" s="1">
        <v>6.766</v>
      </c>
    </row>
    <row r="28" spans="12:19">
      <c r="L28" s="1" t="s">
        <v>42</v>
      </c>
      <c r="M28" s="1">
        <f>+M27/9*12</f>
        <v>9.0213333333333328</v>
      </c>
      <c r="O28" s="1" t="s">
        <v>42</v>
      </c>
      <c r="P28" s="1">
        <f>+P27/9*12</f>
        <v>9.0213333333333328</v>
      </c>
    </row>
    <row r="29" spans="12:19">
      <c r="L29" s="1" t="s">
        <v>44</v>
      </c>
      <c r="M29" s="1">
        <v>115</v>
      </c>
      <c r="O29" s="1" t="s">
        <v>44</v>
      </c>
      <c r="P29" s="1">
        <v>131.76</v>
      </c>
    </row>
    <row r="30" spans="12:19">
      <c r="L30" s="1" t="s">
        <v>40</v>
      </c>
      <c r="M30" s="1">
        <v>93.81</v>
      </c>
      <c r="O30" s="1" t="s">
        <v>40</v>
      </c>
      <c r="P30" s="1">
        <v>93.81</v>
      </c>
    </row>
    <row r="31" spans="12:19">
      <c r="L31" s="1" t="s">
        <v>41</v>
      </c>
      <c r="M31" s="1">
        <f>+M29-M30</f>
        <v>21.189999999999998</v>
      </c>
      <c r="O31" s="1" t="s">
        <v>41</v>
      </c>
      <c r="P31" s="1">
        <f>+P29-P30</f>
        <v>37.949999999999989</v>
      </c>
    </row>
    <row r="32" spans="12:19">
      <c r="L32" s="8" t="s">
        <v>45</v>
      </c>
      <c r="M32" s="8">
        <f>+M31*M28</f>
        <v>191.16205333333329</v>
      </c>
      <c r="O32" s="8" t="s">
        <v>45</v>
      </c>
      <c r="P32" s="8">
        <f>+P31*P28</f>
        <v>342.35959999999989</v>
      </c>
    </row>
    <row r="33" spans="2:16">
      <c r="L33" s="1" t="s">
        <v>39</v>
      </c>
      <c r="M33" s="1">
        <f>37662/1000</f>
        <v>37.661999999999999</v>
      </c>
      <c r="O33" s="1" t="s">
        <v>39</v>
      </c>
      <c r="P33" s="1">
        <f>37662/1000</f>
        <v>37.661999999999999</v>
      </c>
    </row>
    <row r="34" spans="2:16">
      <c r="L34" s="1" t="s">
        <v>42</v>
      </c>
      <c r="M34" s="1">
        <f>+M33/9*12</f>
        <v>50.216000000000001</v>
      </c>
      <c r="O34" s="1" t="s">
        <v>42</v>
      </c>
      <c r="P34" s="1">
        <f>+P33/9*12</f>
        <v>50.216000000000001</v>
      </c>
    </row>
    <row r="35" spans="2:16">
      <c r="L35" s="1" t="s">
        <v>44</v>
      </c>
      <c r="M35" s="6">
        <v>18</v>
      </c>
      <c r="O35" s="1" t="s">
        <v>44</v>
      </c>
      <c r="P35" s="6">
        <v>18</v>
      </c>
    </row>
    <row r="36" spans="2:16">
      <c r="L36" s="1" t="s">
        <v>40</v>
      </c>
      <c r="M36" s="6">
        <v>16</v>
      </c>
      <c r="O36" s="1" t="s">
        <v>40</v>
      </c>
      <c r="P36" s="6">
        <v>16</v>
      </c>
    </row>
    <row r="37" spans="2:16">
      <c r="L37" s="1" t="s">
        <v>41</v>
      </c>
      <c r="M37" s="6">
        <f>+M35-M36</f>
        <v>2</v>
      </c>
      <c r="O37" s="1" t="s">
        <v>41</v>
      </c>
      <c r="P37" s="6">
        <f>+P35-P36</f>
        <v>2</v>
      </c>
    </row>
    <row r="38" spans="2:16">
      <c r="L38" s="8" t="s">
        <v>46</v>
      </c>
      <c r="M38" s="8">
        <f>+M37*M34</f>
        <v>100.432</v>
      </c>
      <c r="O38" s="8" t="s">
        <v>46</v>
      </c>
      <c r="P38" s="8">
        <f>+P37*P34</f>
        <v>100.432</v>
      </c>
    </row>
    <row r="39" spans="2:16">
      <c r="L39" s="1" t="s">
        <v>47</v>
      </c>
      <c r="M39" s="1">
        <f>+M32+M38</f>
        <v>291.59405333333331</v>
      </c>
      <c r="O39" s="1" t="s">
        <v>47</v>
      </c>
      <c r="P39" s="1">
        <f>+P32+P38</f>
        <v>442.7915999999999</v>
      </c>
    </row>
    <row r="40" spans="2:16">
      <c r="L40" s="1" t="s">
        <v>49</v>
      </c>
      <c r="M40" s="1">
        <f>+M39*$J$6</f>
        <v>1913.8448373254625</v>
      </c>
      <c r="O40" s="1" t="s">
        <v>49</v>
      </c>
      <c r="P40" s="1">
        <f>+P39*$J$6</f>
        <v>2906.2129627943527</v>
      </c>
    </row>
    <row r="41" spans="2:16">
      <c r="B41" s="4" t="s">
        <v>17</v>
      </c>
      <c r="L41" s="1" t="s">
        <v>50</v>
      </c>
      <c r="M41" s="1">
        <f>+M18</f>
        <v>130.14500000000004</v>
      </c>
      <c r="O41" s="1" t="s">
        <v>50</v>
      </c>
      <c r="P41" s="1">
        <f>+M41</f>
        <v>130.14500000000004</v>
      </c>
    </row>
    <row r="42" spans="2:16">
      <c r="B42" s="1" t="s">
        <v>18</v>
      </c>
      <c r="L42" s="1" t="s">
        <v>51</v>
      </c>
      <c r="M42" s="1">
        <f>+M40-M41</f>
        <v>1783.6998373254626</v>
      </c>
      <c r="O42" s="1" t="s">
        <v>51</v>
      </c>
      <c r="P42" s="1">
        <f>+P40-P41</f>
        <v>2776.0679627943528</v>
      </c>
    </row>
    <row r="43" spans="2:16">
      <c r="C43" s="1" t="s">
        <v>19</v>
      </c>
      <c r="L43" s="1" t="s">
        <v>36</v>
      </c>
      <c r="M43" s="1">
        <f>+$F$4</f>
        <v>18.108609000000001</v>
      </c>
      <c r="O43" s="1" t="s">
        <v>36</v>
      </c>
      <c r="P43" s="1">
        <f>+$F$4</f>
        <v>18.108609000000001</v>
      </c>
    </row>
    <row r="44" spans="2:16">
      <c r="C44" s="1" t="s">
        <v>20</v>
      </c>
      <c r="L44" s="8" t="s">
        <v>37</v>
      </c>
      <c r="M44" s="8">
        <f>+M42/M43</f>
        <v>98.500102206937171</v>
      </c>
      <c r="O44" s="8" t="s">
        <v>37</v>
      </c>
      <c r="P44" s="8">
        <f>+P42/P43</f>
        <v>153.3010052177035</v>
      </c>
    </row>
    <row r="45" spans="2:16">
      <c r="D45" s="1" t="s">
        <v>21</v>
      </c>
      <c r="L45" s="1" t="s">
        <v>30</v>
      </c>
      <c r="M45" s="1">
        <v>138</v>
      </c>
      <c r="O45" s="1" t="s">
        <v>30</v>
      </c>
      <c r="P45" s="1">
        <v>138</v>
      </c>
    </row>
    <row r="46" spans="2:16">
      <c r="C46" s="1" t="s">
        <v>22</v>
      </c>
      <c r="L46" s="1" t="s">
        <v>52</v>
      </c>
      <c r="M46" s="2">
        <f>+M44/M45-1</f>
        <v>-0.2862311434279915</v>
      </c>
      <c r="O46" s="1" t="s">
        <v>52</v>
      </c>
      <c r="P46" s="2">
        <f>+P44/P45-1</f>
        <v>0.1108768494036485</v>
      </c>
    </row>
    <row r="47" spans="2:16">
      <c r="B47" s="1" t="s">
        <v>23</v>
      </c>
    </row>
    <row r="48" spans="2:16">
      <c r="B48" s="1" t="s">
        <v>24</v>
      </c>
    </row>
    <row r="50" spans="2:2">
      <c r="B50" s="1" t="s">
        <v>25</v>
      </c>
    </row>
    <row r="51" spans="2:2">
      <c r="B51" s="1" t="s">
        <v>26</v>
      </c>
    </row>
    <row r="52" spans="2:2">
      <c r="B52" s="1" t="s">
        <v>27</v>
      </c>
    </row>
    <row r="54" spans="2:2">
      <c r="B54" s="1" t="s">
        <v>28</v>
      </c>
    </row>
    <row r="55" spans="2:2">
      <c r="B55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156E-BD9C-E34C-B09E-6A4CB06E25C5}">
  <dimension ref="B2:J2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baseColWidth="10" defaultRowHeight="13"/>
  <cols>
    <col min="1" max="1" width="3.6640625" style="1" customWidth="1"/>
    <col min="2" max="16384" width="10.83203125" style="1"/>
  </cols>
  <sheetData>
    <row r="2" spans="2:10"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6</v>
      </c>
      <c r="J2" s="1" t="s">
        <v>13</v>
      </c>
    </row>
    <row r="3" spans="2:10" s="5" customFormat="1">
      <c r="B3" s="5" t="s">
        <v>56</v>
      </c>
      <c r="D3" s="5">
        <v>143.66999999999999</v>
      </c>
      <c r="E3" s="5">
        <v>151.33000000000001</v>
      </c>
      <c r="H3" s="5">
        <v>131.97</v>
      </c>
      <c r="I3" s="5">
        <v>115.55</v>
      </c>
    </row>
    <row r="4" spans="2:10" s="5" customFormat="1">
      <c r="B4" s="5" t="s">
        <v>57</v>
      </c>
      <c r="D4" s="5">
        <v>171.95</v>
      </c>
      <c r="E4" s="5">
        <v>165</v>
      </c>
      <c r="H4" s="5">
        <v>140.93</v>
      </c>
      <c r="I4" s="5">
        <v>131.76</v>
      </c>
    </row>
    <row r="5" spans="2:10">
      <c r="H5" s="1">
        <f>+H3-H4</f>
        <v>-8.960000000000008</v>
      </c>
      <c r="I5" s="1">
        <f>+I3-I4</f>
        <v>-16.209999999999994</v>
      </c>
    </row>
    <row r="7" spans="2:10">
      <c r="B7" s="1" t="s">
        <v>55</v>
      </c>
      <c r="E7" s="1">
        <v>744601</v>
      </c>
      <c r="I7" s="1">
        <v>617899</v>
      </c>
    </row>
    <row r="24" spans="2:9" s="3" customFormat="1">
      <c r="B24" s="3" t="s">
        <v>14</v>
      </c>
      <c r="I24" s="3">
        <f>+I7/E7-1</f>
        <v>-0.17016093182791858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2024-12-26T06:31:07Z</dcterms:created>
  <dcterms:modified xsi:type="dcterms:W3CDTF">2024-12-26T09:27:45Z</dcterms:modified>
</cp:coreProperties>
</file>