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37A47446-8B02-184E-BBD3-2B840DB53D66}" xr6:coauthVersionLast="47" xr6:coauthVersionMax="47" xr10:uidLastSave="{00000000-0000-0000-0000-000000000000}"/>
  <bookViews>
    <workbookView xWindow="8560" yWindow="500" windowWidth="42640" windowHeight="28300" xr2:uid="{AC973709-2307-5749-97A6-751F3776E14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2" l="1"/>
  <c r="G69" i="2"/>
  <c r="I69" i="2"/>
  <c r="F73" i="2"/>
  <c r="C75" i="2"/>
  <c r="G75" i="2"/>
  <c r="G59" i="2"/>
  <c r="G65" i="2" s="1"/>
  <c r="G67" i="2" s="1"/>
  <c r="G45" i="2"/>
  <c r="G52" i="2" s="1"/>
  <c r="D74" i="2"/>
  <c r="E74" i="2" s="1"/>
  <c r="D73" i="2"/>
  <c r="E73" i="2" s="1"/>
  <c r="H74" i="2"/>
  <c r="I74" i="2" s="1"/>
  <c r="H73" i="2"/>
  <c r="H45" i="2"/>
  <c r="H59" i="2"/>
  <c r="H65" i="2" s="1"/>
  <c r="H67" i="2" s="1"/>
  <c r="I73" i="2"/>
  <c r="J39" i="2"/>
  <c r="F59" i="2"/>
  <c r="F65" i="2" s="1"/>
  <c r="F67" i="2" s="1"/>
  <c r="I59" i="2"/>
  <c r="I65" i="2" s="1"/>
  <c r="I67" i="2" s="1"/>
  <c r="F45" i="2"/>
  <c r="F52" i="2" s="1"/>
  <c r="I45" i="2"/>
  <c r="I52" i="2" s="1"/>
  <c r="F8" i="2"/>
  <c r="L7" i="1"/>
  <c r="L6" i="1"/>
  <c r="L5" i="1"/>
  <c r="L4" i="1"/>
  <c r="M4" i="1" s="1"/>
  <c r="N4" i="1" s="1"/>
  <c r="N21" i="1" s="1"/>
  <c r="K5" i="1"/>
  <c r="K6" i="1" s="1"/>
  <c r="M2" i="2"/>
  <c r="N2" i="2" s="1"/>
  <c r="O2" i="2" s="1"/>
  <c r="H29" i="2"/>
  <c r="G29" i="2"/>
  <c r="H28" i="2"/>
  <c r="G28" i="2"/>
  <c r="I29" i="2"/>
  <c r="I28" i="2"/>
  <c r="F5" i="2"/>
  <c r="F4" i="2"/>
  <c r="R6" i="2"/>
  <c r="Q6" i="2"/>
  <c r="P6" i="2"/>
  <c r="H6" i="2"/>
  <c r="G6" i="2"/>
  <c r="E6" i="2"/>
  <c r="D6" i="2"/>
  <c r="C6" i="2"/>
  <c r="I6" i="2"/>
  <c r="F24" i="2"/>
  <c r="F22" i="2"/>
  <c r="F20" i="2"/>
  <c r="F19" i="2"/>
  <c r="F17" i="2"/>
  <c r="F16" i="2"/>
  <c r="F15" i="2"/>
  <c r="F14" i="2"/>
  <c r="F13" i="2"/>
  <c r="F11" i="2"/>
  <c r="F10" i="2"/>
  <c r="R31" i="2"/>
  <c r="R30" i="2"/>
  <c r="R12" i="2"/>
  <c r="R18" i="2" s="1"/>
  <c r="R21" i="2" s="1"/>
  <c r="R23" i="2" s="1"/>
  <c r="R25" i="2" s="1"/>
  <c r="Q30" i="2"/>
  <c r="Q31" i="2"/>
  <c r="P12" i="2"/>
  <c r="P18" i="2" s="1"/>
  <c r="Q12" i="2"/>
  <c r="Q18" i="2" s="1"/>
  <c r="Q21" i="2" s="1"/>
  <c r="Q23" i="2" s="1"/>
  <c r="Q25" i="2" s="1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G31" i="2"/>
  <c r="G30" i="2"/>
  <c r="C12" i="2"/>
  <c r="C18" i="2" s="1"/>
  <c r="C21" i="2" s="1"/>
  <c r="C23" i="2" s="1"/>
  <c r="C25" i="2" s="1"/>
  <c r="G12" i="2"/>
  <c r="G18" i="2" s="1"/>
  <c r="G21" i="2" s="1"/>
  <c r="G23" i="2" s="1"/>
  <c r="G25" i="2" s="1"/>
  <c r="H31" i="2"/>
  <c r="H30" i="2"/>
  <c r="D12" i="2"/>
  <c r="D18" i="2" s="1"/>
  <c r="D21" i="2" s="1"/>
  <c r="D23" i="2" s="1"/>
  <c r="D25" i="2" s="1"/>
  <c r="H12" i="2"/>
  <c r="H18" i="2" s="1"/>
  <c r="H21" i="2" s="1"/>
  <c r="H23" i="2" s="1"/>
  <c r="H25" i="2" s="1"/>
  <c r="I31" i="2"/>
  <c r="I30" i="2"/>
  <c r="E12" i="2"/>
  <c r="E18" i="2" s="1"/>
  <c r="E21" i="2" s="1"/>
  <c r="E23" i="2" s="1"/>
  <c r="E25" i="2" s="1"/>
  <c r="I12" i="2"/>
  <c r="I18" i="2" s="1"/>
  <c r="I21" i="2" s="1"/>
  <c r="I23" i="2" s="1"/>
  <c r="I25" i="2" s="1"/>
  <c r="M14" i="1"/>
  <c r="M15" i="1" s="1"/>
  <c r="L14" i="1"/>
  <c r="L13" i="1"/>
  <c r="F74" i="2" l="1"/>
  <c r="F75" i="2" s="1"/>
  <c r="E75" i="2"/>
  <c r="D75" i="2"/>
  <c r="H75" i="2"/>
  <c r="I75" i="2"/>
  <c r="H52" i="2"/>
  <c r="M6" i="1"/>
  <c r="N6" i="1" s="1"/>
  <c r="O29" i="1" s="1"/>
  <c r="K7" i="1"/>
  <c r="M7" i="1" s="1"/>
  <c r="N7" i="1" s="1"/>
  <c r="L36" i="1" s="1"/>
  <c r="M5" i="1"/>
  <c r="N5" i="1" s="1"/>
  <c r="L29" i="1" s="1"/>
  <c r="L16" i="1"/>
  <c r="L10" i="1" s="1"/>
  <c r="F6" i="2"/>
  <c r="I32" i="2"/>
  <c r="F25" i="2"/>
  <c r="Q32" i="2"/>
  <c r="F18" i="2"/>
  <c r="F12" i="2"/>
  <c r="F21" i="2"/>
  <c r="F23" i="2"/>
  <c r="H32" i="2"/>
  <c r="G32" i="2"/>
  <c r="P21" i="2"/>
  <c r="P23" i="2" s="1"/>
  <c r="P25" i="2" s="1"/>
  <c r="R32" i="2"/>
  <c r="L37" i="1" l="1"/>
  <c r="L38" i="1" s="1"/>
  <c r="L39" i="1" s="1"/>
  <c r="L40" i="1" s="1"/>
  <c r="O30" i="1"/>
  <c r="O31" i="1" s="1"/>
  <c r="O32" i="1" s="1"/>
  <c r="O33" i="1" s="1"/>
  <c r="L30" i="1"/>
  <c r="L31" i="1" s="1"/>
  <c r="L32" i="1" s="1"/>
  <c r="L33" i="1" s="1"/>
  <c r="N22" i="1"/>
  <c r="N23" i="1" s="1"/>
  <c r="N24" i="1" s="1"/>
  <c r="N25" i="1" s="1"/>
</calcChain>
</file>

<file path=xl/sharedStrings.xml><?xml version="1.0" encoding="utf-8"?>
<sst xmlns="http://schemas.openxmlformats.org/spreadsheetml/2006/main" count="123" uniqueCount="100">
  <si>
    <t>Q324</t>
  </si>
  <si>
    <t>Q123</t>
  </si>
  <si>
    <t>Q223</t>
  </si>
  <si>
    <t>Q323</t>
  </si>
  <si>
    <t>Q423</t>
  </si>
  <si>
    <t>Q124</t>
  </si>
  <si>
    <t>Q224</t>
  </si>
  <si>
    <t>Q424</t>
  </si>
  <si>
    <t>Sales</t>
  </si>
  <si>
    <t>Total Revenues</t>
  </si>
  <si>
    <t>Costof sales</t>
  </si>
  <si>
    <t>Other revenues</t>
  </si>
  <si>
    <t>Cost of revenues</t>
  </si>
  <si>
    <t>Depreciation/Depletion</t>
  </si>
  <si>
    <t>SG&amp;A</t>
  </si>
  <si>
    <t>Business Interruption</t>
  </si>
  <si>
    <t xml:space="preserve">Operating Income </t>
  </si>
  <si>
    <t>Interest expense</t>
  </si>
  <si>
    <t>Interest income</t>
  </si>
  <si>
    <t xml:space="preserve">EBT </t>
  </si>
  <si>
    <t>Taxes</t>
  </si>
  <si>
    <t xml:space="preserve">Net Income </t>
  </si>
  <si>
    <t xml:space="preserve">Growth Analysis </t>
  </si>
  <si>
    <t>Diluted</t>
  </si>
  <si>
    <t>EPS</t>
  </si>
  <si>
    <t>metric tons produced</t>
  </si>
  <si>
    <t>metric tons sold</t>
  </si>
  <si>
    <t>%</t>
  </si>
  <si>
    <t>Q3'24 Notes</t>
  </si>
  <si>
    <t>industry in coal ming remains elevated as u.s. inflation cooled to 2.4%</t>
  </si>
  <si>
    <t>labor costs, construction materials, equipment, supplies increased 25%-35%</t>
  </si>
  <si>
    <t>cost pressures: belt structure, roof bolts, cables, magnetite, rock dust</t>
  </si>
  <si>
    <t>specific costs</t>
  </si>
  <si>
    <t>labor costs and parts for equipment repairs and rebuilds</t>
  </si>
  <si>
    <t>high quality steelmaking coal prices reached a 3yr low in Q3-24 due to:</t>
  </si>
  <si>
    <t>weaker global demand</t>
  </si>
  <si>
    <t>excess chinese steel exports impacting customer markets</t>
  </si>
  <si>
    <t>ample steelmaking coal supply</t>
  </si>
  <si>
    <t xml:space="preserve">pricing trends </t>
  </si>
  <si>
    <t xml:space="preserve">as of Oct 24, prem low volatile (LV) coal prices were $207 per metric ton </t>
  </si>
  <si>
    <t>forecasts from Wood Mackenzie indicate prices will range between $170-$200 per metric ton for rest of 2024</t>
  </si>
  <si>
    <t xml:space="preserve">approx 13% of hard coking coal supply is unprofitable at $180 per metric tone, setting a floor for prices </t>
  </si>
  <si>
    <t xml:space="preserve">Neat Term </t>
  </si>
  <si>
    <t>weak global steel markets</t>
  </si>
  <si>
    <t xml:space="preserve">delayed infrastructure spending in india </t>
  </si>
  <si>
    <t xml:space="preserve">CEO </t>
  </si>
  <si>
    <t xml:space="preserve">CFO </t>
  </si>
  <si>
    <t>Price (Metric Ton)</t>
  </si>
  <si>
    <t>Spread ($/ton)</t>
  </si>
  <si>
    <t>Avg Costs</t>
  </si>
  <si>
    <t>Annual EBITDA (Spread * Vol)</t>
  </si>
  <si>
    <t>Current EV/24 YTD EBITDA</t>
  </si>
  <si>
    <t>@ $180/metric ton</t>
  </si>
  <si>
    <t>Annual EBITDA</t>
  </si>
  <si>
    <t>Target EV</t>
  </si>
  <si>
    <t>Adjusted Market Cap</t>
  </si>
  <si>
    <t>Stock Price</t>
  </si>
  <si>
    <t>Price</t>
  </si>
  <si>
    <t>Shares</t>
  </si>
  <si>
    <t>Market Cap</t>
  </si>
  <si>
    <t>Cash</t>
  </si>
  <si>
    <t>Debt</t>
  </si>
  <si>
    <t xml:space="preserve">Enterprise Value </t>
  </si>
  <si>
    <t>@ $170/metric ton</t>
  </si>
  <si>
    <t>@ $190/metric ton</t>
  </si>
  <si>
    <t>@ $200/metric ton</t>
  </si>
  <si>
    <t>Upside</t>
  </si>
  <si>
    <t>steelmaking coal prices might improve slightly in Q4-24 but execpted to remain under pressure due to:</t>
  </si>
  <si>
    <t>realized prices</t>
  </si>
  <si>
    <t>Estimates</t>
  </si>
  <si>
    <t xml:space="preserve">Current </t>
  </si>
  <si>
    <t>Investments</t>
  </si>
  <si>
    <t>Trade A/R</t>
  </si>
  <si>
    <t xml:space="preserve">Inventories </t>
  </si>
  <si>
    <t>Prepaid Exp</t>
  </si>
  <si>
    <t xml:space="preserve">Restricted cash </t>
  </si>
  <si>
    <t>Mineral interests</t>
  </si>
  <si>
    <t>PPE</t>
  </si>
  <si>
    <t>Deferred i/x</t>
  </si>
  <si>
    <t>LT Investments</t>
  </si>
  <si>
    <t>OLTA</t>
  </si>
  <si>
    <t xml:space="preserve">Total Assets </t>
  </si>
  <si>
    <t>I/T Rec</t>
  </si>
  <si>
    <t>E</t>
  </si>
  <si>
    <t>TL + E</t>
  </si>
  <si>
    <t>A/P</t>
  </si>
  <si>
    <t>Accrued exp</t>
  </si>
  <si>
    <t>Asset retirement obl</t>
  </si>
  <si>
    <t>Short term fin lease</t>
  </si>
  <si>
    <t>Ocl</t>
  </si>
  <si>
    <t>Current L</t>
  </si>
  <si>
    <t>Long Term Debt</t>
  </si>
  <si>
    <t>Black Lung Obligations</t>
  </si>
  <si>
    <t>LT Fin Lease</t>
  </si>
  <si>
    <t>Deffered i/t</t>
  </si>
  <si>
    <t>TL</t>
  </si>
  <si>
    <t xml:space="preserve">CFFO </t>
  </si>
  <si>
    <t>Capex</t>
  </si>
  <si>
    <t>FCF</t>
  </si>
  <si>
    <t>Cash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</si>
</sst>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5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sz val="10"/>
      <color theme="1"/>
      <name val="ArialMT"/>
    </font>
    <font>
      <b/>
      <sz val="10"/>
      <color theme="0"/>
      <name val="ArialMT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3" fontId="2" fillId="0" borderId="0" xfId="0" applyNumberFormat="1" applyFont="1"/>
    <xf numFmtId="9" fontId="1" fillId="0" borderId="0" xfId="0" applyNumberFormat="1" applyFont="1"/>
    <xf numFmtId="1" fontId="0" fillId="0" borderId="0" xfId="0" applyNumberFormat="1"/>
    <xf numFmtId="3" fontId="3" fillId="0" borderId="0" xfId="0" applyNumberFormat="1" applyFont="1"/>
    <xf numFmtId="9" fontId="3" fillId="0" borderId="0" xfId="0" applyNumberFormat="1" applyFont="1"/>
    <xf numFmtId="3" fontId="0" fillId="0" borderId="0" xfId="0" applyNumberFormat="1" applyAlignment="1">
      <alignment horizontal="left" indent="1"/>
    </xf>
    <xf numFmtId="3" fontId="1" fillId="0" borderId="1" xfId="0" quotePrefix="1" applyNumberFormat="1" applyFon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9" fontId="0" fillId="0" borderId="6" xfId="0" applyNumberFormat="1" applyBorder="1"/>
    <xf numFmtId="3" fontId="1" fillId="0" borderId="1" xfId="0" applyNumberFormat="1" applyFont="1" applyBorder="1"/>
    <xf numFmtId="165" fontId="0" fillId="0" borderId="2" xfId="0" applyNumberFormat="1" applyBorder="1"/>
    <xf numFmtId="3" fontId="0" fillId="0" borderId="6" xfId="0" applyNumberFormat="1" applyBorder="1"/>
    <xf numFmtId="4" fontId="0" fillId="0" borderId="0" xfId="0" applyNumberFormat="1"/>
    <xf numFmtId="164" fontId="0" fillId="3" borderId="0" xfId="0" applyNumberFormat="1" applyFill="1"/>
    <xf numFmtId="3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810307</xdr:colOff>
      <xdr:row>0</xdr:row>
      <xdr:rowOff>38957</xdr:rowOff>
    </xdr:from>
    <xdr:to>
      <xdr:col>18</xdr:col>
      <xdr:colOff>0</xdr:colOff>
      <xdr:row>54</xdr:row>
      <xdr:rowOff>148037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C660FF-89D2-B38A-6B5F-3D3C96BE8255}"/>
            </a:ext>
          </a:extLst>
        </xdr:cNvPr>
        <xdr:cNvCxnSpPr/>
      </xdr:nvCxnSpPr>
      <xdr:spPr>
        <a:xfrm flipH="1">
          <a:off x="9248405" y="38957"/>
          <a:ext cx="15583" cy="730834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7791</xdr:colOff>
      <xdr:row>0</xdr:row>
      <xdr:rowOff>7792</xdr:rowOff>
    </xdr:from>
    <xdr:to>
      <xdr:col>9</xdr:col>
      <xdr:colOff>54274</xdr:colOff>
      <xdr:row>87</xdr:row>
      <xdr:rowOff>108547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E64CD16-D613-CC48-BC13-DB73FB440FEF}"/>
            </a:ext>
          </a:extLst>
        </xdr:cNvPr>
        <xdr:cNvCxnSpPr/>
      </xdr:nvCxnSpPr>
      <xdr:spPr>
        <a:xfrm>
          <a:off x="5663090" y="7792"/>
          <a:ext cx="46483" cy="137776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E075-CFF8-4943-97DF-B7EC859F622C}">
  <dimension ref="B2:O47"/>
  <sheetViews>
    <sheetView showGridLines="0" tabSelected="1" zoomScale="110" workbookViewId="0">
      <selection activeCell="B30" sqref="B30:B47"/>
    </sheetView>
  </sheetViews>
  <sheetFormatPr baseColWidth="10" defaultRowHeight="13"/>
  <cols>
    <col min="1" max="5" width="10.83203125" style="1"/>
    <col min="6" max="7" width="5.6640625" style="1" bestFit="1" customWidth="1"/>
    <col min="8" max="8" width="5.5" style="1" bestFit="1" customWidth="1"/>
    <col min="9" max="10" width="10.83203125" style="1"/>
    <col min="11" max="11" width="23" style="1" bestFit="1" customWidth="1"/>
    <col min="12" max="12" width="9" style="1" bestFit="1" customWidth="1"/>
    <col min="13" max="13" width="12.33203125" style="1" bestFit="1" customWidth="1"/>
    <col min="14" max="14" width="25" style="1" bestFit="1" customWidth="1"/>
    <col min="15" max="16384" width="10.83203125" style="1"/>
  </cols>
  <sheetData>
    <row r="2" spans="2:14">
      <c r="B2" s="1" t="s">
        <v>45</v>
      </c>
    </row>
    <row r="3" spans="2:14">
      <c r="B3" s="1" t="s">
        <v>46</v>
      </c>
      <c r="K3" s="1" t="s">
        <v>47</v>
      </c>
      <c r="L3" s="1" t="s">
        <v>49</v>
      </c>
      <c r="M3" s="1" t="s">
        <v>48</v>
      </c>
      <c r="N3" s="1" t="s">
        <v>50</v>
      </c>
    </row>
    <row r="4" spans="2:14">
      <c r="K4" s="1">
        <v>200</v>
      </c>
      <c r="L4" s="1">
        <f>200-64</f>
        <v>136</v>
      </c>
      <c r="M4" s="1">
        <f>+K4-L4</f>
        <v>64</v>
      </c>
      <c r="N4" s="1">
        <f>+M4*(1.7*4)</f>
        <v>435.2</v>
      </c>
    </row>
    <row r="5" spans="2:14">
      <c r="K5" s="1">
        <f>+K4-10</f>
        <v>190</v>
      </c>
      <c r="L5" s="1">
        <f>200-64</f>
        <v>136</v>
      </c>
      <c r="M5" s="1">
        <f>+K5-L5</f>
        <v>54</v>
      </c>
      <c r="N5" s="1">
        <f>+M5*(1.7*4)</f>
        <v>367.2</v>
      </c>
    </row>
    <row r="6" spans="2:14">
      <c r="K6" s="1">
        <f>+K5-10</f>
        <v>180</v>
      </c>
      <c r="L6" s="1">
        <f>200-64</f>
        <v>136</v>
      </c>
      <c r="M6" s="1">
        <f>+K6-L6</f>
        <v>44</v>
      </c>
      <c r="N6" s="1">
        <f>+M6*(1.7*4)</f>
        <v>299.2</v>
      </c>
    </row>
    <row r="7" spans="2:14">
      <c r="K7" s="1">
        <f>+K6-10</f>
        <v>170</v>
      </c>
      <c r="L7" s="1">
        <f>200-64</f>
        <v>136</v>
      </c>
      <c r="M7" s="1">
        <f>+K7-L7</f>
        <v>34</v>
      </c>
      <c r="N7" s="1">
        <f>+M7*(1.7*4)</f>
        <v>231.2</v>
      </c>
    </row>
    <row r="10" spans="2:14">
      <c r="K10" s="17" t="s">
        <v>51</v>
      </c>
      <c r="L10" s="18">
        <f>+L16/394.6</f>
        <v>6.0694031235681702</v>
      </c>
    </row>
    <row r="11" spans="2:14">
      <c r="K11" s="13" t="s">
        <v>57</v>
      </c>
      <c r="L11" s="14">
        <v>54.32</v>
      </c>
    </row>
    <row r="12" spans="2:14">
      <c r="K12" s="13" t="s">
        <v>58</v>
      </c>
      <c r="L12" s="14">
        <v>52.311532999999997</v>
      </c>
      <c r="M12" s="1" t="s">
        <v>0</v>
      </c>
    </row>
    <row r="13" spans="2:14">
      <c r="K13" s="13" t="s">
        <v>59</v>
      </c>
      <c r="L13" s="14">
        <f>+L11*L12</f>
        <v>2841.5624725600001</v>
      </c>
    </row>
    <row r="14" spans="2:14">
      <c r="K14" s="13" t="s">
        <v>60</v>
      </c>
      <c r="L14" s="14">
        <f>583.158+9.392+7.486</f>
        <v>600.03600000000006</v>
      </c>
      <c r="M14" s="1" t="str">
        <f>+M12</f>
        <v>Q324</v>
      </c>
    </row>
    <row r="15" spans="2:14">
      <c r="K15" s="13" t="s">
        <v>61</v>
      </c>
      <c r="L15" s="14">
        <v>153.46</v>
      </c>
      <c r="M15" s="1" t="str">
        <f>+M14</f>
        <v>Q324</v>
      </c>
    </row>
    <row r="16" spans="2:14">
      <c r="K16" s="15" t="s">
        <v>62</v>
      </c>
      <c r="L16" s="19">
        <f>+L13-L14+L15</f>
        <v>2394.98647256</v>
      </c>
    </row>
    <row r="18" spans="2:15">
      <c r="K18" s="22" t="s">
        <v>69</v>
      </c>
      <c r="L18" s="22"/>
      <c r="M18" s="22"/>
      <c r="N18" s="22"/>
      <c r="O18" s="22"/>
    </row>
    <row r="20" spans="2:15">
      <c r="M20" s="11" t="s">
        <v>65</v>
      </c>
      <c r="N20" s="12"/>
    </row>
    <row r="21" spans="2:15">
      <c r="M21" s="13" t="s">
        <v>53</v>
      </c>
      <c r="N21" s="14">
        <f>+N4</f>
        <v>435.2</v>
      </c>
    </row>
    <row r="22" spans="2:15">
      <c r="M22" s="13" t="s">
        <v>54</v>
      </c>
      <c r="N22" s="14">
        <f>+N21*L10</f>
        <v>2641.4042393768677</v>
      </c>
    </row>
    <row r="23" spans="2:15">
      <c r="M23" s="13" t="s">
        <v>55</v>
      </c>
      <c r="N23" s="14">
        <f>+N22-$L$15+$L$14</f>
        <v>3087.9802393768678</v>
      </c>
    </row>
    <row r="24" spans="2:15">
      <c r="M24" s="13" t="s">
        <v>56</v>
      </c>
      <c r="N24" s="14">
        <f>+N23/$L$12</f>
        <v>59.030582020543498</v>
      </c>
    </row>
    <row r="25" spans="2:15">
      <c r="M25" s="15" t="s">
        <v>66</v>
      </c>
      <c r="N25" s="16">
        <f>+N24/L11-1</f>
        <v>8.6719109361993674E-2</v>
      </c>
    </row>
    <row r="28" spans="2:15">
      <c r="K28" s="11" t="s">
        <v>64</v>
      </c>
      <c r="L28" s="12"/>
      <c r="N28" s="11" t="s">
        <v>52</v>
      </c>
      <c r="O28" s="12"/>
    </row>
    <row r="29" spans="2:15">
      <c r="K29" s="13" t="s">
        <v>53</v>
      </c>
      <c r="L29" s="14">
        <f>+N5</f>
        <v>367.2</v>
      </c>
      <c r="N29" s="13" t="s">
        <v>53</v>
      </c>
      <c r="O29" s="14">
        <f>+N6</f>
        <v>299.2</v>
      </c>
    </row>
    <row r="30" spans="2:15">
      <c r="B30" s="5" t="s">
        <v>28</v>
      </c>
      <c r="K30" s="13" t="s">
        <v>54</v>
      </c>
      <c r="L30" s="14">
        <f>+$L$10*L29</f>
        <v>2228.6848269742322</v>
      </c>
      <c r="N30" s="13" t="s">
        <v>54</v>
      </c>
      <c r="O30" s="14">
        <f>+$L$10*O29</f>
        <v>1815.9654145715965</v>
      </c>
    </row>
    <row r="31" spans="2:15">
      <c r="B31" s="1" t="s">
        <v>29</v>
      </c>
      <c r="K31" s="13" t="s">
        <v>55</v>
      </c>
      <c r="L31" s="14">
        <f>+L30-$L$15+$L$14</f>
        <v>2675.2608269742323</v>
      </c>
      <c r="N31" s="13" t="s">
        <v>55</v>
      </c>
      <c r="O31" s="14">
        <f>+O30-$L$15+$L$14</f>
        <v>2262.5414145715968</v>
      </c>
    </row>
    <row r="32" spans="2:15">
      <c r="B32" s="1" t="s">
        <v>30</v>
      </c>
      <c r="K32" s="13" t="s">
        <v>56</v>
      </c>
      <c r="L32" s="14">
        <f>+L31/$L$12</f>
        <v>51.140937257071634</v>
      </c>
      <c r="N32" s="13" t="s">
        <v>56</v>
      </c>
      <c r="O32" s="14">
        <f>+O31/$L$12</f>
        <v>43.251292493599777</v>
      </c>
    </row>
    <row r="33" spans="2:15">
      <c r="B33" s="2" t="s">
        <v>32</v>
      </c>
      <c r="K33" s="15" t="s">
        <v>66</v>
      </c>
      <c r="L33" s="16">
        <f>+L32/L11-1</f>
        <v>-5.8524719126074487E-2</v>
      </c>
      <c r="N33" s="15" t="s">
        <v>66</v>
      </c>
      <c r="O33" s="16">
        <f>+O32/L11-1</f>
        <v>-0.20376854761414254</v>
      </c>
    </row>
    <row r="34" spans="2:15">
      <c r="B34" s="10" t="s">
        <v>31</v>
      </c>
    </row>
    <row r="35" spans="2:15">
      <c r="B35" s="10" t="s">
        <v>33</v>
      </c>
      <c r="K35" s="11" t="s">
        <v>63</v>
      </c>
      <c r="L35" s="12"/>
    </row>
    <row r="36" spans="2:15">
      <c r="B36" s="1" t="s">
        <v>34</v>
      </c>
      <c r="K36" s="13" t="s">
        <v>53</v>
      </c>
      <c r="L36" s="14">
        <f>+N7</f>
        <v>231.2</v>
      </c>
    </row>
    <row r="37" spans="2:15">
      <c r="B37" s="1" t="s">
        <v>35</v>
      </c>
      <c r="K37" s="13" t="s">
        <v>54</v>
      </c>
      <c r="L37" s="14">
        <f>+$L$10*L36</f>
        <v>1403.2460021689608</v>
      </c>
    </row>
    <row r="38" spans="2:15">
      <c r="B38" s="1" t="s">
        <v>36</v>
      </c>
      <c r="K38" s="13" t="s">
        <v>55</v>
      </c>
      <c r="L38" s="14">
        <f>+L37-$L$15+$L$14</f>
        <v>1849.8220021689608</v>
      </c>
    </row>
    <row r="39" spans="2:15">
      <c r="B39" s="1" t="s">
        <v>37</v>
      </c>
      <c r="K39" s="13" t="s">
        <v>56</v>
      </c>
      <c r="L39" s="14">
        <f>+L38/$L$12</f>
        <v>35.361647730127906</v>
      </c>
    </row>
    <row r="40" spans="2:15">
      <c r="B40" s="2" t="s">
        <v>38</v>
      </c>
      <c r="K40" s="15" t="s">
        <v>66</v>
      </c>
      <c r="L40" s="16">
        <f>+L39/L11-1</f>
        <v>-0.34901237610221081</v>
      </c>
    </row>
    <row r="41" spans="2:15">
      <c r="B41" s="1" t="s">
        <v>39</v>
      </c>
    </row>
    <row r="42" spans="2:15">
      <c r="B42" s="1" t="s">
        <v>40</v>
      </c>
    </row>
    <row r="43" spans="2:15">
      <c r="B43" s="1" t="s">
        <v>41</v>
      </c>
    </row>
    <row r="44" spans="2:15">
      <c r="B44" s="2" t="s">
        <v>42</v>
      </c>
    </row>
    <row r="45" spans="2:15">
      <c r="B45" s="1" t="s">
        <v>67</v>
      </c>
    </row>
    <row r="46" spans="2:15">
      <c r="B46" s="10" t="s">
        <v>43</v>
      </c>
    </row>
    <row r="47" spans="2:15">
      <c r="B47" s="1" t="s">
        <v>44</v>
      </c>
    </row>
  </sheetData>
  <mergeCells count="1">
    <mergeCell ref="K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3B75-7473-A14C-B196-226F4C812F1C}">
  <dimension ref="B2:AE75"/>
  <sheetViews>
    <sheetView zoomScale="117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40" sqref="M40"/>
    </sheetView>
  </sheetViews>
  <sheetFormatPr baseColWidth="10" defaultRowHeight="13"/>
  <cols>
    <col min="1" max="1" width="1.33203125" style="1" customWidth="1"/>
    <col min="2" max="2" width="17.6640625" style="1" customWidth="1"/>
    <col min="3" max="3" width="7.6640625" style="1" bestFit="1" customWidth="1"/>
    <col min="4" max="5" width="8.1640625" style="1" bestFit="1" customWidth="1"/>
    <col min="6" max="6" width="9.1640625" style="1" bestFit="1" customWidth="1"/>
    <col min="7" max="8" width="11.6640625" style="1" bestFit="1" customWidth="1"/>
    <col min="9" max="9" width="9.1640625" style="1" bestFit="1" customWidth="1"/>
    <col min="10" max="10" width="8.1640625" style="1" bestFit="1" customWidth="1"/>
    <col min="11" max="15" width="10.83203125" style="1"/>
    <col min="16" max="18" width="9.1640625" style="1" bestFit="1" customWidth="1"/>
    <col min="19" max="23" width="5.1640625" style="1" bestFit="1" customWidth="1"/>
    <col min="24" max="16384" width="10.83203125" style="1"/>
  </cols>
  <sheetData>
    <row r="2" spans="2:31" s="7" customFormat="1"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0</v>
      </c>
      <c r="J2" s="7" t="s">
        <v>7</v>
      </c>
      <c r="L2" s="7">
        <v>2017</v>
      </c>
      <c r="M2" s="7">
        <f>+L2+1</f>
        <v>2018</v>
      </c>
      <c r="N2" s="7">
        <f>+M2+1</f>
        <v>2019</v>
      </c>
      <c r="O2" s="7">
        <f>+N2+1</f>
        <v>2020</v>
      </c>
      <c r="P2" s="7">
        <v>2021</v>
      </c>
      <c r="Q2" s="7">
        <f>+P2+1</f>
        <v>2022</v>
      </c>
      <c r="R2" s="7">
        <f t="shared" ref="R2:AE2" si="0">+Q2+1</f>
        <v>2023</v>
      </c>
      <c r="S2" s="7">
        <f t="shared" si="0"/>
        <v>2024</v>
      </c>
      <c r="T2" s="7">
        <f t="shared" si="0"/>
        <v>2025</v>
      </c>
      <c r="U2" s="7">
        <f t="shared" si="0"/>
        <v>2026</v>
      </c>
      <c r="V2" s="7">
        <f t="shared" si="0"/>
        <v>2027</v>
      </c>
      <c r="W2" s="7">
        <f t="shared" si="0"/>
        <v>2028</v>
      </c>
      <c r="X2" s="7">
        <f t="shared" si="0"/>
        <v>2029</v>
      </c>
      <c r="Y2" s="7">
        <f t="shared" si="0"/>
        <v>2030</v>
      </c>
      <c r="Z2" s="7">
        <f t="shared" si="0"/>
        <v>2031</v>
      </c>
      <c r="AA2" s="7">
        <f t="shared" si="0"/>
        <v>2032</v>
      </c>
      <c r="AB2" s="7">
        <f t="shared" si="0"/>
        <v>2033</v>
      </c>
      <c r="AC2" s="7">
        <f t="shared" si="0"/>
        <v>2034</v>
      </c>
      <c r="AD2" s="7">
        <f t="shared" si="0"/>
        <v>2035</v>
      </c>
      <c r="AE2" s="7">
        <f t="shared" si="0"/>
        <v>2036</v>
      </c>
    </row>
    <row r="3" spans="2:31" s="7" customFormat="1"/>
    <row r="4" spans="2:31">
      <c r="B4" s="1" t="s">
        <v>25</v>
      </c>
      <c r="C4" s="1">
        <v>1596</v>
      </c>
      <c r="D4" s="1">
        <v>1745</v>
      </c>
      <c r="E4" s="1">
        <v>1808</v>
      </c>
      <c r="F4" s="1">
        <f>+R4-SUM(C4:E4)</f>
        <v>1787</v>
      </c>
      <c r="G4" s="1">
        <v>1861</v>
      </c>
      <c r="H4" s="1">
        <v>1970</v>
      </c>
      <c r="I4" s="1">
        <v>1739</v>
      </c>
      <c r="P4" s="1">
        <v>5084</v>
      </c>
      <c r="Q4" s="1">
        <v>5729</v>
      </c>
      <c r="R4" s="1">
        <v>6936</v>
      </c>
    </row>
    <row r="5" spans="2:31">
      <c r="B5" s="1" t="s">
        <v>26</v>
      </c>
      <c r="C5" s="1">
        <v>1767</v>
      </c>
      <c r="D5" s="1">
        <v>1613</v>
      </c>
      <c r="E5" s="1">
        <v>2048</v>
      </c>
      <c r="F5" s="1">
        <f>+R5-SUM(C5:E5)</f>
        <v>1392</v>
      </c>
      <c r="G5" s="1">
        <v>1931</v>
      </c>
      <c r="H5" s="1">
        <v>1904</v>
      </c>
      <c r="I5" s="1">
        <v>1688</v>
      </c>
      <c r="P5" s="1">
        <v>5699</v>
      </c>
      <c r="Q5" s="1">
        <v>5099</v>
      </c>
      <c r="R5" s="1">
        <v>6820</v>
      </c>
    </row>
    <row r="6" spans="2:31" s="7" customFormat="1">
      <c r="B6" s="7" t="s">
        <v>27</v>
      </c>
      <c r="C6" s="4">
        <f t="shared" ref="C6:H6" si="1">+C5/C4</f>
        <v>1.1071428571428572</v>
      </c>
      <c r="D6" s="4">
        <f t="shared" si="1"/>
        <v>0.92435530085959883</v>
      </c>
      <c r="E6" s="4">
        <f t="shared" si="1"/>
        <v>1.1327433628318584</v>
      </c>
      <c r="F6" s="4">
        <f t="shared" si="1"/>
        <v>0.77895914941242306</v>
      </c>
      <c r="G6" s="4">
        <f t="shared" si="1"/>
        <v>1.0376141859215475</v>
      </c>
      <c r="H6" s="4">
        <f t="shared" si="1"/>
        <v>0.96649746192893404</v>
      </c>
      <c r="I6" s="4">
        <f>+I5/I4</f>
        <v>0.97067280046003446</v>
      </c>
      <c r="P6" s="4">
        <f>+P5/P4</f>
        <v>1.1209677419354838</v>
      </c>
      <c r="Q6" s="4">
        <f>+Q5/Q4</f>
        <v>0.890033164601152</v>
      </c>
      <c r="R6" s="4">
        <f>+R5/R4</f>
        <v>0.98327566320645909</v>
      </c>
    </row>
    <row r="7" spans="2:31" s="7" customFormat="1">
      <c r="C7" s="4"/>
      <c r="D7" s="4"/>
      <c r="E7" s="4"/>
      <c r="F7" s="4"/>
      <c r="G7" s="4"/>
      <c r="H7" s="4"/>
      <c r="I7" s="4"/>
      <c r="P7" s="4"/>
      <c r="Q7" s="4"/>
      <c r="R7" s="4"/>
    </row>
    <row r="8" spans="2:31" s="3" customFormat="1">
      <c r="B8" s="3" t="s">
        <v>68</v>
      </c>
      <c r="C8" s="3">
        <v>283.24</v>
      </c>
      <c r="D8" s="3">
        <v>230.03</v>
      </c>
      <c r="E8" s="3">
        <v>203.56</v>
      </c>
      <c r="F8" s="3">
        <f>+R8</f>
        <v>241.64</v>
      </c>
      <c r="G8" s="3">
        <v>257.89999999999998</v>
      </c>
      <c r="H8" s="3">
        <v>205.05</v>
      </c>
      <c r="I8" s="21">
        <v>189.54</v>
      </c>
      <c r="P8" s="3">
        <v>180.43</v>
      </c>
      <c r="Q8" s="3">
        <v>334.89</v>
      </c>
      <c r="R8" s="3">
        <v>241.64</v>
      </c>
    </row>
    <row r="9" spans="2:31" s="7" customFormat="1"/>
    <row r="10" spans="2:31">
      <c r="B10" s="1" t="s">
        <v>8</v>
      </c>
      <c r="C10" s="1">
        <v>500491</v>
      </c>
      <c r="D10" s="1">
        <v>371033</v>
      </c>
      <c r="E10" s="1">
        <v>416888</v>
      </c>
      <c r="F10" s="1">
        <f t="shared" ref="F10:F25" si="2">+R10-SUM(C10:E10)</f>
        <v>359580</v>
      </c>
      <c r="G10" s="1">
        <v>497998</v>
      </c>
      <c r="H10" s="1">
        <v>390424</v>
      </c>
      <c r="I10" s="1">
        <v>319944</v>
      </c>
      <c r="P10" s="1">
        <v>1028283</v>
      </c>
      <c r="Q10" s="1">
        <v>1707579</v>
      </c>
      <c r="R10" s="1">
        <v>1647992</v>
      </c>
    </row>
    <row r="11" spans="2:31">
      <c r="B11" s="1" t="s">
        <v>11</v>
      </c>
      <c r="C11" s="1">
        <v>9183</v>
      </c>
      <c r="D11" s="1">
        <v>8627</v>
      </c>
      <c r="E11" s="1">
        <v>6599</v>
      </c>
      <c r="F11" s="1">
        <f t="shared" si="2"/>
        <v>4224</v>
      </c>
      <c r="G11" s="1">
        <v>5514</v>
      </c>
      <c r="H11" s="1">
        <v>6099</v>
      </c>
      <c r="I11" s="1">
        <v>7776</v>
      </c>
      <c r="P11" s="1">
        <v>30933</v>
      </c>
      <c r="Q11" s="1">
        <v>31159</v>
      </c>
      <c r="R11" s="1">
        <v>28633</v>
      </c>
    </row>
    <row r="12" spans="2:31" s="2" customFormat="1">
      <c r="B12" s="2" t="s">
        <v>9</v>
      </c>
      <c r="C12" s="2">
        <f>+SUM(C10:C11)</f>
        <v>509674</v>
      </c>
      <c r="D12" s="2">
        <f>+SUM(D10:D11)</f>
        <v>379660</v>
      </c>
      <c r="E12" s="2">
        <f>+SUM(E10:E11)</f>
        <v>423487</v>
      </c>
      <c r="F12" s="2">
        <f t="shared" si="2"/>
        <v>363804</v>
      </c>
      <c r="G12" s="2">
        <f>+SUM(G10:G11)</f>
        <v>503512</v>
      </c>
      <c r="H12" s="2">
        <f>+SUM(H10:H11)</f>
        <v>396523</v>
      </c>
      <c r="I12" s="2">
        <f>+SUM(I10:I11)</f>
        <v>327720</v>
      </c>
      <c r="P12" s="2">
        <f>+SUM(P10:P11)</f>
        <v>1059216</v>
      </c>
      <c r="Q12" s="2">
        <f>+SUM(Q10:Q11)</f>
        <v>1738738</v>
      </c>
      <c r="R12" s="2">
        <f>+SUM(R10:R11)</f>
        <v>1676625</v>
      </c>
    </row>
    <row r="13" spans="2:31">
      <c r="B13" s="1" t="s">
        <v>10</v>
      </c>
      <c r="C13" s="1">
        <v>232630</v>
      </c>
      <c r="D13" s="1">
        <v>230452</v>
      </c>
      <c r="E13" s="1">
        <v>260376</v>
      </c>
      <c r="F13" s="1">
        <f t="shared" si="2"/>
        <v>186811</v>
      </c>
      <c r="G13" s="1">
        <v>285587</v>
      </c>
      <c r="H13" s="1">
        <v>261305</v>
      </c>
      <c r="I13" s="1">
        <v>231598</v>
      </c>
      <c r="P13" s="1">
        <v>554282</v>
      </c>
      <c r="Q13" s="1">
        <v>710605</v>
      </c>
      <c r="R13" s="1">
        <v>910269</v>
      </c>
    </row>
    <row r="14" spans="2:31">
      <c r="B14" s="1" t="s">
        <v>12</v>
      </c>
      <c r="C14" s="1">
        <v>11438</v>
      </c>
      <c r="D14" s="1">
        <v>11510</v>
      </c>
      <c r="E14" s="1">
        <v>9855</v>
      </c>
      <c r="F14" s="1">
        <f t="shared" si="2"/>
        <v>4683</v>
      </c>
      <c r="G14" s="1">
        <v>9965</v>
      </c>
      <c r="H14" s="1">
        <v>10673</v>
      </c>
      <c r="I14" s="1">
        <v>8854</v>
      </c>
      <c r="P14" s="1">
        <v>28899</v>
      </c>
      <c r="Q14" s="1">
        <v>27047</v>
      </c>
      <c r="R14" s="1">
        <v>37486</v>
      </c>
    </row>
    <row r="15" spans="2:31">
      <c r="B15" s="1" t="s">
        <v>13</v>
      </c>
      <c r="C15" s="1">
        <v>37213</v>
      </c>
      <c r="D15" s="1">
        <v>30550</v>
      </c>
      <c r="E15" s="1">
        <v>34020</v>
      </c>
      <c r="F15" s="1">
        <f t="shared" si="2"/>
        <v>25573</v>
      </c>
      <c r="G15" s="1">
        <v>40023</v>
      </c>
      <c r="H15" s="1">
        <v>38150</v>
      </c>
      <c r="I15" s="1">
        <v>36642</v>
      </c>
      <c r="P15" s="1">
        <v>141418</v>
      </c>
      <c r="Q15" s="1">
        <v>115279</v>
      </c>
      <c r="R15" s="1">
        <v>127356</v>
      </c>
    </row>
    <row r="16" spans="2:31">
      <c r="B16" s="1" t="s">
        <v>14</v>
      </c>
      <c r="C16" s="1">
        <v>14516</v>
      </c>
      <c r="D16" s="1">
        <v>13172</v>
      </c>
      <c r="E16" s="1">
        <v>11138</v>
      </c>
      <c r="F16" s="1">
        <f t="shared" si="2"/>
        <v>12991</v>
      </c>
      <c r="G16" s="1">
        <v>18658</v>
      </c>
      <c r="H16" s="1">
        <v>15392</v>
      </c>
      <c r="I16" s="1">
        <v>11403</v>
      </c>
      <c r="P16" s="1">
        <v>35593</v>
      </c>
      <c r="Q16" s="1">
        <v>48791</v>
      </c>
      <c r="R16" s="1">
        <v>51817</v>
      </c>
    </row>
    <row r="17" spans="2:18">
      <c r="B17" s="1" t="s">
        <v>15</v>
      </c>
      <c r="C17" s="1">
        <v>4217</v>
      </c>
      <c r="D17" s="1">
        <v>3537</v>
      </c>
      <c r="E17" s="1">
        <v>347</v>
      </c>
      <c r="F17" s="1">
        <f t="shared" si="2"/>
        <v>190</v>
      </c>
      <c r="G17" s="1">
        <v>201</v>
      </c>
      <c r="H17" s="1">
        <v>100</v>
      </c>
      <c r="I17" s="1">
        <v>107</v>
      </c>
      <c r="P17" s="1">
        <v>21372</v>
      </c>
      <c r="Q17" s="1">
        <v>23455</v>
      </c>
      <c r="R17" s="1">
        <v>8291</v>
      </c>
    </row>
    <row r="18" spans="2:18">
      <c r="B18" s="1" t="s">
        <v>16</v>
      </c>
      <c r="C18" s="1">
        <f>+C12-SUM(C13:C17)</f>
        <v>209660</v>
      </c>
      <c r="D18" s="1">
        <f>+D12-SUM(D13:D17)</f>
        <v>90439</v>
      </c>
      <c r="E18" s="1">
        <f>+E12-SUM(E13:E17)</f>
        <v>107751</v>
      </c>
      <c r="F18" s="1">
        <f t="shared" si="2"/>
        <v>133556</v>
      </c>
      <c r="G18" s="1">
        <f>+G12-SUM(G13:G17)</f>
        <v>149078</v>
      </c>
      <c r="H18" s="1">
        <f>+H12-SUM(H13:H17)</f>
        <v>70903</v>
      </c>
      <c r="I18" s="1">
        <f>+I12-SUM(I13:I17)</f>
        <v>39116</v>
      </c>
      <c r="P18" s="1">
        <f>+P12-SUM(P13:P17)</f>
        <v>277652</v>
      </c>
      <c r="Q18" s="1">
        <f>+Q12-SUM(Q13:Q17)</f>
        <v>813561</v>
      </c>
      <c r="R18" s="1">
        <f>+R12-SUM(R13:R17)</f>
        <v>541406</v>
      </c>
    </row>
    <row r="19" spans="2:18">
      <c r="B19" s="1" t="s">
        <v>17</v>
      </c>
      <c r="C19" s="1">
        <v>-7443</v>
      </c>
      <c r="D19" s="1">
        <v>-5452</v>
      </c>
      <c r="E19" s="1">
        <v>-3418</v>
      </c>
      <c r="F19" s="1">
        <f t="shared" si="2"/>
        <v>34273</v>
      </c>
      <c r="G19" s="1">
        <v>-1121</v>
      </c>
      <c r="H19" s="1">
        <v>-915</v>
      </c>
      <c r="I19" s="1">
        <v>-1422</v>
      </c>
      <c r="P19" s="1">
        <v>-36500</v>
      </c>
      <c r="Q19" s="1">
        <v>-31433</v>
      </c>
      <c r="R19" s="1">
        <v>17960</v>
      </c>
    </row>
    <row r="20" spans="2:18">
      <c r="B20" s="1" t="s">
        <v>18</v>
      </c>
      <c r="C20" s="1">
        <v>8903</v>
      </c>
      <c r="D20" s="1">
        <v>11640</v>
      </c>
      <c r="E20" s="1">
        <v>10691</v>
      </c>
      <c r="F20" s="1">
        <f t="shared" si="2"/>
        <v>9465</v>
      </c>
      <c r="G20" s="1">
        <v>8154</v>
      </c>
      <c r="H20" s="1">
        <v>9241</v>
      </c>
      <c r="I20" s="1">
        <v>8679</v>
      </c>
      <c r="P20" s="1">
        <v>1111</v>
      </c>
      <c r="Q20" s="1">
        <v>12438</v>
      </c>
      <c r="R20" s="1">
        <v>40699</v>
      </c>
    </row>
    <row r="21" spans="2:18">
      <c r="B21" s="1" t="s">
        <v>19</v>
      </c>
      <c r="C21" s="1">
        <f>+SUM(C18:C20)</f>
        <v>211120</v>
      </c>
      <c r="D21" s="1">
        <f>+SUM(D18:D20)</f>
        <v>96627</v>
      </c>
      <c r="E21" s="1">
        <f>+SUM(E18:E20)</f>
        <v>115024</v>
      </c>
      <c r="F21" s="1">
        <f t="shared" si="2"/>
        <v>177294</v>
      </c>
      <c r="G21" s="1">
        <f>+SUM(G18:G20)</f>
        <v>156111</v>
      </c>
      <c r="H21" s="1">
        <f>+SUM(H18:H20)</f>
        <v>79229</v>
      </c>
      <c r="I21" s="1">
        <f>+SUM(I18:I20)</f>
        <v>46373</v>
      </c>
      <c r="P21" s="1">
        <f>+SUM(P18:P20)</f>
        <v>242263</v>
      </c>
      <c r="Q21" s="1">
        <f>+SUM(Q18:Q20)</f>
        <v>794566</v>
      </c>
      <c r="R21" s="1">
        <f>+SUM(R18:R20)</f>
        <v>600065</v>
      </c>
    </row>
    <row r="22" spans="2:18">
      <c r="B22" s="1" t="s">
        <v>20</v>
      </c>
      <c r="C22" s="1">
        <v>29064</v>
      </c>
      <c r="D22" s="1">
        <v>14534</v>
      </c>
      <c r="E22" s="1">
        <v>16841</v>
      </c>
      <c r="F22" s="1">
        <f t="shared" si="2"/>
        <v>12351</v>
      </c>
      <c r="G22" s="1">
        <v>19122</v>
      </c>
      <c r="H22" s="1">
        <v>8519</v>
      </c>
      <c r="I22" s="1">
        <v>4607</v>
      </c>
      <c r="P22" s="1">
        <v>49096</v>
      </c>
      <c r="Q22" s="1">
        <v>141806</v>
      </c>
      <c r="R22" s="1">
        <v>72790</v>
      </c>
    </row>
    <row r="23" spans="2:18">
      <c r="B23" s="1" t="s">
        <v>21</v>
      </c>
      <c r="C23" s="1">
        <f>+C21-C22</f>
        <v>182056</v>
      </c>
      <c r="D23" s="1">
        <f>+D21-D22</f>
        <v>82093</v>
      </c>
      <c r="E23" s="1">
        <f>+E21-E22</f>
        <v>98183</v>
      </c>
      <c r="F23" s="1">
        <f t="shared" si="2"/>
        <v>164943</v>
      </c>
      <c r="G23" s="1">
        <f>+G21-G22</f>
        <v>136989</v>
      </c>
      <c r="H23" s="1">
        <f>+H21-H22</f>
        <v>70710</v>
      </c>
      <c r="I23" s="1">
        <f>+I21-I22</f>
        <v>41766</v>
      </c>
      <c r="P23" s="1">
        <f>+P21-P22</f>
        <v>193167</v>
      </c>
      <c r="Q23" s="1">
        <f>+Q21-Q22</f>
        <v>652760</v>
      </c>
      <c r="R23" s="1">
        <f>+R21-R22</f>
        <v>527275</v>
      </c>
    </row>
    <row r="24" spans="2:18">
      <c r="B24" s="1" t="s">
        <v>23</v>
      </c>
      <c r="C24" s="1">
        <v>51956</v>
      </c>
      <c r="D24" s="1">
        <v>52081</v>
      </c>
      <c r="E24" s="1">
        <v>52111</v>
      </c>
      <c r="F24" s="1">
        <f t="shared" si="2"/>
        <v>-104103</v>
      </c>
      <c r="G24" s="1">
        <v>52217</v>
      </c>
      <c r="H24" s="1">
        <v>52378</v>
      </c>
      <c r="I24" s="1">
        <v>52394</v>
      </c>
      <c r="P24" s="1">
        <v>51445</v>
      </c>
      <c r="Q24" s="1">
        <v>51715</v>
      </c>
      <c r="R24" s="1">
        <v>52045</v>
      </c>
    </row>
    <row r="25" spans="2:18" s="3" customFormat="1">
      <c r="B25" s="3" t="s">
        <v>24</v>
      </c>
      <c r="C25" s="3">
        <f>+C23/C24</f>
        <v>3.5040418815921166</v>
      </c>
      <c r="D25" s="3">
        <f>+D23/D24</f>
        <v>1.5762562162784892</v>
      </c>
      <c r="E25" s="3">
        <f>+E23/E24</f>
        <v>1.8841127593022586</v>
      </c>
      <c r="F25" s="1">
        <f t="shared" si="2"/>
        <v>3.1667256593032613</v>
      </c>
      <c r="G25" s="3">
        <f>+G23/G24</f>
        <v>2.6234559626175384</v>
      </c>
      <c r="H25" s="3">
        <f>+H23/H24</f>
        <v>1.3499942724044447</v>
      </c>
      <c r="I25" s="3">
        <f>+I23/I24</f>
        <v>0.79715234568843762</v>
      </c>
      <c r="P25" s="3">
        <f>+P23/P24</f>
        <v>3.754825541840801</v>
      </c>
      <c r="Q25" s="3">
        <f>+Q23/Q24</f>
        <v>12.622256598665764</v>
      </c>
      <c r="R25" s="3">
        <f>+R23/R24</f>
        <v>10.131136516476126</v>
      </c>
    </row>
    <row r="27" spans="2:18">
      <c r="B27" s="5" t="s">
        <v>22</v>
      </c>
    </row>
    <row r="28" spans="2:18" s="4" customFormat="1">
      <c r="B28" s="4" t="s">
        <v>25</v>
      </c>
      <c r="G28" s="4">
        <f t="shared" ref="G28:H28" si="3">+G4/C4-1</f>
        <v>0.16604010025062665</v>
      </c>
      <c r="H28" s="4">
        <f t="shared" si="3"/>
        <v>0.12893982808022919</v>
      </c>
      <c r="I28" s="4">
        <f>+I4/E4-1</f>
        <v>-3.816371681415931E-2</v>
      </c>
    </row>
    <row r="29" spans="2:18" s="4" customFormat="1">
      <c r="B29" s="4" t="s">
        <v>26</v>
      </c>
      <c r="G29" s="4">
        <f t="shared" ref="G29:H29" si="4">+G5/C5-1</f>
        <v>9.281267685342387E-2</v>
      </c>
      <c r="H29" s="4">
        <f t="shared" si="4"/>
        <v>0.18040917544947299</v>
      </c>
      <c r="I29" s="4">
        <f>+I5/E5-1</f>
        <v>-0.17578125</v>
      </c>
    </row>
    <row r="30" spans="2:18" s="9" customFormat="1">
      <c r="B30" s="8" t="s">
        <v>8</v>
      </c>
      <c r="G30" s="9">
        <f t="shared" ref="G30:I32" si="5">+G10/C10-1</f>
        <v>-4.9811085514025466E-3</v>
      </c>
      <c r="H30" s="9">
        <f t="shared" si="5"/>
        <v>5.2262197702091173E-2</v>
      </c>
      <c r="I30" s="9">
        <f t="shared" si="5"/>
        <v>-0.23254207365047685</v>
      </c>
      <c r="Q30" s="9">
        <f t="shared" ref="Q30:R32" si="6">+Q10/P10-1</f>
        <v>0.66061191325734248</v>
      </c>
      <c r="R30" s="9">
        <f t="shared" si="6"/>
        <v>-3.4895603658747221E-2</v>
      </c>
    </row>
    <row r="31" spans="2:18" s="9" customFormat="1">
      <c r="B31" s="8" t="s">
        <v>11</v>
      </c>
      <c r="G31" s="9">
        <f t="shared" si="5"/>
        <v>-0.39954263312642924</v>
      </c>
      <c r="H31" s="9">
        <f t="shared" si="5"/>
        <v>-0.29303349947838186</v>
      </c>
      <c r="I31" s="9">
        <f t="shared" si="5"/>
        <v>0.17836035762994396</v>
      </c>
      <c r="Q31" s="9">
        <f t="shared" si="6"/>
        <v>7.3061132124268013E-3</v>
      </c>
      <c r="R31" s="9">
        <f t="shared" si="6"/>
        <v>-8.1068070220482014E-2</v>
      </c>
    </row>
    <row r="32" spans="2:18" s="6" customFormat="1">
      <c r="B32" s="2" t="s">
        <v>9</v>
      </c>
      <c r="G32" s="6">
        <f t="shared" si="5"/>
        <v>-1.2090081110670781E-2</v>
      </c>
      <c r="H32" s="6">
        <f t="shared" si="5"/>
        <v>4.4416056471579868E-2</v>
      </c>
      <c r="I32" s="6">
        <f t="shared" si="5"/>
        <v>-0.22613917310330656</v>
      </c>
      <c r="Q32" s="6">
        <f t="shared" si="6"/>
        <v>0.64153298288545479</v>
      </c>
      <c r="R32" s="6">
        <f t="shared" si="6"/>
        <v>-3.5723035903051481E-2</v>
      </c>
    </row>
    <row r="39" spans="2:10">
      <c r="B39" s="1" t="s">
        <v>60</v>
      </c>
      <c r="F39" s="1">
        <v>738197</v>
      </c>
      <c r="G39" s="1">
        <v>693858</v>
      </c>
      <c r="H39" s="1">
        <v>709023</v>
      </c>
      <c r="I39" s="1">
        <v>583158</v>
      </c>
      <c r="J39" s="1">
        <f>+I39-F39</f>
        <v>-155039</v>
      </c>
    </row>
    <row r="40" spans="2:10">
      <c r="B40" s="1" t="s">
        <v>71</v>
      </c>
      <c r="F40" s="1">
        <v>9030</v>
      </c>
      <c r="G40" s="1">
        <v>9149</v>
      </c>
      <c r="H40" s="1">
        <v>9270</v>
      </c>
      <c r="I40" s="1">
        <v>9392</v>
      </c>
    </row>
    <row r="41" spans="2:10">
      <c r="B41" s="1" t="s">
        <v>72</v>
      </c>
      <c r="F41" s="1">
        <v>98225</v>
      </c>
      <c r="G41" s="1">
        <v>213400</v>
      </c>
      <c r="H41" s="1">
        <v>182710</v>
      </c>
      <c r="I41" s="1">
        <v>152627</v>
      </c>
    </row>
    <row r="42" spans="2:10">
      <c r="B42" s="1" t="s">
        <v>82</v>
      </c>
      <c r="F42" s="1">
        <v>7833</v>
      </c>
      <c r="G42" s="1">
        <v>0</v>
      </c>
      <c r="H42" s="1">
        <v>0</v>
      </c>
    </row>
    <row r="43" spans="2:10">
      <c r="B43" s="1" t="s">
        <v>73</v>
      </c>
      <c r="F43" s="1">
        <v>183949</v>
      </c>
      <c r="G43" s="1">
        <v>165650</v>
      </c>
      <c r="H43" s="1">
        <v>173948</v>
      </c>
      <c r="I43" s="1">
        <v>191295</v>
      </c>
    </row>
    <row r="44" spans="2:10">
      <c r="B44" s="1" t="s">
        <v>74</v>
      </c>
      <c r="F44" s="1">
        <v>31932</v>
      </c>
      <c r="G44" s="1">
        <v>37200</v>
      </c>
      <c r="H44" s="1">
        <v>34855</v>
      </c>
      <c r="I44" s="1">
        <v>35660</v>
      </c>
    </row>
    <row r="45" spans="2:10">
      <c r="B45" s="1" t="s">
        <v>70</v>
      </c>
      <c r="F45" s="1">
        <f>+SUM(F39:F44)</f>
        <v>1069166</v>
      </c>
      <c r="G45" s="1">
        <f>+SUM(G39:G44)</f>
        <v>1119257</v>
      </c>
      <c r="H45" s="1">
        <f>+SUM(H39:H44)</f>
        <v>1109806</v>
      </c>
      <c r="I45" s="1">
        <f>+SUM(I39:I44)</f>
        <v>972132</v>
      </c>
    </row>
    <row r="46" spans="2:10">
      <c r="B46" s="1" t="s">
        <v>75</v>
      </c>
      <c r="F46" s="1">
        <v>0</v>
      </c>
      <c r="G46" s="1">
        <v>0</v>
      </c>
      <c r="H46" s="1">
        <v>0</v>
      </c>
      <c r="I46" s="1">
        <v>7486</v>
      </c>
    </row>
    <row r="47" spans="2:10">
      <c r="B47" s="1" t="s">
        <v>76</v>
      </c>
      <c r="C47" s="20"/>
      <c r="D47" s="20"/>
      <c r="E47" s="20"/>
      <c r="F47" s="20">
        <v>80442</v>
      </c>
      <c r="G47" s="1">
        <v>78428</v>
      </c>
      <c r="H47" s="1">
        <v>76174</v>
      </c>
      <c r="I47" s="20">
        <v>74267</v>
      </c>
    </row>
    <row r="48" spans="2:10">
      <c r="B48" s="1" t="s">
        <v>77</v>
      </c>
      <c r="F48" s="1">
        <v>1179609</v>
      </c>
      <c r="G48" s="20">
        <v>1253395</v>
      </c>
      <c r="H48" s="20">
        <v>1348348</v>
      </c>
      <c r="I48" s="1">
        <v>1439214</v>
      </c>
    </row>
    <row r="49" spans="2:9">
      <c r="B49" s="1" t="s">
        <v>78</v>
      </c>
      <c r="F49" s="1">
        <v>5854</v>
      </c>
      <c r="G49" s="1">
        <v>5752</v>
      </c>
      <c r="H49" s="1">
        <v>5490</v>
      </c>
      <c r="I49" s="1">
        <v>5411</v>
      </c>
    </row>
    <row r="50" spans="2:9">
      <c r="B50" s="1" t="s">
        <v>79</v>
      </c>
      <c r="F50" s="1">
        <v>0</v>
      </c>
      <c r="G50" s="1">
        <v>0</v>
      </c>
      <c r="H50" s="1">
        <v>0</v>
      </c>
      <c r="I50" s="1">
        <v>49721</v>
      </c>
    </row>
    <row r="51" spans="2:9">
      <c r="B51" s="1" t="s">
        <v>80</v>
      </c>
      <c r="F51" s="1">
        <v>21987</v>
      </c>
      <c r="G51" s="1">
        <v>21759</v>
      </c>
      <c r="H51" s="1">
        <v>21039</v>
      </c>
      <c r="I51" s="1">
        <v>32217</v>
      </c>
    </row>
    <row r="52" spans="2:9" s="2" customFormat="1">
      <c r="B52" s="2" t="s">
        <v>81</v>
      </c>
      <c r="F52" s="2">
        <f>+SUM(F45:F51)</f>
        <v>2357058</v>
      </c>
      <c r="G52" s="2">
        <f>+SUM(G45:G51)</f>
        <v>2478591</v>
      </c>
      <c r="H52" s="2">
        <f>+SUM(H45:H51)</f>
        <v>2560857</v>
      </c>
      <c r="I52" s="2">
        <f>+SUM(I45:I51)</f>
        <v>2580448</v>
      </c>
    </row>
    <row r="54" spans="2:9">
      <c r="B54" s="1" t="s">
        <v>85</v>
      </c>
      <c r="F54" s="1">
        <v>36245</v>
      </c>
      <c r="G54" s="1">
        <v>43184</v>
      </c>
      <c r="H54" s="1">
        <v>65507</v>
      </c>
      <c r="I54" s="1">
        <v>45112</v>
      </c>
    </row>
    <row r="55" spans="2:9">
      <c r="B55" s="1" t="s">
        <v>86</v>
      </c>
      <c r="F55" s="1">
        <v>81612</v>
      </c>
      <c r="G55" s="1">
        <v>80944</v>
      </c>
      <c r="H55" s="1">
        <v>71729</v>
      </c>
      <c r="I55" s="1">
        <v>76315</v>
      </c>
    </row>
    <row r="56" spans="2:9">
      <c r="B56" s="1" t="s">
        <v>87</v>
      </c>
      <c r="F56" s="1">
        <v>12500</v>
      </c>
      <c r="G56" s="1">
        <v>12500</v>
      </c>
      <c r="H56" s="1">
        <v>12500</v>
      </c>
      <c r="I56" s="1">
        <v>12500</v>
      </c>
    </row>
    <row r="57" spans="2:9">
      <c r="B57" s="1" t="s">
        <v>88</v>
      </c>
      <c r="F57" s="1">
        <v>11463</v>
      </c>
      <c r="G57" s="1">
        <v>11357</v>
      </c>
      <c r="H57" s="1">
        <v>12645</v>
      </c>
      <c r="I57" s="1">
        <v>13512</v>
      </c>
    </row>
    <row r="58" spans="2:9">
      <c r="B58" s="1" t="s">
        <v>89</v>
      </c>
      <c r="F58" s="1">
        <v>5850</v>
      </c>
      <c r="G58" s="1">
        <v>15057</v>
      </c>
      <c r="H58" s="1">
        <v>11956</v>
      </c>
      <c r="I58" s="1">
        <v>19894</v>
      </c>
    </row>
    <row r="59" spans="2:9">
      <c r="B59" s="1" t="s">
        <v>90</v>
      </c>
      <c r="F59" s="1">
        <f>+SUM(F54:F58)</f>
        <v>147670</v>
      </c>
      <c r="G59" s="1">
        <f>+SUM(G54:G58)</f>
        <v>163042</v>
      </c>
      <c r="H59" s="1">
        <f>+SUM(H54:H58)</f>
        <v>174337</v>
      </c>
      <c r="I59" s="1">
        <f>+SUM(I54:I58)</f>
        <v>167333</v>
      </c>
    </row>
    <row r="60" spans="2:9">
      <c r="B60" s="1" t="s">
        <v>91</v>
      </c>
      <c r="F60" s="1">
        <v>153023</v>
      </c>
      <c r="G60" s="1">
        <v>153166</v>
      </c>
      <c r="H60" s="1">
        <v>153312</v>
      </c>
      <c r="I60" s="1">
        <v>153460</v>
      </c>
    </row>
    <row r="61" spans="2:9">
      <c r="B61" s="1" t="s">
        <v>87</v>
      </c>
      <c r="F61" s="1">
        <v>71666</v>
      </c>
      <c r="G61" s="1">
        <v>71916</v>
      </c>
      <c r="H61" s="1">
        <v>71578</v>
      </c>
      <c r="I61" s="1">
        <v>71201</v>
      </c>
    </row>
    <row r="62" spans="2:9">
      <c r="B62" s="1" t="s">
        <v>92</v>
      </c>
      <c r="F62" s="1">
        <v>26966</v>
      </c>
      <c r="G62" s="1">
        <v>27125</v>
      </c>
      <c r="H62" s="1">
        <v>27331</v>
      </c>
      <c r="I62" s="1">
        <v>27490</v>
      </c>
    </row>
    <row r="63" spans="2:9">
      <c r="B63" s="1" t="s">
        <v>93</v>
      </c>
      <c r="F63" s="1">
        <v>8756</v>
      </c>
      <c r="G63" s="1">
        <v>7708</v>
      </c>
      <c r="H63" s="1">
        <v>4967</v>
      </c>
      <c r="I63" s="1">
        <v>3405</v>
      </c>
    </row>
    <row r="64" spans="2:9">
      <c r="B64" s="1" t="s">
        <v>94</v>
      </c>
      <c r="F64" s="1">
        <v>74531</v>
      </c>
      <c r="G64" s="1">
        <v>77434</v>
      </c>
      <c r="H64" s="1">
        <v>80945</v>
      </c>
      <c r="I64" s="1">
        <v>70732</v>
      </c>
    </row>
    <row r="65" spans="2:9" s="2" customFormat="1">
      <c r="B65" s="2" t="s">
        <v>95</v>
      </c>
      <c r="F65" s="2">
        <f>+SUM(F59:F64)</f>
        <v>482612</v>
      </c>
      <c r="G65" s="2">
        <f>+SUM(G59:G64)</f>
        <v>500391</v>
      </c>
      <c r="H65" s="2">
        <f>+SUM(H59:H64)</f>
        <v>512470</v>
      </c>
      <c r="I65" s="2">
        <f>+SUM(I59:I64)</f>
        <v>493621</v>
      </c>
    </row>
    <row r="66" spans="2:9">
      <c r="B66" s="1" t="s">
        <v>83</v>
      </c>
      <c r="F66" s="1">
        <v>1874446</v>
      </c>
      <c r="G66" s="1">
        <v>1978200</v>
      </c>
      <c r="H66" s="1">
        <v>2048387</v>
      </c>
      <c r="I66" s="1">
        <v>2086827</v>
      </c>
    </row>
    <row r="67" spans="2:9" s="2" customFormat="1">
      <c r="B67" s="2" t="s">
        <v>84</v>
      </c>
      <c r="F67" s="2">
        <f>+SUM(F65:F66)</f>
        <v>2357058</v>
      </c>
      <c r="G67" s="2">
        <f>+SUM(G65:G66)</f>
        <v>2478591</v>
      </c>
      <c r="H67" s="2">
        <f>+SUM(H65:H66)</f>
        <v>2560857</v>
      </c>
      <c r="I67" s="2">
        <f>+SUM(I65:I66)</f>
        <v>2580448</v>
      </c>
    </row>
    <row r="69" spans="2:9">
      <c r="B69" s="1" t="s">
        <v>99</v>
      </c>
      <c r="G69" s="1">
        <f t="shared" ref="G69:H69" si="7">+G39-F39</f>
        <v>-44339</v>
      </c>
      <c r="H69" s="1">
        <f t="shared" si="7"/>
        <v>15165</v>
      </c>
      <c r="I69" s="1">
        <f>+I39-H39</f>
        <v>-125865</v>
      </c>
    </row>
    <row r="73" spans="2:9">
      <c r="B73" s="1" t="s">
        <v>96</v>
      </c>
      <c r="C73" s="1">
        <v>192934</v>
      </c>
      <c r="D73" s="1">
        <f>317444-C73</f>
        <v>124510</v>
      </c>
      <c r="E73" s="1">
        <f>456018-SUM(C73:D73)</f>
        <v>138574</v>
      </c>
      <c r="F73" s="1">
        <f>701108-SUM(C73:E73)</f>
        <v>245090</v>
      </c>
      <c r="G73" s="1">
        <v>104058</v>
      </c>
      <c r="H73" s="1">
        <f>251033-G73</f>
        <v>146975</v>
      </c>
      <c r="I73" s="1">
        <f>313241-SUM(G73:H73)</f>
        <v>62208</v>
      </c>
    </row>
    <row r="74" spans="2:9">
      <c r="B74" s="1" t="s">
        <v>97</v>
      </c>
      <c r="C74" s="1">
        <v>-68179</v>
      </c>
      <c r="D74" s="1">
        <f>+-204295-C74</f>
        <v>-136116</v>
      </c>
      <c r="E74" s="1">
        <f>+-310820-SUM(C74:D74)</f>
        <v>-106525</v>
      </c>
      <c r="F74" s="1">
        <f>-491674-SUM(C74:E74)</f>
        <v>-180854</v>
      </c>
      <c r="G74" s="1">
        <v>-99703</v>
      </c>
      <c r="H74" s="1">
        <f>+-210664-G74</f>
        <v>-110961</v>
      </c>
      <c r="I74" s="1">
        <f>+-326542-SUM(G74:H74)</f>
        <v>-115878</v>
      </c>
    </row>
    <row r="75" spans="2:9" s="2" customFormat="1">
      <c r="B75" s="2" t="s">
        <v>98</v>
      </c>
      <c r="C75" s="2">
        <f t="shared" ref="C75:I75" si="8">+SUM(C73:C74)</f>
        <v>124755</v>
      </c>
      <c r="D75" s="2">
        <f t="shared" si="8"/>
        <v>-11606</v>
      </c>
      <c r="E75" s="2">
        <f t="shared" si="8"/>
        <v>32049</v>
      </c>
      <c r="F75" s="2">
        <f t="shared" si="8"/>
        <v>64236</v>
      </c>
      <c r="G75" s="2">
        <f t="shared" si="8"/>
        <v>4355</v>
      </c>
      <c r="H75" s="2">
        <f t="shared" si="8"/>
        <v>36014</v>
      </c>
      <c r="I75" s="2">
        <f t="shared" si="8"/>
        <v>-53670</v>
      </c>
    </row>
  </sheetData>
  <pageMargins left="0.7" right="0.7" top="0.75" bottom="0.75" header="0.3" footer="0.3"/>
  <ignoredErrors>
    <ignoredError sqref="F30:F32 F12:F27" formula="1"/>
    <ignoredError sqref="P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2024-12-25T05:21:52Z</dcterms:created>
  <dcterms:modified xsi:type="dcterms:W3CDTF">2024-12-25T20:44:57Z</dcterms:modified>
</cp:coreProperties>
</file>