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"/>
    </mc:Choice>
  </mc:AlternateContent>
  <xr:revisionPtr revIDLastSave="0" documentId="13_ncr:1_{40C35477-DB83-5F4C-A181-EB41DBA61EFB}" xr6:coauthVersionLast="47" xr6:coauthVersionMax="47" xr10:uidLastSave="{00000000-0000-0000-0000-000000000000}"/>
  <bookViews>
    <workbookView xWindow="23100" yWindow="1300" windowWidth="27880" windowHeight="26280" xr2:uid="{94C69C67-2561-5241-B783-6B9F38E13087}"/>
  </bookViews>
  <sheets>
    <sheet name="Main" sheetId="1" r:id="rId1"/>
    <sheet name="Model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Z31" i="2"/>
  <c r="Y31" i="2"/>
  <c r="X31" i="2"/>
  <c r="W31" i="2"/>
  <c r="V31" i="2"/>
  <c r="U31" i="2"/>
  <c r="T31" i="2"/>
  <c r="S31" i="2"/>
  <c r="R31" i="2"/>
  <c r="P23" i="2"/>
  <c r="P22" i="2"/>
  <c r="P21" i="2"/>
  <c r="P20" i="2"/>
  <c r="P19" i="2"/>
  <c r="P18" i="2"/>
  <c r="P17" i="2"/>
  <c r="P16" i="2"/>
  <c r="P15" i="2"/>
  <c r="P14" i="2"/>
  <c r="P13" i="2"/>
  <c r="F55" i="3" l="1"/>
  <c r="F54" i="3"/>
  <c r="F52" i="3"/>
  <c r="F29" i="3"/>
  <c r="F50" i="3"/>
  <c r="G50" i="3"/>
  <c r="G54" i="3" s="1"/>
  <c r="E56" i="3"/>
  <c r="D56" i="3"/>
  <c r="C56" i="3"/>
  <c r="E55" i="3"/>
  <c r="D55" i="3"/>
  <c r="C55" i="3"/>
  <c r="E54" i="3"/>
  <c r="D54" i="3"/>
  <c r="C54" i="3"/>
  <c r="H32" i="3"/>
  <c r="I32" i="3" s="1"/>
  <c r="H29" i="3"/>
  <c r="I29" i="3" s="1"/>
  <c r="G30" i="3"/>
  <c r="G35" i="3" s="1"/>
  <c r="F39" i="3"/>
  <c r="F35" i="3"/>
  <c r="F27" i="3"/>
  <c r="F34" i="3" s="1"/>
  <c r="F36" i="3" s="1"/>
  <c r="C38" i="3"/>
  <c r="E39" i="3"/>
  <c r="D39" i="3"/>
  <c r="C39" i="3"/>
  <c r="C40" i="3" s="1"/>
  <c r="E38" i="3"/>
  <c r="D38" i="3"/>
  <c r="E35" i="3"/>
  <c r="D35" i="3"/>
  <c r="C35" i="3"/>
  <c r="E34" i="3"/>
  <c r="D34" i="3"/>
  <c r="C34" i="3"/>
  <c r="E17" i="3"/>
  <c r="D17" i="3"/>
  <c r="C17" i="3"/>
  <c r="E16" i="3"/>
  <c r="D16" i="3"/>
  <c r="C16" i="3"/>
  <c r="E13" i="3"/>
  <c r="E12" i="3"/>
  <c r="D13" i="3"/>
  <c r="D12" i="3"/>
  <c r="C13" i="3"/>
  <c r="C12" i="3"/>
  <c r="G10" i="3"/>
  <c r="H10" i="3" s="1"/>
  <c r="I10" i="3" s="1"/>
  <c r="J10" i="3" s="1"/>
  <c r="K10" i="3" s="1"/>
  <c r="L10" i="3" s="1"/>
  <c r="F8" i="3"/>
  <c r="G8" i="3" s="1"/>
  <c r="F5" i="3"/>
  <c r="F12" i="3" s="1"/>
  <c r="XFD16" i="3"/>
  <c r="D2" i="3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F3" i="2"/>
  <c r="J3" i="2"/>
  <c r="Q3" i="2"/>
  <c r="R3" i="2" s="1"/>
  <c r="F4" i="2"/>
  <c r="J4" i="2"/>
  <c r="Q4" i="2"/>
  <c r="R4" i="2"/>
  <c r="R6" i="2" s="1"/>
  <c r="S4" i="2"/>
  <c r="T4" i="2" s="1"/>
  <c r="F5" i="2"/>
  <c r="J5" i="2"/>
  <c r="Q5" i="2" s="1"/>
  <c r="F6" i="2"/>
  <c r="F7" i="2" s="1"/>
  <c r="J6" i="2"/>
  <c r="Q6" i="2"/>
  <c r="S6" i="2"/>
  <c r="E7" i="2"/>
  <c r="G7" i="2"/>
  <c r="H7" i="2"/>
  <c r="I7" i="2"/>
  <c r="C8" i="2"/>
  <c r="D8" i="2"/>
  <c r="E8" i="2"/>
  <c r="F8" i="2"/>
  <c r="G8" i="2"/>
  <c r="H8" i="2"/>
  <c r="I8" i="2"/>
  <c r="J8" i="2"/>
  <c r="J11" i="2" s="1"/>
  <c r="N8" i="2"/>
  <c r="O8" i="2"/>
  <c r="C9" i="2"/>
  <c r="D9" i="2"/>
  <c r="E9" i="2"/>
  <c r="F9" i="2"/>
  <c r="G9" i="2"/>
  <c r="H9" i="2"/>
  <c r="I9" i="2"/>
  <c r="J9" i="2" s="1"/>
  <c r="J12" i="2" s="1"/>
  <c r="N9" i="2"/>
  <c r="O9" i="2"/>
  <c r="F11" i="2"/>
  <c r="F12" i="2"/>
  <c r="C13" i="2"/>
  <c r="D13" i="2"/>
  <c r="D19" i="2" s="1"/>
  <c r="E13" i="2"/>
  <c r="E19" i="2" s="1"/>
  <c r="F13" i="2"/>
  <c r="G13" i="2"/>
  <c r="H13" i="2"/>
  <c r="I13" i="2"/>
  <c r="I19" i="2" s="1"/>
  <c r="I21" i="2" s="1"/>
  <c r="I23" i="2" s="1"/>
  <c r="N13" i="2"/>
  <c r="O13" i="2"/>
  <c r="O19" i="2" s="1"/>
  <c r="F14" i="2"/>
  <c r="F15" i="2"/>
  <c r="F16" i="2"/>
  <c r="F17" i="2"/>
  <c r="F18" i="2"/>
  <c r="C19" i="2"/>
  <c r="C21" i="2" s="1"/>
  <c r="G19" i="2"/>
  <c r="H19" i="2"/>
  <c r="H21" i="2" s="1"/>
  <c r="N19" i="2"/>
  <c r="N21" i="2" s="1"/>
  <c r="N23" i="2" s="1"/>
  <c r="E20" i="2"/>
  <c r="F20" i="2"/>
  <c r="D21" i="2"/>
  <c r="D23" i="2" s="1"/>
  <c r="E21" i="2"/>
  <c r="E23" i="2" s="1"/>
  <c r="G21" i="2"/>
  <c r="G23" i="2" s="1"/>
  <c r="O21" i="2"/>
  <c r="F21" i="2" s="1"/>
  <c r="F22" i="2"/>
  <c r="C23" i="2"/>
  <c r="N25" i="2"/>
  <c r="O25" i="2"/>
  <c r="P25" i="2"/>
  <c r="Q25" i="2"/>
  <c r="R25" i="2"/>
  <c r="G29" i="2"/>
  <c r="H29" i="2"/>
  <c r="I29" i="2"/>
  <c r="O29" i="2"/>
  <c r="G30" i="2"/>
  <c r="H30" i="2"/>
  <c r="I30" i="2"/>
  <c r="O30" i="2"/>
  <c r="G31" i="2"/>
  <c r="H31" i="2"/>
  <c r="O31" i="2"/>
  <c r="AC38" i="2"/>
  <c r="AC36" i="2"/>
  <c r="Z2" i="2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CG2" i="2" s="1"/>
  <c r="CH2" i="2" s="1"/>
  <c r="CI2" i="2" s="1"/>
  <c r="CJ2" i="2" s="1"/>
  <c r="CK2" i="2" s="1"/>
  <c r="CL2" i="2" s="1"/>
  <c r="CM2" i="2" s="1"/>
  <c r="CN2" i="2" s="1"/>
  <c r="CO2" i="2" s="1"/>
  <c r="CP2" i="2" s="1"/>
  <c r="CQ2" i="2" s="1"/>
  <c r="CR2" i="2" s="1"/>
  <c r="CS2" i="2" s="1"/>
  <c r="CT2" i="2" s="1"/>
  <c r="CU2" i="2" s="1"/>
  <c r="CV2" i="2" s="1"/>
  <c r="CW2" i="2" s="1"/>
  <c r="CX2" i="2" s="1"/>
  <c r="CY2" i="2" s="1"/>
  <c r="CZ2" i="2" s="1"/>
  <c r="DA2" i="2" s="1"/>
  <c r="DB2" i="2" s="1"/>
  <c r="DC2" i="2" s="1"/>
  <c r="DD2" i="2" s="1"/>
  <c r="DE2" i="2" s="1"/>
  <c r="DF2" i="2" s="1"/>
  <c r="DG2" i="2" s="1"/>
  <c r="DH2" i="2" s="1"/>
  <c r="DI2" i="2" s="1"/>
  <c r="DJ2" i="2" s="1"/>
  <c r="DK2" i="2" s="1"/>
  <c r="DL2" i="2" s="1"/>
  <c r="DM2" i="2" s="1"/>
  <c r="DN2" i="2" s="1"/>
  <c r="DO2" i="2" s="1"/>
  <c r="DP2" i="2" s="1"/>
  <c r="DQ2" i="2" s="1"/>
  <c r="DR2" i="2" s="1"/>
  <c r="DS2" i="2" s="1"/>
  <c r="DT2" i="2" s="1"/>
  <c r="DU2" i="2" s="1"/>
  <c r="DV2" i="2" s="1"/>
  <c r="DW2" i="2" s="1"/>
  <c r="DX2" i="2" s="1"/>
  <c r="DY2" i="2" s="1"/>
  <c r="DZ2" i="2" s="1"/>
  <c r="EA2" i="2" s="1"/>
  <c r="EB2" i="2" s="1"/>
  <c r="EC2" i="2" s="1"/>
  <c r="ED2" i="2" s="1"/>
  <c r="EE2" i="2" s="1"/>
  <c r="EF2" i="2" s="1"/>
  <c r="EG2" i="2" s="1"/>
  <c r="EH2" i="2" s="1"/>
  <c r="EI2" i="2" s="1"/>
  <c r="EJ2" i="2" s="1"/>
  <c r="EK2" i="2" s="1"/>
  <c r="EL2" i="2" s="1"/>
  <c r="EM2" i="2" s="1"/>
  <c r="EN2" i="2" s="1"/>
  <c r="EO2" i="2" s="1"/>
  <c r="EP2" i="2" s="1"/>
  <c r="EQ2" i="2" s="1"/>
  <c r="ER2" i="2" s="1"/>
  <c r="ES2" i="2" s="1"/>
  <c r="ET2" i="2" s="1"/>
  <c r="EU2" i="2" s="1"/>
  <c r="EV2" i="2" s="1"/>
  <c r="EW2" i="2" s="1"/>
  <c r="EX2" i="2" s="1"/>
  <c r="EY2" i="2" s="1"/>
  <c r="EZ2" i="2" s="1"/>
  <c r="FA2" i="2" s="1"/>
  <c r="FB2" i="2" s="1"/>
  <c r="FC2" i="2" s="1"/>
  <c r="FD2" i="2" s="1"/>
  <c r="FE2" i="2" s="1"/>
  <c r="FF2" i="2" s="1"/>
  <c r="FG2" i="2" s="1"/>
  <c r="FH2" i="2" s="1"/>
  <c r="FI2" i="2" s="1"/>
  <c r="FJ2" i="2" s="1"/>
  <c r="FK2" i="2" s="1"/>
  <c r="FL2" i="2" s="1"/>
  <c r="FM2" i="2" s="1"/>
  <c r="FN2" i="2" s="1"/>
  <c r="FO2" i="2" s="1"/>
  <c r="FP2" i="2" s="1"/>
  <c r="FQ2" i="2" s="1"/>
  <c r="FR2" i="2" s="1"/>
  <c r="FS2" i="2" s="1"/>
  <c r="FT2" i="2" s="1"/>
  <c r="FU2" i="2" s="1"/>
  <c r="FV2" i="2" s="1"/>
  <c r="FW2" i="2" s="1"/>
  <c r="FX2" i="2" s="1"/>
  <c r="FY2" i="2" s="1"/>
  <c r="FZ2" i="2" s="1"/>
  <c r="GA2" i="2" s="1"/>
  <c r="GB2" i="2" s="1"/>
  <c r="GC2" i="2" s="1"/>
  <c r="GD2" i="2" s="1"/>
  <c r="GE2" i="2" s="1"/>
  <c r="GF2" i="2" s="1"/>
  <c r="GG2" i="2" s="1"/>
  <c r="GH2" i="2" s="1"/>
  <c r="GI2" i="2" s="1"/>
  <c r="GJ2" i="2" s="1"/>
  <c r="GK2" i="2" s="1"/>
  <c r="GL2" i="2" s="1"/>
  <c r="GM2" i="2" s="1"/>
  <c r="GN2" i="2" s="1"/>
  <c r="GO2" i="2" s="1"/>
  <c r="GP2" i="2" s="1"/>
  <c r="GQ2" i="2" s="1"/>
  <c r="GR2" i="2" s="1"/>
  <c r="GS2" i="2" s="1"/>
  <c r="GT2" i="2" s="1"/>
  <c r="GU2" i="2" s="1"/>
  <c r="GV2" i="2" s="1"/>
  <c r="GW2" i="2" s="1"/>
  <c r="GX2" i="2" s="1"/>
  <c r="GY2" i="2" s="1"/>
  <c r="GZ2" i="2" s="1"/>
  <c r="HA2" i="2" s="1"/>
  <c r="HB2" i="2" s="1"/>
  <c r="HC2" i="2" s="1"/>
  <c r="HD2" i="2" s="1"/>
  <c r="HE2" i="2" s="1"/>
  <c r="HF2" i="2" s="1"/>
  <c r="HG2" i="2" s="1"/>
  <c r="HH2" i="2" s="1"/>
  <c r="HI2" i="2" s="1"/>
  <c r="HJ2" i="2" s="1"/>
  <c r="HK2" i="2" s="1"/>
  <c r="HL2" i="2" s="1"/>
  <c r="HM2" i="2" s="1"/>
  <c r="HN2" i="2" s="1"/>
  <c r="HO2" i="2" s="1"/>
  <c r="HP2" i="2" s="1"/>
  <c r="HQ2" i="2" s="1"/>
  <c r="HR2" i="2" s="1"/>
  <c r="M2" i="2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G8" i="1"/>
  <c r="G7" i="1"/>
  <c r="F8" i="1"/>
  <c r="AC34" i="2" s="1"/>
  <c r="F6" i="1"/>
  <c r="F9" i="1" s="1"/>
  <c r="H50" i="3" l="1"/>
  <c r="G55" i="3"/>
  <c r="G56" i="3" s="1"/>
  <c r="F56" i="3"/>
  <c r="D36" i="3"/>
  <c r="E40" i="3"/>
  <c r="D14" i="3"/>
  <c r="F38" i="3"/>
  <c r="F40" i="3" s="1"/>
  <c r="E14" i="3"/>
  <c r="E36" i="3"/>
  <c r="E42" i="3" s="1"/>
  <c r="D18" i="3"/>
  <c r="D20" i="3" s="1"/>
  <c r="G31" i="3"/>
  <c r="G39" i="3" s="1"/>
  <c r="F13" i="3"/>
  <c r="F14" i="3" s="1"/>
  <c r="F16" i="3"/>
  <c r="G27" i="3"/>
  <c r="G34" i="3" s="1"/>
  <c r="G36" i="3" s="1"/>
  <c r="G9" i="3"/>
  <c r="G17" i="3" s="1"/>
  <c r="G13" i="3"/>
  <c r="H8" i="3"/>
  <c r="F17" i="3"/>
  <c r="F18" i="3" s="1"/>
  <c r="H30" i="3"/>
  <c r="G5" i="3"/>
  <c r="C36" i="3"/>
  <c r="C42" i="3" s="1"/>
  <c r="F42" i="3"/>
  <c r="D40" i="3"/>
  <c r="D42" i="3" s="1"/>
  <c r="J32" i="3"/>
  <c r="K32" i="3" s="1"/>
  <c r="J29" i="3"/>
  <c r="K29" i="3" s="1"/>
  <c r="E18" i="3"/>
  <c r="E20" i="3" s="1"/>
  <c r="C18" i="3"/>
  <c r="C14" i="3"/>
  <c r="H23" i="2"/>
  <c r="J30" i="2"/>
  <c r="P12" i="2"/>
  <c r="Q12" i="2"/>
  <c r="F19" i="2"/>
  <c r="T6" i="2"/>
  <c r="U4" i="2"/>
  <c r="I31" i="2"/>
  <c r="R5" i="2"/>
  <c r="S3" i="2"/>
  <c r="O23" i="2"/>
  <c r="F23" i="2" s="1"/>
  <c r="J13" i="2"/>
  <c r="P11" i="2"/>
  <c r="J29" i="2"/>
  <c r="Q11" i="2"/>
  <c r="H55" i="3" l="1"/>
  <c r="H54" i="3"/>
  <c r="H56" i="3" s="1"/>
  <c r="I50" i="3"/>
  <c r="H27" i="3"/>
  <c r="I27" i="3" s="1"/>
  <c r="F20" i="3"/>
  <c r="C20" i="3"/>
  <c r="G28" i="3"/>
  <c r="G38" i="3" s="1"/>
  <c r="G40" i="3" s="1"/>
  <c r="G42" i="3" s="1"/>
  <c r="L29" i="3"/>
  <c r="M29" i="3" s="1"/>
  <c r="I30" i="3"/>
  <c r="H31" i="3"/>
  <c r="H39" i="3" s="1"/>
  <c r="H35" i="3"/>
  <c r="H13" i="3"/>
  <c r="H9" i="3"/>
  <c r="H5" i="3"/>
  <c r="G6" i="3"/>
  <c r="G16" i="3" s="1"/>
  <c r="G18" i="3" s="1"/>
  <c r="G12" i="3"/>
  <c r="G14" i="3" s="1"/>
  <c r="I8" i="3"/>
  <c r="L32" i="3"/>
  <c r="M32" i="3" s="1"/>
  <c r="J22" i="2"/>
  <c r="J16" i="2"/>
  <c r="J31" i="2"/>
  <c r="J17" i="2"/>
  <c r="J18" i="2"/>
  <c r="Q13" i="2"/>
  <c r="Q31" i="2" s="1"/>
  <c r="J14" i="2"/>
  <c r="J19" i="2" s="1"/>
  <c r="J15" i="2"/>
  <c r="J20" i="2"/>
  <c r="P31" i="2"/>
  <c r="Q29" i="2"/>
  <c r="Q8" i="2"/>
  <c r="R8" i="2" s="1"/>
  <c r="S8" i="2" s="1"/>
  <c r="P30" i="2"/>
  <c r="P9" i="2"/>
  <c r="T3" i="2"/>
  <c r="S25" i="2"/>
  <c r="S5" i="2"/>
  <c r="Q30" i="2"/>
  <c r="Q9" i="2"/>
  <c r="R9" i="2" s="1"/>
  <c r="P8" i="2"/>
  <c r="P29" i="2"/>
  <c r="U6" i="2"/>
  <c r="V4" i="2"/>
  <c r="I55" i="3" l="1"/>
  <c r="I54" i="3"/>
  <c r="I9" i="3"/>
  <c r="H28" i="3"/>
  <c r="H38" i="3" s="1"/>
  <c r="H40" i="3" s="1"/>
  <c r="H34" i="3"/>
  <c r="H36" i="3" s="1"/>
  <c r="G20" i="3"/>
  <c r="I34" i="3"/>
  <c r="I28" i="3"/>
  <c r="I38" i="3" s="1"/>
  <c r="J27" i="3"/>
  <c r="I5" i="3"/>
  <c r="H12" i="3"/>
  <c r="H14" i="3" s="1"/>
  <c r="H6" i="3"/>
  <c r="I17" i="3"/>
  <c r="I13" i="3"/>
  <c r="J8" i="3"/>
  <c r="K8" i="3" s="1"/>
  <c r="H17" i="3"/>
  <c r="I31" i="3"/>
  <c r="I39" i="3" s="1"/>
  <c r="J30" i="3"/>
  <c r="I35" i="3"/>
  <c r="N32" i="3"/>
  <c r="N29" i="3"/>
  <c r="J21" i="2"/>
  <c r="Q19" i="2"/>
  <c r="S11" i="2"/>
  <c r="R11" i="2"/>
  <c r="Q17" i="2"/>
  <c r="S9" i="2"/>
  <c r="R12" i="2"/>
  <c r="R30" i="2" s="1"/>
  <c r="Q14" i="2"/>
  <c r="Q18" i="2"/>
  <c r="V6" i="2"/>
  <c r="W4" i="2"/>
  <c r="U3" i="2"/>
  <c r="T25" i="2"/>
  <c r="T5" i="2"/>
  <c r="T11" i="2" s="1"/>
  <c r="Q20" i="2"/>
  <c r="Q16" i="2"/>
  <c r="Q15" i="2"/>
  <c r="Q22" i="2"/>
  <c r="I56" i="3" l="1"/>
  <c r="J60" i="3" s="1"/>
  <c r="H42" i="3"/>
  <c r="I40" i="3"/>
  <c r="K13" i="3"/>
  <c r="J35" i="3"/>
  <c r="K30" i="3"/>
  <c r="J39" i="3"/>
  <c r="I36" i="3"/>
  <c r="I42" i="3" s="1"/>
  <c r="I12" i="3"/>
  <c r="I14" i="3" s="1"/>
  <c r="J5" i="3"/>
  <c r="J13" i="3"/>
  <c r="I6" i="3"/>
  <c r="I16" i="3" s="1"/>
  <c r="I18" i="3" s="1"/>
  <c r="H16" i="3"/>
  <c r="H18" i="3" s="1"/>
  <c r="H20" i="3" s="1"/>
  <c r="L8" i="3"/>
  <c r="J9" i="3"/>
  <c r="K9" i="3" s="1"/>
  <c r="L9" i="3" s="1"/>
  <c r="J28" i="3"/>
  <c r="J38" i="3" s="1"/>
  <c r="K27" i="3"/>
  <c r="J34" i="3"/>
  <c r="J31" i="3"/>
  <c r="O32" i="3"/>
  <c r="O29" i="3"/>
  <c r="T29" i="2"/>
  <c r="J23" i="2"/>
  <c r="Q21" i="2"/>
  <c r="Q23" i="2" s="1"/>
  <c r="U25" i="2"/>
  <c r="V3" i="2"/>
  <c r="U5" i="2"/>
  <c r="U11" i="2" s="1"/>
  <c r="T9" i="2"/>
  <c r="S12" i="2"/>
  <c r="S30" i="2" s="1"/>
  <c r="W6" i="2"/>
  <c r="X4" i="2"/>
  <c r="R13" i="2"/>
  <c r="R29" i="2"/>
  <c r="S29" i="2"/>
  <c r="J40" i="3" l="1"/>
  <c r="J36" i="3"/>
  <c r="L17" i="3"/>
  <c r="L13" i="3"/>
  <c r="L30" i="3"/>
  <c r="K39" i="3"/>
  <c r="K35" i="3"/>
  <c r="K36" i="3" s="1"/>
  <c r="J42" i="3"/>
  <c r="I20" i="3"/>
  <c r="J17" i="3"/>
  <c r="K34" i="3"/>
  <c r="K28" i="3"/>
  <c r="K38" i="3" s="1"/>
  <c r="L27" i="3"/>
  <c r="J12" i="3"/>
  <c r="J14" i="3" s="1"/>
  <c r="J6" i="3"/>
  <c r="J16" i="3" s="1"/>
  <c r="J18" i="3" s="1"/>
  <c r="K5" i="3"/>
  <c r="K17" i="3"/>
  <c r="K31" i="3"/>
  <c r="P32" i="3"/>
  <c r="P29" i="3"/>
  <c r="X6" i="2"/>
  <c r="Y4" i="2"/>
  <c r="S13" i="2"/>
  <c r="U9" i="2"/>
  <c r="T12" i="2"/>
  <c r="U29" i="2"/>
  <c r="W3" i="2"/>
  <c r="V25" i="2"/>
  <c r="V5" i="2"/>
  <c r="V11" i="2" s="1"/>
  <c r="R17" i="2"/>
  <c r="R14" i="2"/>
  <c r="R15" i="2"/>
  <c r="R16" i="2"/>
  <c r="R18" i="2"/>
  <c r="R19" i="2"/>
  <c r="J20" i="3" l="1"/>
  <c r="L31" i="3"/>
  <c r="M31" i="3" s="1"/>
  <c r="L28" i="3"/>
  <c r="L38" i="3" s="1"/>
  <c r="M27" i="3"/>
  <c r="L34" i="3"/>
  <c r="K40" i="3"/>
  <c r="K42" i="3" s="1"/>
  <c r="L35" i="3"/>
  <c r="M30" i="3"/>
  <c r="K12" i="3"/>
  <c r="K14" i="3" s="1"/>
  <c r="L5" i="3"/>
  <c r="K6" i="3"/>
  <c r="K16" i="3" s="1"/>
  <c r="K18" i="3" s="1"/>
  <c r="Q32" i="3"/>
  <c r="Q29" i="3"/>
  <c r="V29" i="2"/>
  <c r="R20" i="2"/>
  <c r="R21" i="2"/>
  <c r="X3" i="2"/>
  <c r="W5" i="2"/>
  <c r="W11" i="2" s="1"/>
  <c r="W25" i="2"/>
  <c r="Y6" i="2"/>
  <c r="Z4" i="2"/>
  <c r="Z6" i="2" s="1"/>
  <c r="T30" i="2"/>
  <c r="T13" i="2"/>
  <c r="V9" i="2"/>
  <c r="U12" i="2"/>
  <c r="S15" i="2"/>
  <c r="S17" i="2"/>
  <c r="S14" i="2"/>
  <c r="S16" i="2"/>
  <c r="S19" i="2" s="1"/>
  <c r="S18" i="2"/>
  <c r="L39" i="3" l="1"/>
  <c r="L40" i="3" s="1"/>
  <c r="N27" i="3"/>
  <c r="M28" i="3"/>
  <c r="M38" i="3" s="1"/>
  <c r="M34" i="3"/>
  <c r="M39" i="3"/>
  <c r="M40" i="3" s="1"/>
  <c r="M35" i="3"/>
  <c r="M36" i="3" s="1"/>
  <c r="M42" i="3" s="1"/>
  <c r="N30" i="3"/>
  <c r="N31" i="3" s="1"/>
  <c r="L12" i="3"/>
  <c r="L14" i="3" s="1"/>
  <c r="L6" i="3"/>
  <c r="L16" i="3" s="1"/>
  <c r="L18" i="3" s="1"/>
  <c r="K20" i="3"/>
  <c r="L36" i="3"/>
  <c r="L42" i="3" s="1"/>
  <c r="R32" i="3"/>
  <c r="R29" i="3"/>
  <c r="S20" i="2"/>
  <c r="S21" i="2"/>
  <c r="T18" i="2"/>
  <c r="T15" i="2"/>
  <c r="T19" i="2" s="1"/>
  <c r="T14" i="2"/>
  <c r="T17" i="2"/>
  <c r="T16" i="2"/>
  <c r="R22" i="2"/>
  <c r="R23" i="2" s="1"/>
  <c r="U30" i="2"/>
  <c r="U13" i="2"/>
  <c r="W29" i="2"/>
  <c r="W9" i="2"/>
  <c r="V12" i="2"/>
  <c r="X5" i="2"/>
  <c r="X11" i="2" s="1"/>
  <c r="Y3" i="2"/>
  <c r="X25" i="2"/>
  <c r="L20" i="3" l="1"/>
  <c r="N39" i="3"/>
  <c r="N35" i="3"/>
  <c r="O30" i="3"/>
  <c r="O24" i="3"/>
  <c r="N28" i="3"/>
  <c r="N38" i="3" s="1"/>
  <c r="O27" i="3"/>
  <c r="N34" i="3"/>
  <c r="S32" i="3"/>
  <c r="T32" i="3" s="1"/>
  <c r="S29" i="3"/>
  <c r="T20" i="2"/>
  <c r="T21" i="2" s="1"/>
  <c r="X29" i="2"/>
  <c r="V30" i="2"/>
  <c r="V13" i="2"/>
  <c r="X9" i="2"/>
  <c r="W12" i="2"/>
  <c r="S22" i="2"/>
  <c r="S23" i="2" s="1"/>
  <c r="U18" i="2"/>
  <c r="U15" i="2"/>
  <c r="U14" i="2"/>
  <c r="U17" i="2"/>
  <c r="U16" i="2"/>
  <c r="U19" i="2" s="1"/>
  <c r="Y5" i="2"/>
  <c r="Y11" i="2" s="1"/>
  <c r="Z3" i="2"/>
  <c r="Y25" i="2"/>
  <c r="U32" i="3" l="1"/>
  <c r="N36" i="3"/>
  <c r="P27" i="3"/>
  <c r="O28" i="3"/>
  <c r="O38" i="3" s="1"/>
  <c r="O34" i="3"/>
  <c r="P30" i="3"/>
  <c r="O35" i="3"/>
  <c r="N40" i="3"/>
  <c r="O31" i="3"/>
  <c r="O39" i="3" s="1"/>
  <c r="V32" i="3"/>
  <c r="T29" i="3"/>
  <c r="T22" i="2"/>
  <c r="T23" i="2" s="1"/>
  <c r="U20" i="2"/>
  <c r="U21" i="2" s="1"/>
  <c r="Z5" i="2"/>
  <c r="Z11" i="2" s="1"/>
  <c r="Z25" i="2"/>
  <c r="Y29" i="2"/>
  <c r="W30" i="2"/>
  <c r="W13" i="2"/>
  <c r="Y9" i="2"/>
  <c r="X12" i="2"/>
  <c r="V16" i="2"/>
  <c r="V18" i="2"/>
  <c r="V15" i="2"/>
  <c r="V14" i="2"/>
  <c r="V19" i="2"/>
  <c r="V17" i="2"/>
  <c r="O40" i="3" l="1"/>
  <c r="N42" i="3"/>
  <c r="O36" i="3"/>
  <c r="O42" i="3" s="1"/>
  <c r="P35" i="3"/>
  <c r="Q30" i="3"/>
  <c r="P31" i="3"/>
  <c r="Q31" i="3" s="1"/>
  <c r="Q27" i="3"/>
  <c r="P28" i="3"/>
  <c r="P38" i="3" s="1"/>
  <c r="P34" i="3"/>
  <c r="U29" i="3"/>
  <c r="U22" i="2"/>
  <c r="U23" i="2"/>
  <c r="V20" i="2"/>
  <c r="V21" i="2" s="1"/>
  <c r="W16" i="2"/>
  <c r="W18" i="2"/>
  <c r="W15" i="2"/>
  <c r="W17" i="2"/>
  <c r="W14" i="2"/>
  <c r="W19" i="2" s="1"/>
  <c r="Z29" i="2"/>
  <c r="X30" i="2"/>
  <c r="X13" i="2"/>
  <c r="Z9" i="2"/>
  <c r="Z12" i="2" s="1"/>
  <c r="Y12" i="2"/>
  <c r="Q28" i="3" l="1"/>
  <c r="Q38" i="3" s="1"/>
  <c r="R27" i="3"/>
  <c r="Q34" i="3"/>
  <c r="R30" i="3"/>
  <c r="R31" i="3" s="1"/>
  <c r="Q39" i="3"/>
  <c r="Q35" i="3"/>
  <c r="P36" i="3"/>
  <c r="P39" i="3"/>
  <c r="P40" i="3" s="1"/>
  <c r="V29" i="3"/>
  <c r="V22" i="2"/>
  <c r="V23" i="2"/>
  <c r="W20" i="2"/>
  <c r="W21" i="2" s="1"/>
  <c r="Y30" i="2"/>
  <c r="Y13" i="2"/>
  <c r="Z30" i="2"/>
  <c r="X14" i="2"/>
  <c r="X19" i="2" s="1"/>
  <c r="X16" i="2"/>
  <c r="X17" i="2"/>
  <c r="X18" i="2"/>
  <c r="X15" i="2"/>
  <c r="Z13" i="2"/>
  <c r="Q36" i="3" l="1"/>
  <c r="Q40" i="3"/>
  <c r="P42" i="3"/>
  <c r="S30" i="3"/>
  <c r="R39" i="3"/>
  <c r="R35" i="3"/>
  <c r="S27" i="3"/>
  <c r="R28" i="3"/>
  <c r="R38" i="3" s="1"/>
  <c r="R34" i="3"/>
  <c r="W22" i="2"/>
  <c r="W23" i="2" s="1"/>
  <c r="X20" i="2"/>
  <c r="X21" i="2" s="1"/>
  <c r="Z17" i="2"/>
  <c r="Y17" i="2"/>
  <c r="Y14" i="2"/>
  <c r="Z14" i="2" s="1"/>
  <c r="Y18" i="2"/>
  <c r="Z18" i="2" s="1"/>
  <c r="Y15" i="2"/>
  <c r="Z15" i="2" s="1"/>
  <c r="Y16" i="2"/>
  <c r="Z16" i="2" s="1"/>
  <c r="Q42" i="3" l="1"/>
  <c r="T27" i="3"/>
  <c r="S28" i="3"/>
  <c r="S38" i="3" s="1"/>
  <c r="S34" i="3"/>
  <c r="R36" i="3"/>
  <c r="R40" i="3"/>
  <c r="S35" i="3"/>
  <c r="S36" i="3" s="1"/>
  <c r="T30" i="3"/>
  <c r="S31" i="3"/>
  <c r="S39" i="3" s="1"/>
  <c r="Z19" i="2"/>
  <c r="X22" i="2"/>
  <c r="X23" i="2" s="1"/>
  <c r="Y19" i="2"/>
  <c r="S40" i="3" l="1"/>
  <c r="T35" i="3"/>
  <c r="U30" i="3"/>
  <c r="S42" i="3"/>
  <c r="R42" i="3"/>
  <c r="T31" i="3"/>
  <c r="U31" i="3" s="1"/>
  <c r="T28" i="3"/>
  <c r="T38" i="3" s="1"/>
  <c r="U27" i="3"/>
  <c r="T34" i="3"/>
  <c r="Y20" i="2"/>
  <c r="Y21" i="2"/>
  <c r="Z20" i="2"/>
  <c r="Z21" i="2"/>
  <c r="V27" i="3" l="1"/>
  <c r="U28" i="3"/>
  <c r="U38" i="3" s="1"/>
  <c r="U34" i="3"/>
  <c r="T39" i="3"/>
  <c r="T40" i="3" s="1"/>
  <c r="U39" i="3"/>
  <c r="U40" i="3" s="1"/>
  <c r="V30" i="3"/>
  <c r="U35" i="3"/>
  <c r="T36" i="3"/>
  <c r="Y22" i="2"/>
  <c r="Z22" i="2" s="1"/>
  <c r="Z23" i="2" s="1"/>
  <c r="AA23" i="2" s="1"/>
  <c r="AB23" i="2" s="1"/>
  <c r="AC23" i="2" s="1"/>
  <c r="AD23" i="2" s="1"/>
  <c r="AE23" i="2" s="1"/>
  <c r="AF23" i="2" s="1"/>
  <c r="AG23" i="2" s="1"/>
  <c r="AH23" i="2" s="1"/>
  <c r="AI23" i="2" s="1"/>
  <c r="AJ23" i="2" s="1"/>
  <c r="AK23" i="2" s="1"/>
  <c r="AL23" i="2" s="1"/>
  <c r="AM23" i="2" s="1"/>
  <c r="AN23" i="2" s="1"/>
  <c r="AO23" i="2" s="1"/>
  <c r="AP23" i="2" s="1"/>
  <c r="AQ23" i="2" s="1"/>
  <c r="AR23" i="2" s="1"/>
  <c r="AS23" i="2" s="1"/>
  <c r="AT23" i="2" s="1"/>
  <c r="AU23" i="2" s="1"/>
  <c r="AV23" i="2" s="1"/>
  <c r="AW23" i="2" s="1"/>
  <c r="AX23" i="2" s="1"/>
  <c r="AY23" i="2" s="1"/>
  <c r="AZ23" i="2" s="1"/>
  <c r="BA23" i="2" s="1"/>
  <c r="BB23" i="2" s="1"/>
  <c r="BC23" i="2" s="1"/>
  <c r="BD23" i="2" s="1"/>
  <c r="BE23" i="2" s="1"/>
  <c r="BF23" i="2" s="1"/>
  <c r="BG23" i="2" s="1"/>
  <c r="BH23" i="2" s="1"/>
  <c r="BI23" i="2" s="1"/>
  <c r="BJ23" i="2" s="1"/>
  <c r="BK23" i="2" s="1"/>
  <c r="BL23" i="2" s="1"/>
  <c r="BM23" i="2" s="1"/>
  <c r="BN23" i="2" s="1"/>
  <c r="BO23" i="2" s="1"/>
  <c r="BP23" i="2" s="1"/>
  <c r="BQ23" i="2" s="1"/>
  <c r="BR23" i="2" s="1"/>
  <c r="BS23" i="2" s="1"/>
  <c r="BT23" i="2" s="1"/>
  <c r="BU23" i="2" s="1"/>
  <c r="BV23" i="2" s="1"/>
  <c r="BW23" i="2" s="1"/>
  <c r="BX23" i="2" s="1"/>
  <c r="BY23" i="2" s="1"/>
  <c r="BZ23" i="2" s="1"/>
  <c r="CA23" i="2" s="1"/>
  <c r="CB23" i="2" s="1"/>
  <c r="CC23" i="2" s="1"/>
  <c r="CD23" i="2" s="1"/>
  <c r="CE23" i="2" s="1"/>
  <c r="CF23" i="2" s="1"/>
  <c r="CG23" i="2" s="1"/>
  <c r="CH23" i="2" s="1"/>
  <c r="CI23" i="2" s="1"/>
  <c r="CJ23" i="2" s="1"/>
  <c r="CK23" i="2" s="1"/>
  <c r="CL23" i="2" s="1"/>
  <c r="CM23" i="2" s="1"/>
  <c r="CN23" i="2" s="1"/>
  <c r="CO23" i="2" s="1"/>
  <c r="CP23" i="2" s="1"/>
  <c r="CQ23" i="2" s="1"/>
  <c r="CR23" i="2" s="1"/>
  <c r="CS23" i="2" s="1"/>
  <c r="CT23" i="2" s="1"/>
  <c r="CU23" i="2" s="1"/>
  <c r="CV23" i="2" s="1"/>
  <c r="CW23" i="2" s="1"/>
  <c r="CX23" i="2" s="1"/>
  <c r="CY23" i="2" s="1"/>
  <c r="CZ23" i="2" s="1"/>
  <c r="DA23" i="2" s="1"/>
  <c r="DB23" i="2" s="1"/>
  <c r="DC23" i="2" s="1"/>
  <c r="DD23" i="2" s="1"/>
  <c r="DE23" i="2" s="1"/>
  <c r="DF23" i="2" s="1"/>
  <c r="DG23" i="2" s="1"/>
  <c r="DH23" i="2" s="1"/>
  <c r="DI23" i="2" s="1"/>
  <c r="DJ23" i="2" s="1"/>
  <c r="DK23" i="2" s="1"/>
  <c r="DL23" i="2" s="1"/>
  <c r="DM23" i="2" s="1"/>
  <c r="DN23" i="2" s="1"/>
  <c r="DO23" i="2" s="1"/>
  <c r="DP23" i="2" s="1"/>
  <c r="DQ23" i="2" s="1"/>
  <c r="DR23" i="2" s="1"/>
  <c r="DS23" i="2" s="1"/>
  <c r="DT23" i="2" s="1"/>
  <c r="DU23" i="2" s="1"/>
  <c r="DV23" i="2" s="1"/>
  <c r="DW23" i="2" s="1"/>
  <c r="DX23" i="2" s="1"/>
  <c r="DY23" i="2" s="1"/>
  <c r="DZ23" i="2" s="1"/>
  <c r="EA23" i="2" s="1"/>
  <c r="EB23" i="2" s="1"/>
  <c r="EC23" i="2" s="1"/>
  <c r="ED23" i="2" s="1"/>
  <c r="EE23" i="2" s="1"/>
  <c r="EF23" i="2" s="1"/>
  <c r="EG23" i="2" s="1"/>
  <c r="EH23" i="2" s="1"/>
  <c r="EI23" i="2" s="1"/>
  <c r="EJ23" i="2" s="1"/>
  <c r="EK23" i="2" s="1"/>
  <c r="EL23" i="2" s="1"/>
  <c r="EM23" i="2" s="1"/>
  <c r="EN23" i="2" s="1"/>
  <c r="EO23" i="2" s="1"/>
  <c r="EP23" i="2" s="1"/>
  <c r="EQ23" i="2" s="1"/>
  <c r="ER23" i="2" s="1"/>
  <c r="ES23" i="2" s="1"/>
  <c r="ET23" i="2" s="1"/>
  <c r="EU23" i="2" s="1"/>
  <c r="EV23" i="2" s="1"/>
  <c r="EW23" i="2" s="1"/>
  <c r="EX23" i="2" s="1"/>
  <c r="EY23" i="2" s="1"/>
  <c r="EZ23" i="2" s="1"/>
  <c r="FA23" i="2" s="1"/>
  <c r="FB23" i="2" s="1"/>
  <c r="FC23" i="2" s="1"/>
  <c r="FD23" i="2" s="1"/>
  <c r="FE23" i="2" s="1"/>
  <c r="FF23" i="2" s="1"/>
  <c r="FG23" i="2" s="1"/>
  <c r="FH23" i="2" s="1"/>
  <c r="FI23" i="2" s="1"/>
  <c r="FJ23" i="2" s="1"/>
  <c r="FK23" i="2" s="1"/>
  <c r="FL23" i="2" s="1"/>
  <c r="FM23" i="2" s="1"/>
  <c r="FN23" i="2" s="1"/>
  <c r="FO23" i="2" s="1"/>
  <c r="FP23" i="2" s="1"/>
  <c r="FQ23" i="2" s="1"/>
  <c r="FR23" i="2" s="1"/>
  <c r="FS23" i="2" s="1"/>
  <c r="FT23" i="2" s="1"/>
  <c r="FU23" i="2" s="1"/>
  <c r="FV23" i="2" s="1"/>
  <c r="FW23" i="2" s="1"/>
  <c r="FX23" i="2" s="1"/>
  <c r="FY23" i="2" s="1"/>
  <c r="FZ23" i="2" s="1"/>
  <c r="GA23" i="2" s="1"/>
  <c r="GB23" i="2" s="1"/>
  <c r="GC23" i="2" s="1"/>
  <c r="GD23" i="2" s="1"/>
  <c r="GE23" i="2" s="1"/>
  <c r="GF23" i="2" s="1"/>
  <c r="GG23" i="2" s="1"/>
  <c r="GH23" i="2" s="1"/>
  <c r="GI23" i="2" s="1"/>
  <c r="GJ23" i="2" s="1"/>
  <c r="GK23" i="2" s="1"/>
  <c r="GL23" i="2" s="1"/>
  <c r="GM23" i="2" s="1"/>
  <c r="GN23" i="2" s="1"/>
  <c r="GO23" i="2" s="1"/>
  <c r="GP23" i="2" s="1"/>
  <c r="GQ23" i="2" s="1"/>
  <c r="GR23" i="2" s="1"/>
  <c r="GS23" i="2" s="1"/>
  <c r="GT23" i="2" s="1"/>
  <c r="GU23" i="2" s="1"/>
  <c r="GV23" i="2" s="1"/>
  <c r="GW23" i="2" s="1"/>
  <c r="GX23" i="2" s="1"/>
  <c r="GY23" i="2" s="1"/>
  <c r="GZ23" i="2" s="1"/>
  <c r="HA23" i="2" s="1"/>
  <c r="HB23" i="2" s="1"/>
  <c r="HC23" i="2" s="1"/>
  <c r="HD23" i="2" s="1"/>
  <c r="HE23" i="2" s="1"/>
  <c r="HF23" i="2" s="1"/>
  <c r="HG23" i="2" s="1"/>
  <c r="HH23" i="2" s="1"/>
  <c r="HI23" i="2" s="1"/>
  <c r="HJ23" i="2" s="1"/>
  <c r="HK23" i="2" s="1"/>
  <c r="HL23" i="2" s="1"/>
  <c r="HM23" i="2" s="1"/>
  <c r="HN23" i="2" s="1"/>
  <c r="HO23" i="2" s="1"/>
  <c r="HP23" i="2" s="1"/>
  <c r="HQ23" i="2" s="1"/>
  <c r="HR23" i="2" s="1"/>
  <c r="AC33" i="2" s="1"/>
  <c r="AC35" i="2" s="1"/>
  <c r="AC37" i="2" s="1"/>
  <c r="AC39" i="2" s="1"/>
  <c r="Y23" i="2"/>
  <c r="U36" i="3" l="1"/>
  <c r="U42" i="3" s="1"/>
  <c r="V35" i="3"/>
  <c r="V31" i="3"/>
  <c r="V39" i="3" s="1"/>
  <c r="T42" i="3"/>
  <c r="V28" i="3"/>
  <c r="V38" i="3" s="1"/>
  <c r="V34" i="3"/>
  <c r="V40" i="3" l="1"/>
  <c r="V36" i="3"/>
  <c r="V42" i="3" s="1"/>
  <c r="O47" i="3" s="1"/>
</calcChain>
</file>

<file path=xl/sharedStrings.xml><?xml version="1.0" encoding="utf-8"?>
<sst xmlns="http://schemas.openxmlformats.org/spreadsheetml/2006/main" count="100" uniqueCount="67">
  <si>
    <t>Price</t>
  </si>
  <si>
    <t>Shares</t>
  </si>
  <si>
    <t>MC</t>
  </si>
  <si>
    <t>C</t>
  </si>
  <si>
    <t>D</t>
  </si>
  <si>
    <t>EV</t>
  </si>
  <si>
    <t>Q324</t>
  </si>
  <si>
    <t>Q123</t>
  </si>
  <si>
    <t>Q223</t>
  </si>
  <si>
    <t>Q323</t>
  </si>
  <si>
    <t>Q423</t>
  </si>
  <si>
    <t>Q124</t>
  </si>
  <si>
    <t>Q224</t>
  </si>
  <si>
    <t>Q424</t>
  </si>
  <si>
    <t>Silver</t>
  </si>
  <si>
    <t>Gold</t>
  </si>
  <si>
    <t>Metal Sales</t>
  </si>
  <si>
    <t>D&amp;A</t>
  </si>
  <si>
    <t>G&amp;A</t>
  </si>
  <si>
    <t>Exploration</t>
  </si>
  <si>
    <t>Pre-dev, reclam,other</t>
  </si>
  <si>
    <t xml:space="preserve">Operating Income </t>
  </si>
  <si>
    <t xml:space="preserve">Other Income </t>
  </si>
  <si>
    <t xml:space="preserve">EBT </t>
  </si>
  <si>
    <t>Taxes</t>
  </si>
  <si>
    <t xml:space="preserve">Net Income </t>
  </si>
  <si>
    <t>Growth Analysis Y/Y</t>
  </si>
  <si>
    <t>$K</t>
  </si>
  <si>
    <t xml:space="preserve">Gold Production </t>
  </si>
  <si>
    <t>Silver Production</t>
  </si>
  <si>
    <t xml:space="preserve">Silver Ounces Sold </t>
  </si>
  <si>
    <t>Gold ounces sold</t>
  </si>
  <si>
    <t>Gold Avg Price</t>
  </si>
  <si>
    <t>Silver Avg Price</t>
  </si>
  <si>
    <t xml:space="preserve">Terminal </t>
  </si>
  <si>
    <t xml:space="preserve">Discount </t>
  </si>
  <si>
    <t>NPV</t>
  </si>
  <si>
    <t xml:space="preserve">Net Cash </t>
  </si>
  <si>
    <t xml:space="preserve">Total Value </t>
  </si>
  <si>
    <t xml:space="preserve">Estimate </t>
  </si>
  <si>
    <t>current</t>
  </si>
  <si>
    <t xml:space="preserve">ceo </t>
  </si>
  <si>
    <t>Mitchell Krebs</t>
  </si>
  <si>
    <t>Palmarejo, Mexico</t>
  </si>
  <si>
    <t>Rochester, Nevada</t>
  </si>
  <si>
    <t>Kensington, Alaska</t>
  </si>
  <si>
    <t>Wharf, South Dakota</t>
  </si>
  <si>
    <t>Au, Ag</t>
  </si>
  <si>
    <t>Au</t>
  </si>
  <si>
    <t xml:space="preserve">Mine Location </t>
  </si>
  <si>
    <t>Metal</t>
  </si>
  <si>
    <t xml:space="preserve">Palmarejo </t>
  </si>
  <si>
    <t xml:space="preserve">CAS Per Gold Ounce </t>
  </si>
  <si>
    <t>Gold Produced (oz)</t>
  </si>
  <si>
    <t xml:space="preserve">Silver produced </t>
  </si>
  <si>
    <t xml:space="preserve">CAS Per Silver Ounce </t>
  </si>
  <si>
    <t>Average Realized Price (Proxy)</t>
  </si>
  <si>
    <t xml:space="preserve">Gold Revenue </t>
  </si>
  <si>
    <t xml:space="preserve">Silver revenue </t>
  </si>
  <si>
    <t xml:space="preserve">Total Revenue </t>
  </si>
  <si>
    <t>Silver Costs</t>
  </si>
  <si>
    <t xml:space="preserve">Total Costs </t>
  </si>
  <si>
    <t>Gold Costs</t>
  </si>
  <si>
    <t xml:space="preserve">Cash Flow </t>
  </si>
  <si>
    <t>NPV $M</t>
  </si>
  <si>
    <t>Rochester</t>
  </si>
  <si>
    <t>Kensington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</si>
</sst>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#,##0.0"/>
  </numFmts>
  <fonts count="3">
    <font>
      <sz val="10"/>
      <color theme="1"/>
      <name val="ArialMT"/>
      <family val="2"/>
    </font>
    <font>
      <b/>
      <sz val="10"/>
      <color theme="1"/>
      <name val="ArialMT"/>
    </font>
    <font>
      <u/>
      <sz val="10"/>
      <color theme="1"/>
      <name val="Arial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3" fontId="0" fillId="0" borderId="0" xfId="0" applyNumberFormat="1"/>
    <xf numFmtId="4" fontId="0" fillId="0" borderId="0" xfId="0" applyNumberFormat="1"/>
    <xf numFmtId="9" fontId="0" fillId="0" borderId="0" xfId="0" applyNumberFormat="1"/>
    <xf numFmtId="3" fontId="1" fillId="0" borderId="0" xfId="0" applyNumberFormat="1" applyFont="1"/>
    <xf numFmtId="1" fontId="0" fillId="0" borderId="0" xfId="0" applyNumberFormat="1"/>
    <xf numFmtId="164" fontId="0" fillId="0" borderId="0" xfId="0" applyNumberFormat="1"/>
    <xf numFmtId="9" fontId="1" fillId="0" borderId="0" xfId="0" applyNumberFormat="1" applyFont="1"/>
    <xf numFmtId="10" fontId="0" fillId="0" borderId="0" xfId="0" applyNumberFormat="1"/>
    <xf numFmtId="3" fontId="2" fillId="0" borderId="0" xfId="0" applyNumberFormat="1" applyFont="1"/>
    <xf numFmtId="1" fontId="1" fillId="0" borderId="0" xfId="0" applyNumberFormat="1" applyFon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692150</xdr:colOff>
      <xdr:row>0</xdr:row>
      <xdr:rowOff>44450</xdr:rowOff>
    </xdr:from>
    <xdr:to>
      <xdr:col>9</xdr:col>
      <xdr:colOff>0</xdr:colOff>
      <xdr:row>45</xdr:row>
      <xdr:rowOff>82550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6FE0759-FDAB-135A-26F0-16157E5E0CC1}"/>
            </a:ext>
          </a:extLst>
        </xdr:cNvPr>
        <xdr:cNvCxnSpPr/>
      </xdr:nvCxnSpPr>
      <xdr:spPr>
        <a:xfrm flipH="1">
          <a:off x="6521450" y="44450"/>
          <a:ext cx="6350" cy="69723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0</xdr:row>
      <xdr:rowOff>25400</xdr:rowOff>
    </xdr:from>
    <xdr:to>
      <xdr:col>16</xdr:col>
      <xdr:colOff>6350</xdr:colOff>
      <xdr:row>45</xdr:row>
      <xdr:rowOff>63500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64FFFEF2-05FC-A94B-AFBF-893C00A9C45B}"/>
            </a:ext>
          </a:extLst>
        </xdr:cNvPr>
        <xdr:cNvCxnSpPr/>
      </xdr:nvCxnSpPr>
      <xdr:spPr>
        <a:xfrm flipH="1">
          <a:off x="10972800" y="25400"/>
          <a:ext cx="6350" cy="69723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697662</xdr:colOff>
      <xdr:row>0</xdr:row>
      <xdr:rowOff>13956</xdr:rowOff>
    </xdr:from>
    <xdr:to>
      <xdr:col>5</xdr:col>
      <xdr:colOff>27912</xdr:colOff>
      <xdr:row>80</xdr:row>
      <xdr:rowOff>6978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F640743-80CF-6ECB-3EB6-0B03BC3C3A5E}"/>
            </a:ext>
          </a:extLst>
        </xdr:cNvPr>
        <xdr:cNvCxnSpPr/>
      </xdr:nvCxnSpPr>
      <xdr:spPr>
        <a:xfrm>
          <a:off x="4116893" y="13956"/>
          <a:ext cx="28052" cy="1339082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D8D53-8E88-6C43-AC76-82820147B081}">
  <dimension ref="B2:G13"/>
  <sheetViews>
    <sheetView tabSelected="1" zoomScale="234" workbookViewId="0">
      <selection activeCell="B21" sqref="B21"/>
    </sheetView>
  </sheetViews>
  <sheetFormatPr baseColWidth="10" defaultRowHeight="13"/>
  <cols>
    <col min="1" max="1" width="10.83203125" style="1"/>
    <col min="2" max="2" width="17.5" style="1" bestFit="1" customWidth="1"/>
    <col min="3" max="4" width="10.83203125" style="1"/>
    <col min="5" max="5" width="6.6640625" style="1" bestFit="1" customWidth="1"/>
    <col min="6" max="6" width="5.6640625" style="1" bestFit="1" customWidth="1"/>
    <col min="7" max="7" width="5.5" style="1" bestFit="1" customWidth="1"/>
    <col min="8" max="16384" width="10.83203125" style="1"/>
  </cols>
  <sheetData>
    <row r="2" spans="2:7">
      <c r="B2" s="1" t="s">
        <v>41</v>
      </c>
      <c r="C2" s="1" t="s">
        <v>42</v>
      </c>
    </row>
    <row r="4" spans="2:7">
      <c r="E4" s="1" t="s">
        <v>0</v>
      </c>
      <c r="F4" s="2">
        <v>6.05</v>
      </c>
    </row>
    <row r="5" spans="2:7">
      <c r="E5" s="1" t="s">
        <v>1</v>
      </c>
      <c r="F5" s="1">
        <v>399.240588</v>
      </c>
      <c r="G5" s="1" t="s">
        <v>6</v>
      </c>
    </row>
    <row r="6" spans="2:7">
      <c r="E6" s="1" t="s">
        <v>2</v>
      </c>
      <c r="F6" s="1">
        <f>+F5*F4</f>
        <v>2415.4055573999999</v>
      </c>
    </row>
    <row r="7" spans="2:7">
      <c r="B7" s="9"/>
      <c r="E7" s="1" t="s">
        <v>3</v>
      </c>
      <c r="F7" s="1">
        <v>76.915999999999997</v>
      </c>
      <c r="G7" s="1" t="str">
        <f>+G5</f>
        <v>Q324</v>
      </c>
    </row>
    <row r="8" spans="2:7">
      <c r="E8" s="1" t="s">
        <v>4</v>
      </c>
      <c r="F8" s="1">
        <f>27.458+577.725</f>
        <v>605.18299999999999</v>
      </c>
      <c r="G8" s="1" t="str">
        <f>+G7</f>
        <v>Q324</v>
      </c>
    </row>
    <row r="9" spans="2:7">
      <c r="B9" s="9" t="s">
        <v>49</v>
      </c>
      <c r="C9" s="9" t="s">
        <v>50</v>
      </c>
      <c r="E9" s="1" t="s">
        <v>5</v>
      </c>
      <c r="F9" s="1">
        <f>+F6-F7+F8</f>
        <v>2943.6725573999997</v>
      </c>
    </row>
    <row r="10" spans="2:7">
      <c r="B10" s="1" t="s">
        <v>43</v>
      </c>
      <c r="C10" s="1" t="s">
        <v>47</v>
      </c>
    </row>
    <row r="11" spans="2:7">
      <c r="B11" s="1" t="s">
        <v>44</v>
      </c>
      <c r="C11" s="1" t="s">
        <v>47</v>
      </c>
    </row>
    <row r="12" spans="2:7">
      <c r="B12" s="1" t="s">
        <v>45</v>
      </c>
      <c r="C12" s="1" t="s">
        <v>48</v>
      </c>
      <c r="F12" s="1">
        <f>+F9/300</f>
        <v>9.8122418579999984</v>
      </c>
    </row>
    <row r="13" spans="2:7">
      <c r="B13" s="1" t="s">
        <v>46</v>
      </c>
      <c r="C13" s="1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C54B1-DF59-C543-A6FD-3CB394BEF3A7}">
  <dimension ref="A1:HR39"/>
  <sheetViews>
    <sheetView zoomScale="150" zoomScaleNormal="240" workbookViewId="0">
      <pane xSplit="2" ySplit="2" topLeftCell="H3" activePane="bottomRight" state="frozen"/>
      <selection pane="topRight" activeCell="C1" sqref="C1"/>
      <selection pane="bottomLeft" activeCell="A3" sqref="A3"/>
      <selection pane="bottomRight" activeCell="R13" sqref="R13"/>
    </sheetView>
  </sheetViews>
  <sheetFormatPr baseColWidth="10" defaultRowHeight="13"/>
  <cols>
    <col min="1" max="1" width="3.33203125" style="1" bestFit="1" customWidth="1"/>
    <col min="2" max="2" width="18.1640625" style="1" bestFit="1" customWidth="1"/>
    <col min="3" max="10" width="9.1640625" style="1" bestFit="1" customWidth="1"/>
    <col min="11" max="11" width="10.83203125" style="1"/>
    <col min="12" max="13" width="5.1640625" style="1" bestFit="1" customWidth="1"/>
    <col min="14" max="14" width="10.1640625" style="1" bestFit="1" customWidth="1"/>
    <col min="15" max="15" width="9.1640625" style="1" bestFit="1" customWidth="1"/>
    <col min="16" max="26" width="10.1640625" style="1" bestFit="1" customWidth="1"/>
    <col min="27" max="27" width="7.6640625" style="1" bestFit="1" customWidth="1"/>
    <col min="28" max="28" width="10.5" style="1" bestFit="1" customWidth="1"/>
    <col min="29" max="29" width="9.1640625" style="1" bestFit="1" customWidth="1"/>
    <col min="30" max="212" width="7.6640625" style="1" bestFit="1" customWidth="1"/>
    <col min="213" max="226" width="9.1640625" style="1" bestFit="1" customWidth="1"/>
    <col min="227" max="16384" width="10.83203125" style="1"/>
  </cols>
  <sheetData>
    <row r="1" spans="1:226">
      <c r="A1" s="1" t="s">
        <v>27</v>
      </c>
    </row>
    <row r="2" spans="1:226" s="5" customFormat="1">
      <c r="C2" s="5" t="s">
        <v>7</v>
      </c>
      <c r="D2" s="5" t="s">
        <v>8</v>
      </c>
      <c r="E2" s="5" t="s">
        <v>9</v>
      </c>
      <c r="F2" s="5" t="s">
        <v>10</v>
      </c>
      <c r="G2" s="5" t="s">
        <v>11</v>
      </c>
      <c r="H2" s="5" t="s">
        <v>12</v>
      </c>
      <c r="I2" s="5" t="s">
        <v>6</v>
      </c>
      <c r="J2" s="5" t="s">
        <v>13</v>
      </c>
      <c r="L2" s="5">
        <v>2019</v>
      </c>
      <c r="M2" s="5">
        <f>+L2+1</f>
        <v>2020</v>
      </c>
      <c r="N2" s="5">
        <f t="shared" ref="N2:Y2" si="0">+M2+1</f>
        <v>2021</v>
      </c>
      <c r="O2" s="5">
        <f t="shared" si="0"/>
        <v>2022</v>
      </c>
      <c r="P2" s="5">
        <f t="shared" si="0"/>
        <v>2023</v>
      </c>
      <c r="Q2" s="5">
        <f t="shared" si="0"/>
        <v>2024</v>
      </c>
      <c r="R2" s="5">
        <f t="shared" si="0"/>
        <v>2025</v>
      </c>
      <c r="S2" s="5">
        <f t="shared" si="0"/>
        <v>2026</v>
      </c>
      <c r="T2" s="5">
        <f t="shared" si="0"/>
        <v>2027</v>
      </c>
      <c r="U2" s="5">
        <f t="shared" si="0"/>
        <v>2028</v>
      </c>
      <c r="V2" s="5">
        <f t="shared" si="0"/>
        <v>2029</v>
      </c>
      <c r="W2" s="5">
        <f t="shared" si="0"/>
        <v>2030</v>
      </c>
      <c r="X2" s="5">
        <f t="shared" si="0"/>
        <v>2031</v>
      </c>
      <c r="Y2" s="5">
        <f t="shared" si="0"/>
        <v>2032</v>
      </c>
      <c r="Z2" s="5">
        <f t="shared" ref="Z2" si="1">+Y2+1</f>
        <v>2033</v>
      </c>
      <c r="AA2" s="5">
        <f>+Z2+1</f>
        <v>2034</v>
      </c>
      <c r="AB2" s="5">
        <f t="shared" ref="AB2:CM2" si="2">+AA2+1</f>
        <v>2035</v>
      </c>
      <c r="AC2" s="5">
        <f t="shared" si="2"/>
        <v>2036</v>
      </c>
      <c r="AD2" s="5">
        <f t="shared" si="2"/>
        <v>2037</v>
      </c>
      <c r="AE2" s="5">
        <f t="shared" si="2"/>
        <v>2038</v>
      </c>
      <c r="AF2" s="5">
        <f t="shared" si="2"/>
        <v>2039</v>
      </c>
      <c r="AG2" s="5">
        <f t="shared" si="2"/>
        <v>2040</v>
      </c>
      <c r="AH2" s="5">
        <f t="shared" si="2"/>
        <v>2041</v>
      </c>
      <c r="AI2" s="5">
        <f t="shared" si="2"/>
        <v>2042</v>
      </c>
      <c r="AJ2" s="5">
        <f t="shared" si="2"/>
        <v>2043</v>
      </c>
      <c r="AK2" s="5">
        <f t="shared" si="2"/>
        <v>2044</v>
      </c>
      <c r="AL2" s="5">
        <f t="shared" si="2"/>
        <v>2045</v>
      </c>
      <c r="AM2" s="5">
        <f t="shared" si="2"/>
        <v>2046</v>
      </c>
      <c r="AN2" s="5">
        <f t="shared" si="2"/>
        <v>2047</v>
      </c>
      <c r="AO2" s="5">
        <f t="shared" si="2"/>
        <v>2048</v>
      </c>
      <c r="AP2" s="5">
        <f t="shared" si="2"/>
        <v>2049</v>
      </c>
      <c r="AQ2" s="5">
        <f t="shared" si="2"/>
        <v>2050</v>
      </c>
      <c r="AR2" s="5">
        <f t="shared" si="2"/>
        <v>2051</v>
      </c>
      <c r="AS2" s="5">
        <f t="shared" si="2"/>
        <v>2052</v>
      </c>
      <c r="AT2" s="5">
        <f t="shared" si="2"/>
        <v>2053</v>
      </c>
      <c r="AU2" s="5">
        <f t="shared" si="2"/>
        <v>2054</v>
      </c>
      <c r="AV2" s="5">
        <f t="shared" si="2"/>
        <v>2055</v>
      </c>
      <c r="AW2" s="5">
        <f t="shared" si="2"/>
        <v>2056</v>
      </c>
      <c r="AX2" s="5">
        <f t="shared" si="2"/>
        <v>2057</v>
      </c>
      <c r="AY2" s="5">
        <f t="shared" si="2"/>
        <v>2058</v>
      </c>
      <c r="AZ2" s="5">
        <f t="shared" si="2"/>
        <v>2059</v>
      </c>
      <c r="BA2" s="5">
        <f t="shared" si="2"/>
        <v>2060</v>
      </c>
      <c r="BB2" s="5">
        <f t="shared" si="2"/>
        <v>2061</v>
      </c>
      <c r="BC2" s="5">
        <f t="shared" si="2"/>
        <v>2062</v>
      </c>
      <c r="BD2" s="5">
        <f t="shared" si="2"/>
        <v>2063</v>
      </c>
      <c r="BE2" s="5">
        <f t="shared" si="2"/>
        <v>2064</v>
      </c>
      <c r="BF2" s="5">
        <f t="shared" si="2"/>
        <v>2065</v>
      </c>
      <c r="BG2" s="5">
        <f t="shared" si="2"/>
        <v>2066</v>
      </c>
      <c r="BH2" s="5">
        <f t="shared" si="2"/>
        <v>2067</v>
      </c>
      <c r="BI2" s="5">
        <f t="shared" si="2"/>
        <v>2068</v>
      </c>
      <c r="BJ2" s="5">
        <f t="shared" si="2"/>
        <v>2069</v>
      </c>
      <c r="BK2" s="5">
        <f t="shared" si="2"/>
        <v>2070</v>
      </c>
      <c r="BL2" s="5">
        <f t="shared" si="2"/>
        <v>2071</v>
      </c>
      <c r="BM2" s="5">
        <f t="shared" si="2"/>
        <v>2072</v>
      </c>
      <c r="BN2" s="5">
        <f t="shared" si="2"/>
        <v>2073</v>
      </c>
      <c r="BO2" s="5">
        <f t="shared" si="2"/>
        <v>2074</v>
      </c>
      <c r="BP2" s="5">
        <f t="shared" si="2"/>
        <v>2075</v>
      </c>
      <c r="BQ2" s="5">
        <f t="shared" si="2"/>
        <v>2076</v>
      </c>
      <c r="BR2" s="5">
        <f t="shared" si="2"/>
        <v>2077</v>
      </c>
      <c r="BS2" s="5">
        <f t="shared" si="2"/>
        <v>2078</v>
      </c>
      <c r="BT2" s="5">
        <f t="shared" si="2"/>
        <v>2079</v>
      </c>
      <c r="BU2" s="5">
        <f t="shared" si="2"/>
        <v>2080</v>
      </c>
      <c r="BV2" s="5">
        <f t="shared" si="2"/>
        <v>2081</v>
      </c>
      <c r="BW2" s="5">
        <f t="shared" si="2"/>
        <v>2082</v>
      </c>
      <c r="BX2" s="5">
        <f t="shared" si="2"/>
        <v>2083</v>
      </c>
      <c r="BY2" s="5">
        <f t="shared" si="2"/>
        <v>2084</v>
      </c>
      <c r="BZ2" s="5">
        <f t="shared" si="2"/>
        <v>2085</v>
      </c>
      <c r="CA2" s="5">
        <f t="shared" si="2"/>
        <v>2086</v>
      </c>
      <c r="CB2" s="5">
        <f t="shared" si="2"/>
        <v>2087</v>
      </c>
      <c r="CC2" s="5">
        <f t="shared" si="2"/>
        <v>2088</v>
      </c>
      <c r="CD2" s="5">
        <f t="shared" si="2"/>
        <v>2089</v>
      </c>
      <c r="CE2" s="5">
        <f t="shared" si="2"/>
        <v>2090</v>
      </c>
      <c r="CF2" s="5">
        <f t="shared" si="2"/>
        <v>2091</v>
      </c>
      <c r="CG2" s="5">
        <f t="shared" si="2"/>
        <v>2092</v>
      </c>
      <c r="CH2" s="5">
        <f t="shared" si="2"/>
        <v>2093</v>
      </c>
      <c r="CI2" s="5">
        <f t="shared" si="2"/>
        <v>2094</v>
      </c>
      <c r="CJ2" s="5">
        <f t="shared" si="2"/>
        <v>2095</v>
      </c>
      <c r="CK2" s="5">
        <f t="shared" si="2"/>
        <v>2096</v>
      </c>
      <c r="CL2" s="5">
        <f t="shared" si="2"/>
        <v>2097</v>
      </c>
      <c r="CM2" s="5">
        <f t="shared" si="2"/>
        <v>2098</v>
      </c>
      <c r="CN2" s="5">
        <f t="shared" ref="CN2:EY2" si="3">+CM2+1</f>
        <v>2099</v>
      </c>
      <c r="CO2" s="5">
        <f t="shared" si="3"/>
        <v>2100</v>
      </c>
      <c r="CP2" s="5">
        <f t="shared" si="3"/>
        <v>2101</v>
      </c>
      <c r="CQ2" s="5">
        <f t="shared" si="3"/>
        <v>2102</v>
      </c>
      <c r="CR2" s="5">
        <f t="shared" si="3"/>
        <v>2103</v>
      </c>
      <c r="CS2" s="5">
        <f t="shared" si="3"/>
        <v>2104</v>
      </c>
      <c r="CT2" s="5">
        <f t="shared" si="3"/>
        <v>2105</v>
      </c>
      <c r="CU2" s="5">
        <f t="shared" si="3"/>
        <v>2106</v>
      </c>
      <c r="CV2" s="5">
        <f t="shared" si="3"/>
        <v>2107</v>
      </c>
      <c r="CW2" s="5">
        <f t="shared" si="3"/>
        <v>2108</v>
      </c>
      <c r="CX2" s="5">
        <f t="shared" si="3"/>
        <v>2109</v>
      </c>
      <c r="CY2" s="5">
        <f t="shared" si="3"/>
        <v>2110</v>
      </c>
      <c r="CZ2" s="5">
        <f t="shared" si="3"/>
        <v>2111</v>
      </c>
      <c r="DA2" s="5">
        <f t="shared" si="3"/>
        <v>2112</v>
      </c>
      <c r="DB2" s="5">
        <f t="shared" si="3"/>
        <v>2113</v>
      </c>
      <c r="DC2" s="5">
        <f t="shared" si="3"/>
        <v>2114</v>
      </c>
      <c r="DD2" s="5">
        <f t="shared" si="3"/>
        <v>2115</v>
      </c>
      <c r="DE2" s="5">
        <f t="shared" si="3"/>
        <v>2116</v>
      </c>
      <c r="DF2" s="5">
        <f t="shared" si="3"/>
        <v>2117</v>
      </c>
      <c r="DG2" s="5">
        <f t="shared" si="3"/>
        <v>2118</v>
      </c>
      <c r="DH2" s="5">
        <f t="shared" si="3"/>
        <v>2119</v>
      </c>
      <c r="DI2" s="5">
        <f t="shared" si="3"/>
        <v>2120</v>
      </c>
      <c r="DJ2" s="5">
        <f t="shared" si="3"/>
        <v>2121</v>
      </c>
      <c r="DK2" s="5">
        <f t="shared" si="3"/>
        <v>2122</v>
      </c>
      <c r="DL2" s="5">
        <f t="shared" si="3"/>
        <v>2123</v>
      </c>
      <c r="DM2" s="5">
        <f t="shared" si="3"/>
        <v>2124</v>
      </c>
      <c r="DN2" s="5">
        <f t="shared" si="3"/>
        <v>2125</v>
      </c>
      <c r="DO2" s="5">
        <f t="shared" si="3"/>
        <v>2126</v>
      </c>
      <c r="DP2" s="5">
        <f t="shared" si="3"/>
        <v>2127</v>
      </c>
      <c r="DQ2" s="5">
        <f t="shared" si="3"/>
        <v>2128</v>
      </c>
      <c r="DR2" s="5">
        <f t="shared" si="3"/>
        <v>2129</v>
      </c>
      <c r="DS2" s="5">
        <f t="shared" si="3"/>
        <v>2130</v>
      </c>
      <c r="DT2" s="5">
        <f t="shared" si="3"/>
        <v>2131</v>
      </c>
      <c r="DU2" s="5">
        <f t="shared" si="3"/>
        <v>2132</v>
      </c>
      <c r="DV2" s="5">
        <f t="shared" si="3"/>
        <v>2133</v>
      </c>
      <c r="DW2" s="5">
        <f t="shared" si="3"/>
        <v>2134</v>
      </c>
      <c r="DX2" s="5">
        <f t="shared" si="3"/>
        <v>2135</v>
      </c>
      <c r="DY2" s="5">
        <f t="shared" si="3"/>
        <v>2136</v>
      </c>
      <c r="DZ2" s="5">
        <f t="shared" si="3"/>
        <v>2137</v>
      </c>
      <c r="EA2" s="5">
        <f t="shared" si="3"/>
        <v>2138</v>
      </c>
      <c r="EB2" s="5">
        <f t="shared" si="3"/>
        <v>2139</v>
      </c>
      <c r="EC2" s="5">
        <f t="shared" si="3"/>
        <v>2140</v>
      </c>
      <c r="ED2" s="5">
        <f t="shared" si="3"/>
        <v>2141</v>
      </c>
      <c r="EE2" s="5">
        <f t="shared" si="3"/>
        <v>2142</v>
      </c>
      <c r="EF2" s="5">
        <f t="shared" si="3"/>
        <v>2143</v>
      </c>
      <c r="EG2" s="5">
        <f t="shared" si="3"/>
        <v>2144</v>
      </c>
      <c r="EH2" s="5">
        <f t="shared" si="3"/>
        <v>2145</v>
      </c>
      <c r="EI2" s="5">
        <f t="shared" si="3"/>
        <v>2146</v>
      </c>
      <c r="EJ2" s="5">
        <f t="shared" si="3"/>
        <v>2147</v>
      </c>
      <c r="EK2" s="5">
        <f t="shared" si="3"/>
        <v>2148</v>
      </c>
      <c r="EL2" s="5">
        <f t="shared" si="3"/>
        <v>2149</v>
      </c>
      <c r="EM2" s="5">
        <f t="shared" si="3"/>
        <v>2150</v>
      </c>
      <c r="EN2" s="5">
        <f t="shared" si="3"/>
        <v>2151</v>
      </c>
      <c r="EO2" s="5">
        <f t="shared" si="3"/>
        <v>2152</v>
      </c>
      <c r="EP2" s="5">
        <f t="shared" si="3"/>
        <v>2153</v>
      </c>
      <c r="EQ2" s="5">
        <f t="shared" si="3"/>
        <v>2154</v>
      </c>
      <c r="ER2" s="5">
        <f t="shared" si="3"/>
        <v>2155</v>
      </c>
      <c r="ES2" s="5">
        <f t="shared" si="3"/>
        <v>2156</v>
      </c>
      <c r="ET2" s="5">
        <f t="shared" si="3"/>
        <v>2157</v>
      </c>
      <c r="EU2" s="5">
        <f t="shared" si="3"/>
        <v>2158</v>
      </c>
      <c r="EV2" s="5">
        <f t="shared" si="3"/>
        <v>2159</v>
      </c>
      <c r="EW2" s="5">
        <f t="shared" si="3"/>
        <v>2160</v>
      </c>
      <c r="EX2" s="5">
        <f t="shared" si="3"/>
        <v>2161</v>
      </c>
      <c r="EY2" s="5">
        <f t="shared" si="3"/>
        <v>2162</v>
      </c>
      <c r="EZ2" s="5">
        <f t="shared" ref="EZ2:HK2" si="4">+EY2+1</f>
        <v>2163</v>
      </c>
      <c r="FA2" s="5">
        <f t="shared" si="4"/>
        <v>2164</v>
      </c>
      <c r="FB2" s="5">
        <f t="shared" si="4"/>
        <v>2165</v>
      </c>
      <c r="FC2" s="5">
        <f t="shared" si="4"/>
        <v>2166</v>
      </c>
      <c r="FD2" s="5">
        <f t="shared" si="4"/>
        <v>2167</v>
      </c>
      <c r="FE2" s="5">
        <f t="shared" si="4"/>
        <v>2168</v>
      </c>
      <c r="FF2" s="5">
        <f t="shared" si="4"/>
        <v>2169</v>
      </c>
      <c r="FG2" s="5">
        <f t="shared" si="4"/>
        <v>2170</v>
      </c>
      <c r="FH2" s="5">
        <f t="shared" si="4"/>
        <v>2171</v>
      </c>
      <c r="FI2" s="5">
        <f t="shared" si="4"/>
        <v>2172</v>
      </c>
      <c r="FJ2" s="5">
        <f t="shared" si="4"/>
        <v>2173</v>
      </c>
      <c r="FK2" s="5">
        <f t="shared" si="4"/>
        <v>2174</v>
      </c>
      <c r="FL2" s="5">
        <f t="shared" si="4"/>
        <v>2175</v>
      </c>
      <c r="FM2" s="5">
        <f t="shared" si="4"/>
        <v>2176</v>
      </c>
      <c r="FN2" s="5">
        <f t="shared" si="4"/>
        <v>2177</v>
      </c>
      <c r="FO2" s="5">
        <f t="shared" si="4"/>
        <v>2178</v>
      </c>
      <c r="FP2" s="5">
        <f t="shared" si="4"/>
        <v>2179</v>
      </c>
      <c r="FQ2" s="5">
        <f t="shared" si="4"/>
        <v>2180</v>
      </c>
      <c r="FR2" s="5">
        <f t="shared" si="4"/>
        <v>2181</v>
      </c>
      <c r="FS2" s="5">
        <f t="shared" si="4"/>
        <v>2182</v>
      </c>
      <c r="FT2" s="5">
        <f t="shared" si="4"/>
        <v>2183</v>
      </c>
      <c r="FU2" s="5">
        <f t="shared" si="4"/>
        <v>2184</v>
      </c>
      <c r="FV2" s="5">
        <f t="shared" si="4"/>
        <v>2185</v>
      </c>
      <c r="FW2" s="5">
        <f t="shared" si="4"/>
        <v>2186</v>
      </c>
      <c r="FX2" s="5">
        <f t="shared" si="4"/>
        <v>2187</v>
      </c>
      <c r="FY2" s="5">
        <f t="shared" si="4"/>
        <v>2188</v>
      </c>
      <c r="FZ2" s="5">
        <f t="shared" si="4"/>
        <v>2189</v>
      </c>
      <c r="GA2" s="5">
        <f t="shared" si="4"/>
        <v>2190</v>
      </c>
      <c r="GB2" s="5">
        <f t="shared" si="4"/>
        <v>2191</v>
      </c>
      <c r="GC2" s="5">
        <f t="shared" si="4"/>
        <v>2192</v>
      </c>
      <c r="GD2" s="5">
        <f t="shared" si="4"/>
        <v>2193</v>
      </c>
      <c r="GE2" s="5">
        <f t="shared" si="4"/>
        <v>2194</v>
      </c>
      <c r="GF2" s="5">
        <f t="shared" si="4"/>
        <v>2195</v>
      </c>
      <c r="GG2" s="5">
        <f t="shared" si="4"/>
        <v>2196</v>
      </c>
      <c r="GH2" s="5">
        <f t="shared" si="4"/>
        <v>2197</v>
      </c>
      <c r="GI2" s="5">
        <f t="shared" si="4"/>
        <v>2198</v>
      </c>
      <c r="GJ2" s="5">
        <f t="shared" si="4"/>
        <v>2199</v>
      </c>
      <c r="GK2" s="5">
        <f t="shared" si="4"/>
        <v>2200</v>
      </c>
      <c r="GL2" s="5">
        <f t="shared" si="4"/>
        <v>2201</v>
      </c>
      <c r="GM2" s="5">
        <f t="shared" si="4"/>
        <v>2202</v>
      </c>
      <c r="GN2" s="5">
        <f t="shared" si="4"/>
        <v>2203</v>
      </c>
      <c r="GO2" s="5">
        <f t="shared" si="4"/>
        <v>2204</v>
      </c>
      <c r="GP2" s="5">
        <f t="shared" si="4"/>
        <v>2205</v>
      </c>
      <c r="GQ2" s="5">
        <f t="shared" si="4"/>
        <v>2206</v>
      </c>
      <c r="GR2" s="5">
        <f t="shared" si="4"/>
        <v>2207</v>
      </c>
      <c r="GS2" s="5">
        <f t="shared" si="4"/>
        <v>2208</v>
      </c>
      <c r="GT2" s="5">
        <f t="shared" si="4"/>
        <v>2209</v>
      </c>
      <c r="GU2" s="5">
        <f t="shared" si="4"/>
        <v>2210</v>
      </c>
      <c r="GV2" s="5">
        <f t="shared" si="4"/>
        <v>2211</v>
      </c>
      <c r="GW2" s="5">
        <f t="shared" si="4"/>
        <v>2212</v>
      </c>
      <c r="GX2" s="5">
        <f t="shared" si="4"/>
        <v>2213</v>
      </c>
      <c r="GY2" s="5">
        <f t="shared" si="4"/>
        <v>2214</v>
      </c>
      <c r="GZ2" s="5">
        <f t="shared" si="4"/>
        <v>2215</v>
      </c>
      <c r="HA2" s="5">
        <f t="shared" si="4"/>
        <v>2216</v>
      </c>
      <c r="HB2" s="5">
        <f t="shared" si="4"/>
        <v>2217</v>
      </c>
      <c r="HC2" s="5">
        <f t="shared" si="4"/>
        <v>2218</v>
      </c>
      <c r="HD2" s="5">
        <f t="shared" si="4"/>
        <v>2219</v>
      </c>
      <c r="HE2" s="5">
        <f t="shared" si="4"/>
        <v>2220</v>
      </c>
      <c r="HF2" s="5">
        <f t="shared" si="4"/>
        <v>2221</v>
      </c>
      <c r="HG2" s="5">
        <f t="shared" si="4"/>
        <v>2222</v>
      </c>
      <c r="HH2" s="5">
        <f t="shared" si="4"/>
        <v>2223</v>
      </c>
      <c r="HI2" s="5">
        <f t="shared" si="4"/>
        <v>2224</v>
      </c>
      <c r="HJ2" s="5">
        <f t="shared" si="4"/>
        <v>2225</v>
      </c>
      <c r="HK2" s="5">
        <f t="shared" si="4"/>
        <v>2226</v>
      </c>
      <c r="HL2" s="5">
        <f t="shared" ref="HL2:HR2" si="5">+HK2+1</f>
        <v>2227</v>
      </c>
      <c r="HM2" s="5">
        <f t="shared" si="5"/>
        <v>2228</v>
      </c>
      <c r="HN2" s="5">
        <f t="shared" si="5"/>
        <v>2229</v>
      </c>
      <c r="HO2" s="5">
        <f t="shared" si="5"/>
        <v>2230</v>
      </c>
      <c r="HP2" s="5">
        <f t="shared" si="5"/>
        <v>2231</v>
      </c>
      <c r="HQ2" s="5">
        <f t="shared" si="5"/>
        <v>2232</v>
      </c>
      <c r="HR2" s="5">
        <f t="shared" si="5"/>
        <v>2233</v>
      </c>
    </row>
    <row r="3" spans="1:226">
      <c r="B3" s="1" t="s">
        <v>28</v>
      </c>
      <c r="C3" s="1">
        <v>101609</v>
      </c>
      <c r="D3" s="1">
        <v>80744</v>
      </c>
      <c r="E3" s="1">
        <v>78696</v>
      </c>
      <c r="F3" s="1">
        <f>+P3-SUM(C3:E3)</f>
        <v>56622</v>
      </c>
      <c r="G3" s="1">
        <v>80744</v>
      </c>
      <c r="H3" s="1">
        <v>78696</v>
      </c>
      <c r="I3" s="1">
        <v>94993</v>
      </c>
      <c r="J3" s="1">
        <f>+G3*1.1</f>
        <v>88818.400000000009</v>
      </c>
      <c r="N3" s="1">
        <v>348529</v>
      </c>
      <c r="O3" s="1">
        <v>330346</v>
      </c>
      <c r="P3" s="1">
        <v>317671</v>
      </c>
      <c r="Q3" s="1">
        <f>SUM(G3:J3)</f>
        <v>343251.4</v>
      </c>
      <c r="R3" s="1">
        <f>+Q3*1.1</f>
        <v>377576.54000000004</v>
      </c>
      <c r="S3" s="1">
        <f t="shared" ref="S3:Z3" si="6">+R3*1.1</f>
        <v>415334.19400000008</v>
      </c>
      <c r="T3" s="1">
        <f t="shared" si="6"/>
        <v>456867.61340000015</v>
      </c>
      <c r="U3" s="1">
        <f t="shared" si="6"/>
        <v>502554.37474000017</v>
      </c>
      <c r="V3" s="1">
        <f t="shared" si="6"/>
        <v>552809.81221400027</v>
      </c>
      <c r="W3" s="1">
        <f t="shared" si="6"/>
        <v>608090.79343540035</v>
      </c>
      <c r="X3" s="1">
        <f t="shared" si="6"/>
        <v>668899.87277894048</v>
      </c>
      <c r="Y3" s="1">
        <f t="shared" si="6"/>
        <v>735789.86005683464</v>
      </c>
      <c r="Z3" s="1">
        <f t="shared" si="6"/>
        <v>809368.84606251819</v>
      </c>
    </row>
    <row r="4" spans="1:226">
      <c r="B4" s="1" t="s">
        <v>29</v>
      </c>
      <c r="C4" s="1">
        <v>3050496</v>
      </c>
      <c r="D4" s="1">
        <v>2584760</v>
      </c>
      <c r="E4" s="1">
        <v>2637950</v>
      </c>
      <c r="F4" s="1">
        <f>+P4-SUM(C4:E4)</f>
        <v>1977700</v>
      </c>
      <c r="G4" s="1">
        <v>2584760</v>
      </c>
      <c r="H4" s="1">
        <v>2637950</v>
      </c>
      <c r="I4" s="1">
        <v>3020566</v>
      </c>
      <c r="J4" s="1">
        <f>+G4*1.1</f>
        <v>2843236</v>
      </c>
      <c r="N4" s="1">
        <v>10068112</v>
      </c>
      <c r="O4" s="1">
        <v>9816680</v>
      </c>
      <c r="P4" s="1">
        <v>10250906</v>
      </c>
      <c r="Q4" s="1">
        <f>SUM(G4:J4)</f>
        <v>11086512</v>
      </c>
      <c r="R4" s="1">
        <f>+Q4*1.01</f>
        <v>11197377.119999999</v>
      </c>
      <c r="S4" s="1">
        <f t="shared" ref="S4:Y4" si="7">+R4*1.01</f>
        <v>11309350.891199999</v>
      </c>
      <c r="T4" s="1">
        <f t="shared" si="7"/>
        <v>11422444.400111999</v>
      </c>
      <c r="U4" s="1">
        <f t="shared" si="7"/>
        <v>11536668.844113119</v>
      </c>
      <c r="V4" s="1">
        <f t="shared" si="7"/>
        <v>11652035.53255425</v>
      </c>
      <c r="W4" s="1">
        <f t="shared" si="7"/>
        <v>11768555.887879793</v>
      </c>
      <c r="X4" s="1">
        <f t="shared" si="7"/>
        <v>11886241.446758591</v>
      </c>
      <c r="Y4" s="1">
        <f t="shared" si="7"/>
        <v>12005103.861226177</v>
      </c>
      <c r="Z4" s="1">
        <f t="shared" ref="Z4" si="8">+Y4*1.01</f>
        <v>12125154.899838438</v>
      </c>
    </row>
    <row r="5" spans="1:226">
      <c r="B5" s="1" t="s">
        <v>31</v>
      </c>
      <c r="C5" s="1">
        <v>99540</v>
      </c>
      <c r="D5" s="1">
        <v>81416</v>
      </c>
      <c r="E5" s="1">
        <v>76932</v>
      </c>
      <c r="F5" s="1">
        <f>+P5-SUM(C5:E5)</f>
        <v>57623</v>
      </c>
      <c r="G5" s="1">
        <v>81416</v>
      </c>
      <c r="H5" s="1">
        <v>76932</v>
      </c>
      <c r="I5" s="1">
        <v>96913</v>
      </c>
      <c r="J5" s="1">
        <f>+J3*0.99</f>
        <v>87930.216000000015</v>
      </c>
      <c r="N5" s="1">
        <v>350347</v>
      </c>
      <c r="O5" s="1">
        <v>329968</v>
      </c>
      <c r="P5" s="1">
        <v>315511</v>
      </c>
      <c r="Q5" s="1">
        <f>SUM(G5:J5)</f>
        <v>343191.21600000001</v>
      </c>
      <c r="R5" s="1">
        <f>+R3*0.99</f>
        <v>373800.77460000006</v>
      </c>
      <c r="S5" s="1">
        <f t="shared" ref="S5:Y5" si="9">+S3*0.99</f>
        <v>411180.85206000006</v>
      </c>
      <c r="T5" s="1">
        <f t="shared" si="9"/>
        <v>452298.93726600014</v>
      </c>
      <c r="U5" s="1">
        <f t="shared" si="9"/>
        <v>497528.83099260018</v>
      </c>
      <c r="V5" s="1">
        <f t="shared" si="9"/>
        <v>547281.71409186022</v>
      </c>
      <c r="W5" s="1">
        <f t="shared" si="9"/>
        <v>602009.88550104632</v>
      </c>
      <c r="X5" s="1">
        <f t="shared" si="9"/>
        <v>662210.8740511511</v>
      </c>
      <c r="Y5" s="1">
        <f t="shared" si="9"/>
        <v>728431.96145626635</v>
      </c>
      <c r="Z5" s="1">
        <f t="shared" ref="Z5" si="10">+Z3*0.99</f>
        <v>801275.15760189295</v>
      </c>
    </row>
    <row r="6" spans="1:226">
      <c r="B6" s="1" t="s">
        <v>30</v>
      </c>
      <c r="C6" s="1">
        <v>3000338</v>
      </c>
      <c r="D6" s="1">
        <v>2600435</v>
      </c>
      <c r="E6" s="1">
        <v>2592727</v>
      </c>
      <c r="F6" s="1">
        <f>+P6-SUM(C6:E6)</f>
        <v>1946905</v>
      </c>
      <c r="G6" s="1">
        <v>2600435</v>
      </c>
      <c r="H6" s="1">
        <v>2592727</v>
      </c>
      <c r="I6" s="1">
        <v>3004501</v>
      </c>
      <c r="J6" s="1">
        <f>+J4*0.99</f>
        <v>2814803.64</v>
      </c>
      <c r="N6" s="1">
        <v>10133837</v>
      </c>
      <c r="O6" s="1">
        <v>9771724</v>
      </c>
      <c r="P6" s="1">
        <v>10140405</v>
      </c>
      <c r="Q6" s="1">
        <f>SUM(G6:J6)</f>
        <v>11012466.640000001</v>
      </c>
      <c r="R6" s="1">
        <f>+R4*0.99</f>
        <v>11085403.3488</v>
      </c>
      <c r="S6" s="1">
        <f t="shared" ref="S6:Y6" si="11">+S4*0.99</f>
        <v>11196257.382287998</v>
      </c>
      <c r="T6" s="1">
        <f t="shared" si="11"/>
        <v>11308219.95611088</v>
      </c>
      <c r="U6" s="1">
        <f t="shared" si="11"/>
        <v>11421302.155671988</v>
      </c>
      <c r="V6" s="1">
        <f t="shared" si="11"/>
        <v>11535515.177228708</v>
      </c>
      <c r="W6" s="1">
        <f t="shared" si="11"/>
        <v>11650870.329000995</v>
      </c>
      <c r="X6" s="1">
        <f t="shared" si="11"/>
        <v>11767379.032291004</v>
      </c>
      <c r="Y6" s="1">
        <f t="shared" si="11"/>
        <v>11885052.822613915</v>
      </c>
      <c r="Z6" s="1">
        <f t="shared" ref="Z6" si="12">+Z4*0.99</f>
        <v>12003903.350840054</v>
      </c>
    </row>
    <row r="7" spans="1:226" s="3" customFormat="1">
      <c r="E7" s="3">
        <f>+E6/E4</f>
        <v>0.98285676377490094</v>
      </c>
      <c r="F7" s="3">
        <f>+F6/F4</f>
        <v>0.9844288820346867</v>
      </c>
      <c r="G7" s="3">
        <f>+G6/G4</f>
        <v>1.0060643928256394</v>
      </c>
      <c r="H7" s="3">
        <f>+H6/H4</f>
        <v>0.98285676377490094</v>
      </c>
      <c r="I7" s="3">
        <f>+I6/I4</f>
        <v>0.99468146036206462</v>
      </c>
    </row>
    <row r="8" spans="1:226" s="6" customFormat="1">
      <c r="B8" s="6" t="s">
        <v>32</v>
      </c>
      <c r="C8" s="6">
        <f t="shared" ref="C8:I9" si="13">+C11/C5*1000</f>
        <v>1885.8549326903758</v>
      </c>
      <c r="D8" s="6">
        <f t="shared" si="13"/>
        <v>1490.5546821263633</v>
      </c>
      <c r="E8" s="6">
        <f t="shared" si="13"/>
        <v>2002.8726667706546</v>
      </c>
      <c r="F8" s="6">
        <f t="shared" si="13"/>
        <v>1952.6751470766881</v>
      </c>
      <c r="G8" s="6">
        <f t="shared" si="13"/>
        <v>1864.1176181585929</v>
      </c>
      <c r="H8" s="6">
        <f t="shared" si="13"/>
        <v>2002.8726667706546</v>
      </c>
      <c r="I8" s="6">
        <f t="shared" si="13"/>
        <v>2308.9987927316251</v>
      </c>
      <c r="J8" s="6">
        <f>+I8</f>
        <v>2308.9987927316251</v>
      </c>
      <c r="N8" s="6">
        <f t="shared" ref="N8:Q9" si="14">+N11/N5*1000</f>
        <v>1635.1702740425919</v>
      </c>
      <c r="O8" s="6">
        <f t="shared" si="14"/>
        <v>1744.6449352664501</v>
      </c>
      <c r="P8" s="6">
        <f t="shared" si="14"/>
        <v>2328.62745949382</v>
      </c>
      <c r="Q8" s="6">
        <f t="shared" si="14"/>
        <v>2140.8111400274142</v>
      </c>
      <c r="R8" s="6">
        <f>+Q8*1.1</f>
        <v>2354.892254030156</v>
      </c>
      <c r="S8" s="6">
        <f t="shared" ref="S8" si="15">+R8*1.1</f>
        <v>2590.381479433172</v>
      </c>
      <c r="T8" s="6">
        <v>2600</v>
      </c>
      <c r="U8" s="6">
        <v>2600</v>
      </c>
      <c r="V8" s="6">
        <v>2600</v>
      </c>
      <c r="W8" s="6">
        <v>2600</v>
      </c>
      <c r="X8" s="6">
        <v>2600</v>
      </c>
      <c r="Y8" s="6">
        <v>2600</v>
      </c>
      <c r="Z8" s="6">
        <v>2600</v>
      </c>
    </row>
    <row r="9" spans="1:226" s="6" customFormat="1">
      <c r="B9" s="6" t="s">
        <v>33</v>
      </c>
      <c r="C9" s="6">
        <f t="shared" si="13"/>
        <v>24.787873899540653</v>
      </c>
      <c r="D9" s="6">
        <f t="shared" si="13"/>
        <v>21.488712465414441</v>
      </c>
      <c r="E9" s="6">
        <f t="shared" si="13"/>
        <v>26.204455771857198</v>
      </c>
      <c r="F9" s="6">
        <f t="shared" si="13"/>
        <v>24.313461622421226</v>
      </c>
      <c r="G9" s="6">
        <f t="shared" si="13"/>
        <v>23.569518176766579</v>
      </c>
      <c r="H9" s="6">
        <f t="shared" si="13"/>
        <v>26.204455771857198</v>
      </c>
      <c r="I9" s="6">
        <f t="shared" si="13"/>
        <v>29.856538573293868</v>
      </c>
      <c r="J9" s="6">
        <f>+I9</f>
        <v>29.856538573293868</v>
      </c>
      <c r="N9" s="6">
        <f t="shared" si="14"/>
        <v>20.994910417446029</v>
      </c>
      <c r="O9" s="6">
        <f t="shared" si="14"/>
        <v>25.126477170251636</v>
      </c>
      <c r="P9" s="6">
        <f t="shared" si="14"/>
        <v>29.961839325646046</v>
      </c>
      <c r="Q9" s="6">
        <f t="shared" si="14"/>
        <v>27.589203694239544</v>
      </c>
      <c r="R9" s="6">
        <f>+Q9*1.01</f>
        <v>27.865095731181938</v>
      </c>
      <c r="S9" s="6">
        <f t="shared" ref="S9:Y9" si="16">+R9*1.01</f>
        <v>28.143746688493756</v>
      </c>
      <c r="T9" s="6">
        <f t="shared" si="16"/>
        <v>28.425184155378695</v>
      </c>
      <c r="U9" s="6">
        <f t="shared" si="16"/>
        <v>28.709435996932481</v>
      </c>
      <c r="V9" s="6">
        <f t="shared" si="16"/>
        <v>28.996530356901804</v>
      </c>
      <c r="W9" s="6">
        <f t="shared" si="16"/>
        <v>29.286495660470823</v>
      </c>
      <c r="X9" s="6">
        <f t="shared" si="16"/>
        <v>29.579360617075533</v>
      </c>
      <c r="Y9" s="6">
        <f t="shared" si="16"/>
        <v>29.875154223246287</v>
      </c>
      <c r="Z9" s="6">
        <f t="shared" ref="Z9" si="17">+Y9*1.01</f>
        <v>30.17390576547875</v>
      </c>
    </row>
    <row r="10" spans="1:226" s="5" customFormat="1"/>
    <row r="11" spans="1:226">
      <c r="B11" s="1" t="s">
        <v>15</v>
      </c>
      <c r="C11" s="1">
        <v>187718</v>
      </c>
      <c r="D11" s="1">
        <v>121355</v>
      </c>
      <c r="E11" s="1">
        <v>154085</v>
      </c>
      <c r="F11" s="1">
        <f>+O11-SUM(C11:E11)</f>
        <v>112519</v>
      </c>
      <c r="G11" s="1">
        <v>151769</v>
      </c>
      <c r="H11" s="1">
        <v>154085</v>
      </c>
      <c r="I11" s="1">
        <v>223772</v>
      </c>
      <c r="J11" s="1">
        <f>+J3*J8/1000</f>
        <v>205081.57837235459</v>
      </c>
      <c r="N11" s="1">
        <v>572877</v>
      </c>
      <c r="O11" s="1">
        <v>575677</v>
      </c>
      <c r="P11" s="1">
        <f t="shared" ref="P11:P23" si="18">SUM(G11:J11)</f>
        <v>734707.57837235462</v>
      </c>
      <c r="Q11" s="1">
        <f>SUM(G11:J11)</f>
        <v>734707.57837235462</v>
      </c>
      <c r="R11" s="1">
        <f>+R5*R8/1000</f>
        <v>880260.5486560124</v>
      </c>
      <c r="S11" s="1">
        <f t="shared" ref="S11:Y11" si="19">+S5*S8/1000</f>
        <v>1065115.2638737753</v>
      </c>
      <c r="T11" s="1">
        <f t="shared" si="19"/>
        <v>1175977.2368916003</v>
      </c>
      <c r="U11" s="1">
        <f t="shared" si="19"/>
        <v>1293574.9605807604</v>
      </c>
      <c r="V11" s="1">
        <f t="shared" si="19"/>
        <v>1422932.4566388365</v>
      </c>
      <c r="W11" s="1">
        <f t="shared" si="19"/>
        <v>1565225.7023027204</v>
      </c>
      <c r="X11" s="1">
        <f t="shared" si="19"/>
        <v>1721748.2725329928</v>
      </c>
      <c r="Y11" s="1">
        <f t="shared" si="19"/>
        <v>1893923.0997862925</v>
      </c>
      <c r="Z11" s="1">
        <f t="shared" ref="Z11" si="20">+Z5*Z8/1000</f>
        <v>2083315.4097649218</v>
      </c>
    </row>
    <row r="12" spans="1:226">
      <c r="B12" s="1" t="s">
        <v>14</v>
      </c>
      <c r="C12" s="1">
        <v>74372</v>
      </c>
      <c r="D12" s="1">
        <v>55880</v>
      </c>
      <c r="E12" s="1">
        <v>67941</v>
      </c>
      <c r="F12" s="1">
        <f>+O12-SUM(C12:E12)</f>
        <v>47336</v>
      </c>
      <c r="G12" s="1">
        <v>61291</v>
      </c>
      <c r="H12" s="1">
        <v>67941</v>
      </c>
      <c r="I12" s="1">
        <v>89704</v>
      </c>
      <c r="J12" s="1">
        <f>+J4*J9/1000</f>
        <v>84889.185306977757</v>
      </c>
      <c r="N12" s="1">
        <v>212759</v>
      </c>
      <c r="O12" s="1">
        <v>245529</v>
      </c>
      <c r="P12" s="1">
        <f t="shared" si="18"/>
        <v>303825.18530697777</v>
      </c>
      <c r="Q12" s="1">
        <f t="shared" ref="Q12:Q22" si="21">SUM(G12:J12)</f>
        <v>303825.18530697777</v>
      </c>
      <c r="R12" s="1">
        <f>+R6*R9/1000</f>
        <v>308895.82553307683</v>
      </c>
      <c r="S12" s="1">
        <f t="shared" ref="S12:Y12" si="22">+S6*S9/1000</f>
        <v>315104.63162629161</v>
      </c>
      <c r="T12" s="1">
        <f t="shared" si="22"/>
        <v>321438.23472198017</v>
      </c>
      <c r="U12" s="1">
        <f t="shared" si="22"/>
        <v>327899.14323989191</v>
      </c>
      <c r="V12" s="1">
        <f t="shared" si="22"/>
        <v>334489.91601901368</v>
      </c>
      <c r="W12" s="1">
        <f t="shared" si="22"/>
        <v>341213.16333099594</v>
      </c>
      <c r="X12" s="1">
        <f t="shared" si="22"/>
        <v>348071.54791394895</v>
      </c>
      <c r="Y12" s="1">
        <f t="shared" si="22"/>
        <v>355067.78602701932</v>
      </c>
      <c r="Z12" s="1">
        <f t="shared" ref="Z12" si="23">+Z6*Z9/1000</f>
        <v>362204.64852616237</v>
      </c>
    </row>
    <row r="13" spans="1:226">
      <c r="B13" s="1" t="s">
        <v>16</v>
      </c>
      <c r="C13" s="1">
        <f t="shared" ref="C13:H13" si="24">+SUM(C11:C12)</f>
        <v>262090</v>
      </c>
      <c r="D13" s="1">
        <f t="shared" si="24"/>
        <v>177235</v>
      </c>
      <c r="E13" s="1">
        <f t="shared" si="24"/>
        <v>222026</v>
      </c>
      <c r="F13" s="1">
        <f t="shared" si="24"/>
        <v>159855</v>
      </c>
      <c r="G13" s="1">
        <f t="shared" si="24"/>
        <v>213060</v>
      </c>
      <c r="H13" s="1">
        <f t="shared" si="24"/>
        <v>222026</v>
      </c>
      <c r="I13" s="1">
        <f>+SUM(I11:I12)</f>
        <v>313476</v>
      </c>
      <c r="J13" s="1">
        <f>+SUM(J11:J12)</f>
        <v>289970.76367933233</v>
      </c>
      <c r="N13" s="1">
        <f>+SUM(N11:N12)</f>
        <v>785636</v>
      </c>
      <c r="O13" s="1">
        <f>+SUM(O11:O12)</f>
        <v>821206</v>
      </c>
      <c r="P13" s="1">
        <f>SUM(C13:F13)</f>
        <v>821206</v>
      </c>
      <c r="Q13" s="1">
        <f t="shared" si="21"/>
        <v>1038532.7636793323</v>
      </c>
      <c r="R13" s="1">
        <f>+SUM(R11:R12)</f>
        <v>1189156.3741890893</v>
      </c>
      <c r="S13" s="1">
        <f t="shared" ref="S13:Z13" si="25">+SUM(S11:S12)</f>
        <v>1380219.8955000669</v>
      </c>
      <c r="T13" s="1">
        <f t="shared" si="25"/>
        <v>1497415.4716135804</v>
      </c>
      <c r="U13" s="1">
        <f t="shared" si="25"/>
        <v>1621474.1038206522</v>
      </c>
      <c r="V13" s="1">
        <f t="shared" si="25"/>
        <v>1757422.3726578502</v>
      </c>
      <c r="W13" s="1">
        <f t="shared" si="25"/>
        <v>1906438.8656337163</v>
      </c>
      <c r="X13" s="1">
        <f t="shared" si="25"/>
        <v>2069819.8204469418</v>
      </c>
      <c r="Y13" s="1">
        <f t="shared" si="25"/>
        <v>2248990.8858133117</v>
      </c>
      <c r="Z13" s="1">
        <f t="shared" si="25"/>
        <v>2445520.0582910841</v>
      </c>
    </row>
    <row r="14" spans="1:226">
      <c r="B14" s="1" t="s">
        <v>3</v>
      </c>
      <c r="C14" s="1">
        <v>156056</v>
      </c>
      <c r="D14" s="1">
        <v>139637</v>
      </c>
      <c r="E14" s="1">
        <v>147903</v>
      </c>
      <c r="F14" s="1">
        <f t="shared" ref="F14:F23" si="26">+O14-SUM(C14:E14)</f>
        <v>189300</v>
      </c>
      <c r="G14" s="1">
        <v>145997</v>
      </c>
      <c r="H14" s="1">
        <v>144717</v>
      </c>
      <c r="I14" s="1">
        <v>156742</v>
      </c>
      <c r="J14" s="1">
        <f>+J$13*(I14/I$13)</f>
        <v>144989.0819093835</v>
      </c>
      <c r="N14" s="1">
        <v>606530</v>
      </c>
      <c r="O14" s="1">
        <v>632896</v>
      </c>
      <c r="P14" s="1">
        <f t="shared" ref="P14:P23" si="27">SUM(C14:F14)</f>
        <v>632896</v>
      </c>
      <c r="Q14" s="1">
        <f t="shared" si="21"/>
        <v>592445.08190938353</v>
      </c>
      <c r="R14" s="1">
        <f>+R$13*(Q14/Q$13)</f>
        <v>678370.36071309925</v>
      </c>
      <c r="S14" s="1">
        <f t="shared" ref="S14:Y14" si="28">+S$13*(R14/R$13)</f>
        <v>787365.13438971341</v>
      </c>
      <c r="T14" s="1">
        <f t="shared" si="28"/>
        <v>854220.93819122575</v>
      </c>
      <c r="U14" s="1">
        <f t="shared" si="28"/>
        <v>924991.86530102149</v>
      </c>
      <c r="V14" s="1">
        <f t="shared" si="28"/>
        <v>1002545.3966709394</v>
      </c>
      <c r="W14" s="1">
        <f t="shared" si="28"/>
        <v>1087553.8735091295</v>
      </c>
      <c r="X14" s="1">
        <f t="shared" si="28"/>
        <v>1180756.7521682777</v>
      </c>
      <c r="Y14" s="1">
        <f t="shared" si="28"/>
        <v>1282967.3132686361</v>
      </c>
      <c r="Z14" s="1">
        <f t="shared" ref="Z14" si="29">+Z$13*(Y14/Y$13)</f>
        <v>1395080.0416852895</v>
      </c>
    </row>
    <row r="15" spans="1:226">
      <c r="B15" s="1" t="s">
        <v>17</v>
      </c>
      <c r="C15" s="1">
        <v>22708</v>
      </c>
      <c r="D15" s="1">
        <v>19595</v>
      </c>
      <c r="E15" s="1">
        <v>22884</v>
      </c>
      <c r="F15" s="1">
        <f t="shared" si="26"/>
        <v>34635</v>
      </c>
      <c r="G15" s="1">
        <v>27297</v>
      </c>
      <c r="H15" s="1">
        <v>27928</v>
      </c>
      <c r="I15" s="1">
        <v>33216</v>
      </c>
      <c r="J15" s="1">
        <f>+J$13*(I15/I$13)</f>
        <v>30725.378932909385</v>
      </c>
      <c r="N15" s="1">
        <v>111626</v>
      </c>
      <c r="O15" s="1">
        <v>99822</v>
      </c>
      <c r="P15" s="1">
        <f t="shared" si="27"/>
        <v>99822</v>
      </c>
      <c r="Q15" s="1">
        <f t="shared" si="21"/>
        <v>119166.37893290939</v>
      </c>
      <c r="R15" s="1">
        <f>+R$13*(Q15/Q$13)</f>
        <v>136449.67597850057</v>
      </c>
      <c r="S15" s="1">
        <f t="shared" ref="S15:Y15" si="30">+S$13*(R15/R$13)</f>
        <v>158373.2481344101</v>
      </c>
      <c r="T15" s="1">
        <f t="shared" si="30"/>
        <v>171820.84740217452</v>
      </c>
      <c r="U15" s="1">
        <f t="shared" si="30"/>
        <v>186055.94762482969</v>
      </c>
      <c r="V15" s="1">
        <f t="shared" si="30"/>
        <v>201655.32348094738</v>
      </c>
      <c r="W15" s="1">
        <f t="shared" si="30"/>
        <v>218754.21192265896</v>
      </c>
      <c r="X15" s="1">
        <f t="shared" si="30"/>
        <v>237501.34966602336</v>
      </c>
      <c r="Y15" s="1">
        <f t="shared" si="30"/>
        <v>258060.32268640128</v>
      </c>
      <c r="Z15" s="1">
        <f t="shared" ref="Z15" si="31">+Z$13*(Y15/Y$13)</f>
        <v>280611.05065369786</v>
      </c>
    </row>
    <row r="16" spans="1:226">
      <c r="B16" s="1" t="s">
        <v>18</v>
      </c>
      <c r="C16" s="1">
        <v>12083</v>
      </c>
      <c r="D16" s="1">
        <v>9789</v>
      </c>
      <c r="E16" s="1">
        <v>9512</v>
      </c>
      <c r="F16" s="1">
        <f t="shared" si="26"/>
        <v>10221</v>
      </c>
      <c r="G16" s="1">
        <v>14404</v>
      </c>
      <c r="H16" s="1">
        <v>11241</v>
      </c>
      <c r="I16" s="1">
        <v>10966</v>
      </c>
      <c r="J16" s="1">
        <f>+J$13*(I16/I$13)</f>
        <v>10143.741130126577</v>
      </c>
      <c r="N16" s="1">
        <v>39460</v>
      </c>
      <c r="O16" s="1">
        <v>41605</v>
      </c>
      <c r="P16" s="1">
        <f t="shared" si="27"/>
        <v>41605</v>
      </c>
      <c r="Q16" s="1">
        <f t="shared" si="21"/>
        <v>46754.741130126575</v>
      </c>
      <c r="R16" s="1">
        <f>+R$13*(Q16/Q$13)</f>
        <v>53535.81551098566</v>
      </c>
      <c r="S16" s="1">
        <f t="shared" ref="S16:Y16" si="32">+S$13*(R16/R$13)</f>
        <v>62137.494524613256</v>
      </c>
      <c r="T16" s="1">
        <f t="shared" si="32"/>
        <v>67413.638922186889</v>
      </c>
      <c r="U16" s="1">
        <f t="shared" si="32"/>
        <v>72998.758079381048</v>
      </c>
      <c r="V16" s="1">
        <f t="shared" si="32"/>
        <v>79119.148633120625</v>
      </c>
      <c r="W16" s="1">
        <f t="shared" si="32"/>
        <v>85827.870588624792</v>
      </c>
      <c r="X16" s="1">
        <f t="shared" si="32"/>
        <v>93183.280562232423</v>
      </c>
      <c r="Y16" s="1">
        <f t="shared" si="32"/>
        <v>101249.56125378719</v>
      </c>
      <c r="Z16" s="1">
        <f t="shared" ref="Z16" si="33">+Z$13*(Y16/Y$13)</f>
        <v>110097.3038624676</v>
      </c>
    </row>
    <row r="17" spans="2:226">
      <c r="B17" s="1" t="s">
        <v>19</v>
      </c>
      <c r="C17" s="1">
        <v>4650</v>
      </c>
      <c r="D17" s="1">
        <v>2920</v>
      </c>
      <c r="E17" s="1">
        <v>12437</v>
      </c>
      <c r="F17" s="1">
        <f t="shared" si="26"/>
        <v>10955</v>
      </c>
      <c r="G17" s="1">
        <v>10491</v>
      </c>
      <c r="H17" s="1">
        <v>12874</v>
      </c>
      <c r="I17" s="1">
        <v>19567</v>
      </c>
      <c r="J17" s="1">
        <f>+J$13*(I17/I$13)</f>
        <v>18099.81603986747</v>
      </c>
      <c r="N17" s="1">
        <v>26624</v>
      </c>
      <c r="O17" s="1">
        <v>30962</v>
      </c>
      <c r="P17" s="1">
        <f t="shared" si="27"/>
        <v>30962</v>
      </c>
      <c r="Q17" s="1">
        <f t="shared" si="21"/>
        <v>61031.816039867466</v>
      </c>
      <c r="R17" s="1">
        <f>+R$13*(Q17/Q$13)</f>
        <v>69883.566133262313</v>
      </c>
      <c r="S17" s="1">
        <f t="shared" ref="S17:Y17" si="34">+S$13*(R17/R$13)</f>
        <v>81111.862526404744</v>
      </c>
      <c r="T17" s="1">
        <f t="shared" si="34"/>
        <v>87999.135698900209</v>
      </c>
      <c r="U17" s="1">
        <f t="shared" si="34"/>
        <v>95289.732475255209</v>
      </c>
      <c r="V17" s="1">
        <f t="shared" si="34"/>
        <v>103279.05166169566</v>
      </c>
      <c r="W17" s="1">
        <f t="shared" si="34"/>
        <v>112036.35572015235</v>
      </c>
      <c r="X17" s="1">
        <f t="shared" si="34"/>
        <v>121637.8211021897</v>
      </c>
      <c r="Y17" s="1">
        <f t="shared" si="34"/>
        <v>132167.22940161222</v>
      </c>
      <c r="Z17" s="1">
        <f t="shared" ref="Z17" si="35">+Z$13*(Y17/Y$13)</f>
        <v>143716.72761737998</v>
      </c>
    </row>
    <row r="18" spans="2:226">
      <c r="B18" s="1" t="s">
        <v>20</v>
      </c>
      <c r="C18" s="1">
        <v>10890</v>
      </c>
      <c r="D18" s="1">
        <v>10360</v>
      </c>
      <c r="E18" s="1">
        <v>8699</v>
      </c>
      <c r="F18" s="1">
        <f t="shared" si="26"/>
        <v>24687</v>
      </c>
      <c r="G18" s="1">
        <v>18228</v>
      </c>
      <c r="H18" s="1">
        <v>8590</v>
      </c>
      <c r="I18" s="1">
        <v>8583</v>
      </c>
      <c r="J18" s="1">
        <f>+J$13*(I18/I$13)</f>
        <v>7939.4245960128037</v>
      </c>
      <c r="N18" s="1">
        <v>40647</v>
      </c>
      <c r="O18" s="1">
        <v>54636</v>
      </c>
      <c r="P18" s="1">
        <f t="shared" si="27"/>
        <v>54636</v>
      </c>
      <c r="Q18" s="1">
        <f t="shared" si="21"/>
        <v>43340.424596012803</v>
      </c>
      <c r="R18" s="1">
        <f>+R$13*(Q18/Q$13)</f>
        <v>49626.303541756883</v>
      </c>
      <c r="S18" s="1">
        <f t="shared" ref="S18:Y18" si="36">+S$13*(R18/R$13)</f>
        <v>57599.835459122529</v>
      </c>
      <c r="T18" s="1">
        <f t="shared" si="36"/>
        <v>62490.683593310372</v>
      </c>
      <c r="U18" s="1">
        <f t="shared" si="36"/>
        <v>67667.943264547153</v>
      </c>
      <c r="V18" s="1">
        <f t="shared" si="36"/>
        <v>73341.385548276914</v>
      </c>
      <c r="W18" s="1">
        <f t="shared" si="36"/>
        <v>79560.195684320905</v>
      </c>
      <c r="X18" s="1">
        <f t="shared" si="36"/>
        <v>86378.468732751731</v>
      </c>
      <c r="Y18" s="1">
        <f t="shared" si="36"/>
        <v>93855.700380973605</v>
      </c>
      <c r="Z18" s="1">
        <f t="shared" ref="Z18" si="37">+Z$13*(Y18/Y$13)</f>
        <v>102057.3268279941</v>
      </c>
    </row>
    <row r="19" spans="2:226">
      <c r="B19" s="1" t="s">
        <v>21</v>
      </c>
      <c r="C19" s="1">
        <f>+C13-SUM(C14:C18)</f>
        <v>55703</v>
      </c>
      <c r="D19" s="1">
        <f>+D13-SUM(D14:D18)</f>
        <v>-5066</v>
      </c>
      <c r="E19" s="1">
        <f>+E13-SUM(E14:E18)</f>
        <v>20591</v>
      </c>
      <c r="F19" s="1">
        <f t="shared" si="26"/>
        <v>-109943</v>
      </c>
      <c r="G19" s="1">
        <f>+G13-SUM(G14:G18)</f>
        <v>-3357</v>
      </c>
      <c r="H19" s="1">
        <f>+H13-SUM(H14:H18)</f>
        <v>16676</v>
      </c>
      <c r="I19" s="1">
        <f>+I13-SUM(I14:I18)</f>
        <v>84402</v>
      </c>
      <c r="J19" s="1">
        <f>+J13-SUM(J14:J18)</f>
        <v>78073.321071032609</v>
      </c>
      <c r="N19" s="1">
        <f>+N13-SUM(N14:N18)</f>
        <v>-39251</v>
      </c>
      <c r="O19" s="1">
        <f>+O13-SUM(O14:O18)</f>
        <v>-38715</v>
      </c>
      <c r="P19" s="1">
        <f t="shared" si="27"/>
        <v>-38715</v>
      </c>
      <c r="Q19" s="1">
        <f t="shared" si="21"/>
        <v>175794.32107103261</v>
      </c>
      <c r="R19" s="1">
        <f>+R13-SUM(R14:R18)</f>
        <v>201290.65231148456</v>
      </c>
      <c r="S19" s="1">
        <f t="shared" ref="S19:Z19" si="38">+S13-SUM(S14:S18)</f>
        <v>233632.32046580291</v>
      </c>
      <c r="T19" s="1">
        <f t="shared" si="38"/>
        <v>253470.22780578258</v>
      </c>
      <c r="U19" s="1">
        <f t="shared" si="38"/>
        <v>274469.85707561765</v>
      </c>
      <c r="V19" s="1">
        <f t="shared" si="38"/>
        <v>297482.06666287035</v>
      </c>
      <c r="W19" s="1">
        <f t="shared" si="38"/>
        <v>322706.35820882954</v>
      </c>
      <c r="X19" s="1">
        <f t="shared" si="38"/>
        <v>350362.14821546688</v>
      </c>
      <c r="Y19" s="1">
        <f t="shared" si="38"/>
        <v>380690.7588219014</v>
      </c>
      <c r="Z19" s="1">
        <f t="shared" si="38"/>
        <v>413957.60764425504</v>
      </c>
    </row>
    <row r="20" spans="2:226">
      <c r="B20" s="1" t="s">
        <v>22</v>
      </c>
      <c r="C20" s="1">
        <v>2211</v>
      </c>
      <c r="D20" s="1">
        <v>-17480</v>
      </c>
      <c r="E20" s="1">
        <f>+-8160</f>
        <v>-8160</v>
      </c>
      <c r="F20" s="1">
        <f t="shared" si="26"/>
        <v>-6312</v>
      </c>
      <c r="G20" s="1">
        <v>-9736</v>
      </c>
      <c r="H20" s="1">
        <v>-8061</v>
      </c>
      <c r="I20" s="1">
        <v>-9846</v>
      </c>
      <c r="J20" s="1">
        <f>+J$13*(I20/I$13)</f>
        <v>-9107.7216092673971</v>
      </c>
      <c r="N20" s="1">
        <v>-24198</v>
      </c>
      <c r="O20" s="1">
        <v>-29741</v>
      </c>
      <c r="P20" s="1">
        <f t="shared" si="27"/>
        <v>-29741</v>
      </c>
      <c r="Q20" s="1">
        <f t="shared" si="21"/>
        <v>-36750.721609267399</v>
      </c>
      <c r="R20" s="1">
        <f>+R19*(Q20/Q19)</f>
        <v>-42080.862911709723</v>
      </c>
      <c r="S20" s="1">
        <f t="shared" ref="S20:Z20" si="39">+S19*(R20/R19)</f>
        <v>-48842.057673162788</v>
      </c>
      <c r="T20" s="1">
        <f t="shared" si="39"/>
        <v>-52989.275885447627</v>
      </c>
      <c r="U20" s="1">
        <f t="shared" si="39"/>
        <v>-57379.358138910713</v>
      </c>
      <c r="V20" s="1">
        <f t="shared" si="39"/>
        <v>-62190.180826484975</v>
      </c>
      <c r="W20" s="1">
        <f t="shared" si="39"/>
        <v>-67463.450808977577</v>
      </c>
      <c r="X20" s="1">
        <f t="shared" si="39"/>
        <v>-73245.038252906481</v>
      </c>
      <c r="Y20" s="1">
        <f t="shared" si="39"/>
        <v>-79585.392812725157</v>
      </c>
      <c r="Z20" s="1">
        <f t="shared" si="39"/>
        <v>-86540.001428289601</v>
      </c>
    </row>
    <row r="21" spans="2:226">
      <c r="B21" s="1" t="s">
        <v>23</v>
      </c>
      <c r="C21" s="1">
        <f>+SUM(C19:C20)</f>
        <v>57914</v>
      </c>
      <c r="D21" s="1">
        <f>+SUM(D19:D20)</f>
        <v>-22546</v>
      </c>
      <c r="E21" s="1">
        <f>+SUM(E19:E20)</f>
        <v>12431</v>
      </c>
      <c r="F21" s="1">
        <f t="shared" si="26"/>
        <v>-116255</v>
      </c>
      <c r="G21" s="1">
        <f>+SUM(G19:G20)</f>
        <v>-13093</v>
      </c>
      <c r="H21" s="1">
        <f>+SUM(H19:H20)</f>
        <v>8615</v>
      </c>
      <c r="I21" s="1">
        <f>+SUM(I19:I20)</f>
        <v>74556</v>
      </c>
      <c r="J21" s="1">
        <f>+SUM(J19:J20)</f>
        <v>68965.599461765218</v>
      </c>
      <c r="N21" s="1">
        <f>+SUM(N19:N20)</f>
        <v>-63449</v>
      </c>
      <c r="O21" s="1">
        <f>+SUM(O19:O20)</f>
        <v>-68456</v>
      </c>
      <c r="P21" s="1">
        <f t="shared" si="27"/>
        <v>-68456</v>
      </c>
      <c r="Q21" s="1">
        <f t="shared" si="21"/>
        <v>139043.5994617652</v>
      </c>
      <c r="R21" s="1">
        <f>+SUM(R19:R20)</f>
        <v>159209.78939977483</v>
      </c>
      <c r="S21" s="1">
        <f t="shared" ref="S21:Z21" si="40">+SUM(S19:S20)</f>
        <v>184790.26279264013</v>
      </c>
      <c r="T21" s="1">
        <f t="shared" si="40"/>
        <v>200480.95192033495</v>
      </c>
      <c r="U21" s="1">
        <f t="shared" si="40"/>
        <v>217090.49893670692</v>
      </c>
      <c r="V21" s="1">
        <f t="shared" si="40"/>
        <v>235291.88583638537</v>
      </c>
      <c r="W21" s="1">
        <f t="shared" si="40"/>
        <v>255242.90739985195</v>
      </c>
      <c r="X21" s="1">
        <f t="shared" si="40"/>
        <v>277117.10996256041</v>
      </c>
      <c r="Y21" s="1">
        <f t="shared" si="40"/>
        <v>301105.36600917624</v>
      </c>
      <c r="Z21" s="1">
        <f t="shared" si="40"/>
        <v>327417.60621596547</v>
      </c>
    </row>
    <row r="22" spans="2:226">
      <c r="B22" s="1" t="s">
        <v>24</v>
      </c>
      <c r="C22" s="1">
        <v>-10708</v>
      </c>
      <c r="D22" s="1">
        <v>-9866</v>
      </c>
      <c r="E22" s="1">
        <v>-15012</v>
      </c>
      <c r="F22" s="1">
        <f t="shared" si="26"/>
        <v>430</v>
      </c>
      <c r="G22" s="1">
        <v>-16024</v>
      </c>
      <c r="H22" s="1">
        <v>-7189</v>
      </c>
      <c r="I22" s="1">
        <v>-25817</v>
      </c>
      <c r="J22" s="1">
        <f>+J$13*(I22/I$13)</f>
        <v>-23881.174973233428</v>
      </c>
      <c r="N22" s="1">
        <v>-14658</v>
      </c>
      <c r="O22" s="1">
        <v>-35156</v>
      </c>
      <c r="P22" s="1">
        <f t="shared" si="27"/>
        <v>-35156</v>
      </c>
      <c r="Q22" s="1">
        <f t="shared" si="21"/>
        <v>-72911.174973233428</v>
      </c>
      <c r="R22" s="1">
        <f>+R21*(Q22/Q21)</f>
        <v>-83485.848016835123</v>
      </c>
      <c r="S22" s="1">
        <f t="shared" ref="S22:Z22" si="41">+S21*(R22/R21)</f>
        <v>-96899.643248439563</v>
      </c>
      <c r="T22" s="1">
        <f t="shared" si="41"/>
        <v>-105127.46951925298</v>
      </c>
      <c r="U22" s="1">
        <f t="shared" si="41"/>
        <v>-113837.12313455553</v>
      </c>
      <c r="V22" s="1">
        <f t="shared" si="41"/>
        <v>-123381.49993532227</v>
      </c>
      <c r="W22" s="1">
        <f t="shared" si="41"/>
        <v>-133843.34377236039</v>
      </c>
      <c r="X22" s="1">
        <f t="shared" si="41"/>
        <v>-145313.65823935714</v>
      </c>
      <c r="Y22" s="1">
        <f t="shared" si="41"/>
        <v>-157892.53235285764</v>
      </c>
      <c r="Z22" s="1">
        <f t="shared" si="41"/>
        <v>-171690.04879432824</v>
      </c>
    </row>
    <row r="23" spans="2:226">
      <c r="B23" s="1" t="s">
        <v>25</v>
      </c>
      <c r="C23" s="1">
        <f>+SUM(C21:C22)</f>
        <v>47206</v>
      </c>
      <c r="D23" s="1">
        <f>+SUM(D21:D22)</f>
        <v>-32412</v>
      </c>
      <c r="E23" s="1">
        <f>+SUM(E21:E22)</f>
        <v>-2581</v>
      </c>
      <c r="F23" s="1">
        <f t="shared" si="26"/>
        <v>-115825</v>
      </c>
      <c r="G23" s="1">
        <f>+SUM(G21:G22)</f>
        <v>-29117</v>
      </c>
      <c r="H23" s="1">
        <f>+SUM(H21:H22)</f>
        <v>1426</v>
      </c>
      <c r="I23" s="1">
        <f>+SUM(I21:I22)</f>
        <v>48739</v>
      </c>
      <c r="J23" s="1">
        <f>+SUM(J21:J22)</f>
        <v>45084.424488531789</v>
      </c>
      <c r="N23" s="1">
        <f>+SUM(N21:N22)</f>
        <v>-78107</v>
      </c>
      <c r="O23" s="1">
        <f>+SUM(O21:O22)</f>
        <v>-103612</v>
      </c>
      <c r="P23" s="1">
        <f t="shared" si="27"/>
        <v>-103612</v>
      </c>
      <c r="Q23" s="1">
        <f>+SUM(Q21:Q22)</f>
        <v>66132.424488531775</v>
      </c>
      <c r="R23" s="1">
        <f>+SUM(R21:R22)</f>
        <v>75723.941382939709</v>
      </c>
      <c r="S23" s="1">
        <f t="shared" ref="S23:Z23" si="42">+SUM(S21:S22)</f>
        <v>87890.61954420057</v>
      </c>
      <c r="T23" s="1">
        <f t="shared" si="42"/>
        <v>95353.482401081972</v>
      </c>
      <c r="U23" s="1">
        <f t="shared" si="42"/>
        <v>103253.37580215139</v>
      </c>
      <c r="V23" s="1">
        <f t="shared" si="42"/>
        <v>111910.3859010631</v>
      </c>
      <c r="W23" s="1">
        <f t="shared" si="42"/>
        <v>121399.56362749156</v>
      </c>
      <c r="X23" s="1">
        <f t="shared" si="42"/>
        <v>131803.45172320327</v>
      </c>
      <c r="Y23" s="1">
        <f t="shared" si="42"/>
        <v>143212.8336563186</v>
      </c>
      <c r="Z23" s="1">
        <f t="shared" si="42"/>
        <v>155727.55742163723</v>
      </c>
      <c r="AA23" s="1">
        <f>+Z23*(1+$AC$31)</f>
        <v>158842.10857006998</v>
      </c>
      <c r="AB23" s="1">
        <f t="shared" ref="AB23:CM23" si="43">+AA23*(1+$AC$31)</f>
        <v>162018.95074147137</v>
      </c>
      <c r="AC23" s="1">
        <f t="shared" si="43"/>
        <v>165259.32975630081</v>
      </c>
      <c r="AD23" s="1">
        <f t="shared" si="43"/>
        <v>168564.51635142684</v>
      </c>
      <c r="AE23" s="1">
        <f t="shared" si="43"/>
        <v>171935.80667845538</v>
      </c>
      <c r="AF23" s="1">
        <f t="shared" si="43"/>
        <v>175374.52281202449</v>
      </c>
      <c r="AG23" s="1">
        <f t="shared" si="43"/>
        <v>178882.01326826497</v>
      </c>
      <c r="AH23" s="1">
        <f t="shared" si="43"/>
        <v>182459.65353363028</v>
      </c>
      <c r="AI23" s="1">
        <f t="shared" si="43"/>
        <v>186108.84660430287</v>
      </c>
      <c r="AJ23" s="1">
        <f t="shared" si="43"/>
        <v>189831.02353638894</v>
      </c>
      <c r="AK23" s="1">
        <f t="shared" si="43"/>
        <v>193627.64400711673</v>
      </c>
      <c r="AL23" s="1">
        <f t="shared" si="43"/>
        <v>197500.19688725908</v>
      </c>
      <c r="AM23" s="1">
        <f t="shared" si="43"/>
        <v>201450.20082500426</v>
      </c>
      <c r="AN23" s="1">
        <f t="shared" si="43"/>
        <v>205479.20484150434</v>
      </c>
      <c r="AO23" s="1">
        <f t="shared" si="43"/>
        <v>209588.78893833442</v>
      </c>
      <c r="AP23" s="1">
        <f t="shared" si="43"/>
        <v>213780.56471710111</v>
      </c>
      <c r="AQ23" s="1">
        <f t="shared" si="43"/>
        <v>218056.17601144314</v>
      </c>
      <c r="AR23" s="1">
        <f t="shared" si="43"/>
        <v>222417.299531672</v>
      </c>
      <c r="AS23" s="1">
        <f t="shared" si="43"/>
        <v>226865.64552230545</v>
      </c>
      <c r="AT23" s="1">
        <f t="shared" si="43"/>
        <v>231402.95843275156</v>
      </c>
      <c r="AU23" s="1">
        <f t="shared" si="43"/>
        <v>236031.01760140661</v>
      </c>
      <c r="AV23" s="1">
        <f t="shared" si="43"/>
        <v>240751.63795343475</v>
      </c>
      <c r="AW23" s="1">
        <f t="shared" si="43"/>
        <v>245566.67071250346</v>
      </c>
      <c r="AX23" s="1">
        <f t="shared" si="43"/>
        <v>250478.00412675354</v>
      </c>
      <c r="AY23" s="1">
        <f t="shared" si="43"/>
        <v>255487.56420928863</v>
      </c>
      <c r="AZ23" s="1">
        <f t="shared" si="43"/>
        <v>260597.31549347439</v>
      </c>
      <c r="BA23" s="1">
        <f t="shared" si="43"/>
        <v>265809.26180334389</v>
      </c>
      <c r="BB23" s="1">
        <f t="shared" si="43"/>
        <v>271125.44703941076</v>
      </c>
      <c r="BC23" s="1">
        <f t="shared" si="43"/>
        <v>276547.95598019898</v>
      </c>
      <c r="BD23" s="1">
        <f t="shared" si="43"/>
        <v>282078.91509980295</v>
      </c>
      <c r="BE23" s="1">
        <f t="shared" si="43"/>
        <v>287720.493401799</v>
      </c>
      <c r="BF23" s="1">
        <f t="shared" si="43"/>
        <v>293474.90326983499</v>
      </c>
      <c r="BG23" s="1">
        <f t="shared" si="43"/>
        <v>299344.40133523167</v>
      </c>
      <c r="BH23" s="1">
        <f t="shared" si="43"/>
        <v>305331.28936193633</v>
      </c>
      <c r="BI23" s="1">
        <f t="shared" si="43"/>
        <v>311437.91514917504</v>
      </c>
      <c r="BJ23" s="1">
        <f t="shared" si="43"/>
        <v>317666.67345215852</v>
      </c>
      <c r="BK23" s="1">
        <f t="shared" si="43"/>
        <v>324020.00692120171</v>
      </c>
      <c r="BL23" s="1">
        <f t="shared" si="43"/>
        <v>330500.40705962572</v>
      </c>
      <c r="BM23" s="1">
        <f t="shared" si="43"/>
        <v>337110.41520081827</v>
      </c>
      <c r="BN23" s="1">
        <f t="shared" si="43"/>
        <v>343852.62350483466</v>
      </c>
      <c r="BO23" s="1">
        <f t="shared" si="43"/>
        <v>350729.67597493134</v>
      </c>
      <c r="BP23" s="1">
        <f t="shared" si="43"/>
        <v>357744.26949442999</v>
      </c>
      <c r="BQ23" s="1">
        <f t="shared" si="43"/>
        <v>364899.15488431859</v>
      </c>
      <c r="BR23" s="1">
        <f t="shared" si="43"/>
        <v>372197.13798200496</v>
      </c>
      <c r="BS23" s="1">
        <f t="shared" si="43"/>
        <v>379641.08074164507</v>
      </c>
      <c r="BT23" s="1">
        <f t="shared" si="43"/>
        <v>387233.90235647798</v>
      </c>
      <c r="BU23" s="1">
        <f t="shared" si="43"/>
        <v>394978.58040360757</v>
      </c>
      <c r="BV23" s="1">
        <f t="shared" si="43"/>
        <v>402878.15201167972</v>
      </c>
      <c r="BW23" s="1">
        <f t="shared" si="43"/>
        <v>410935.71505191334</v>
      </c>
      <c r="BX23" s="1">
        <f t="shared" si="43"/>
        <v>419154.42935295164</v>
      </c>
      <c r="BY23" s="1">
        <f t="shared" si="43"/>
        <v>427537.5179400107</v>
      </c>
      <c r="BZ23" s="1">
        <f t="shared" si="43"/>
        <v>436088.26829881093</v>
      </c>
      <c r="CA23" s="1">
        <f t="shared" si="43"/>
        <v>444810.03366478713</v>
      </c>
      <c r="CB23" s="1">
        <f t="shared" si="43"/>
        <v>453706.2343380829</v>
      </c>
      <c r="CC23" s="1">
        <f t="shared" si="43"/>
        <v>462780.35902484454</v>
      </c>
      <c r="CD23" s="1">
        <f t="shared" si="43"/>
        <v>472035.96620534145</v>
      </c>
      <c r="CE23" s="1">
        <f t="shared" si="43"/>
        <v>481476.68552944827</v>
      </c>
      <c r="CF23" s="1">
        <f t="shared" si="43"/>
        <v>491106.21924003726</v>
      </c>
      <c r="CG23" s="1">
        <f t="shared" si="43"/>
        <v>500928.34362483799</v>
      </c>
      <c r="CH23" s="1">
        <f t="shared" si="43"/>
        <v>510946.91049733473</v>
      </c>
      <c r="CI23" s="1">
        <f t="shared" si="43"/>
        <v>521165.8487072814</v>
      </c>
      <c r="CJ23" s="1">
        <f t="shared" si="43"/>
        <v>531589.165681427</v>
      </c>
      <c r="CK23" s="1">
        <f t="shared" si="43"/>
        <v>542220.94899505551</v>
      </c>
      <c r="CL23" s="1">
        <f t="shared" si="43"/>
        <v>553065.36797495664</v>
      </c>
      <c r="CM23" s="1">
        <f t="shared" si="43"/>
        <v>564126.67533445579</v>
      </c>
      <c r="CN23" s="1">
        <f t="shared" ref="CN23:EY23" si="44">+CM23*(1+$AC$31)</f>
        <v>575409.20884114492</v>
      </c>
      <c r="CO23" s="1">
        <f t="shared" si="44"/>
        <v>586917.39301796781</v>
      </c>
      <c r="CP23" s="1">
        <f t="shared" si="44"/>
        <v>598655.74087832717</v>
      </c>
      <c r="CQ23" s="1">
        <f t="shared" si="44"/>
        <v>610628.85569589376</v>
      </c>
      <c r="CR23" s="1">
        <f t="shared" si="44"/>
        <v>622841.43280981167</v>
      </c>
      <c r="CS23" s="1">
        <f t="shared" si="44"/>
        <v>635298.26146600791</v>
      </c>
      <c r="CT23" s="1">
        <f t="shared" si="44"/>
        <v>648004.22669532814</v>
      </c>
      <c r="CU23" s="1">
        <f t="shared" si="44"/>
        <v>660964.31122923468</v>
      </c>
      <c r="CV23" s="1">
        <f t="shared" si="44"/>
        <v>674183.59745381935</v>
      </c>
      <c r="CW23" s="1">
        <f t="shared" si="44"/>
        <v>687667.2694028957</v>
      </c>
      <c r="CX23" s="1">
        <f t="shared" si="44"/>
        <v>701420.61479095358</v>
      </c>
      <c r="CY23" s="1">
        <f t="shared" si="44"/>
        <v>715449.02708677261</v>
      </c>
      <c r="CZ23" s="1">
        <f t="shared" si="44"/>
        <v>729758.00762850803</v>
      </c>
      <c r="DA23" s="1">
        <f t="shared" si="44"/>
        <v>744353.16778107826</v>
      </c>
      <c r="DB23" s="1">
        <f t="shared" si="44"/>
        <v>759240.23113669979</v>
      </c>
      <c r="DC23" s="1">
        <f t="shared" si="44"/>
        <v>774425.03575943375</v>
      </c>
      <c r="DD23" s="1">
        <f t="shared" si="44"/>
        <v>789913.53647462244</v>
      </c>
      <c r="DE23" s="1">
        <f t="shared" si="44"/>
        <v>805711.80720411486</v>
      </c>
      <c r="DF23" s="1">
        <f t="shared" si="44"/>
        <v>821826.04334819713</v>
      </c>
      <c r="DG23" s="1">
        <f t="shared" si="44"/>
        <v>838262.56421516114</v>
      </c>
      <c r="DH23" s="1">
        <f t="shared" si="44"/>
        <v>855027.8154994644</v>
      </c>
      <c r="DI23" s="1">
        <f t="shared" si="44"/>
        <v>872128.3718094537</v>
      </c>
      <c r="DJ23" s="1">
        <f t="shared" si="44"/>
        <v>889570.93924564274</v>
      </c>
      <c r="DK23" s="1">
        <f t="shared" si="44"/>
        <v>907362.35803055565</v>
      </c>
      <c r="DL23" s="1">
        <f t="shared" si="44"/>
        <v>925509.60519116675</v>
      </c>
      <c r="DM23" s="1">
        <f t="shared" si="44"/>
        <v>944019.79729499004</v>
      </c>
      <c r="DN23" s="1">
        <f t="shared" si="44"/>
        <v>962900.19324088981</v>
      </c>
      <c r="DO23" s="1">
        <f t="shared" si="44"/>
        <v>982158.1971057076</v>
      </c>
      <c r="DP23" s="1">
        <f t="shared" si="44"/>
        <v>1001801.3610478218</v>
      </c>
      <c r="DQ23" s="1">
        <f t="shared" si="44"/>
        <v>1021837.3882687782</v>
      </c>
      <c r="DR23" s="1">
        <f t="shared" si="44"/>
        <v>1042274.1360341538</v>
      </c>
      <c r="DS23" s="1">
        <f t="shared" si="44"/>
        <v>1063119.6187548367</v>
      </c>
      <c r="DT23" s="1">
        <f t="shared" si="44"/>
        <v>1084382.0111299334</v>
      </c>
      <c r="DU23" s="1">
        <f t="shared" si="44"/>
        <v>1106069.6513525322</v>
      </c>
      <c r="DV23" s="1">
        <f t="shared" si="44"/>
        <v>1128191.0443795829</v>
      </c>
      <c r="DW23" s="1">
        <f t="shared" si="44"/>
        <v>1150754.8652671746</v>
      </c>
      <c r="DX23" s="1">
        <f t="shared" si="44"/>
        <v>1173769.962572518</v>
      </c>
      <c r="DY23" s="1">
        <f t="shared" si="44"/>
        <v>1197245.3618239684</v>
      </c>
      <c r="DZ23" s="1">
        <f t="shared" si="44"/>
        <v>1221190.2690604478</v>
      </c>
      <c r="EA23" s="1">
        <f t="shared" si="44"/>
        <v>1245614.0744416567</v>
      </c>
      <c r="EB23" s="1">
        <f t="shared" si="44"/>
        <v>1270526.35593049</v>
      </c>
      <c r="EC23" s="1">
        <f t="shared" si="44"/>
        <v>1295936.8830490997</v>
      </c>
      <c r="ED23" s="1">
        <f t="shared" si="44"/>
        <v>1321855.6207100817</v>
      </c>
      <c r="EE23" s="1">
        <f t="shared" si="44"/>
        <v>1348292.7331242834</v>
      </c>
      <c r="EF23" s="1">
        <f t="shared" si="44"/>
        <v>1375258.587786769</v>
      </c>
      <c r="EG23" s="1">
        <f t="shared" si="44"/>
        <v>1402763.7595425043</v>
      </c>
      <c r="EH23" s="1">
        <f t="shared" si="44"/>
        <v>1430819.0347333543</v>
      </c>
      <c r="EI23" s="1">
        <f t="shared" si="44"/>
        <v>1459435.4154280215</v>
      </c>
      <c r="EJ23" s="1">
        <f t="shared" si="44"/>
        <v>1488624.123736582</v>
      </c>
      <c r="EK23" s="1">
        <f t="shared" si="44"/>
        <v>1518396.6062113137</v>
      </c>
      <c r="EL23" s="1">
        <f t="shared" si="44"/>
        <v>1548764.5383355401</v>
      </c>
      <c r="EM23" s="1">
        <f t="shared" si="44"/>
        <v>1579739.829102251</v>
      </c>
      <c r="EN23" s="1">
        <f t="shared" si="44"/>
        <v>1611334.625684296</v>
      </c>
      <c r="EO23" s="1">
        <f t="shared" si="44"/>
        <v>1643561.3181979819</v>
      </c>
      <c r="EP23" s="1">
        <f t="shared" si="44"/>
        <v>1676432.5445619416</v>
      </c>
      <c r="EQ23" s="1">
        <f t="shared" si="44"/>
        <v>1709961.1954531805</v>
      </c>
      <c r="ER23" s="1">
        <f t="shared" si="44"/>
        <v>1744160.4193622442</v>
      </c>
      <c r="ES23" s="1">
        <f t="shared" si="44"/>
        <v>1779043.6277494892</v>
      </c>
      <c r="ET23" s="1">
        <f t="shared" si="44"/>
        <v>1814624.5003044789</v>
      </c>
      <c r="EU23" s="1">
        <f t="shared" si="44"/>
        <v>1850916.9903105686</v>
      </c>
      <c r="EV23" s="1">
        <f t="shared" si="44"/>
        <v>1887935.33011678</v>
      </c>
      <c r="EW23" s="1">
        <f t="shared" si="44"/>
        <v>1925694.0367191157</v>
      </c>
      <c r="EX23" s="1">
        <f t="shared" si="44"/>
        <v>1964207.9174534981</v>
      </c>
      <c r="EY23" s="1">
        <f t="shared" si="44"/>
        <v>2003492.0758025681</v>
      </c>
      <c r="EZ23" s="1">
        <f t="shared" ref="EZ23:HK23" si="45">+EY23*(1+$AC$31)</f>
        <v>2043561.9173186196</v>
      </c>
      <c r="FA23" s="1">
        <f t="shared" si="45"/>
        <v>2084433.1556649921</v>
      </c>
      <c r="FB23" s="1">
        <f t="shared" si="45"/>
        <v>2126121.8187782918</v>
      </c>
      <c r="FC23" s="1">
        <f t="shared" si="45"/>
        <v>2168644.2551538576</v>
      </c>
      <c r="FD23" s="1">
        <f t="shared" si="45"/>
        <v>2212017.1402569348</v>
      </c>
      <c r="FE23" s="1">
        <f t="shared" si="45"/>
        <v>2256257.4830620736</v>
      </c>
      <c r="FF23" s="1">
        <f t="shared" si="45"/>
        <v>2301382.6327233152</v>
      </c>
      <c r="FG23" s="1">
        <f t="shared" si="45"/>
        <v>2347410.2853777814</v>
      </c>
      <c r="FH23" s="1">
        <f t="shared" si="45"/>
        <v>2394358.491085337</v>
      </c>
      <c r="FI23" s="1">
        <f t="shared" si="45"/>
        <v>2442245.6609070436</v>
      </c>
      <c r="FJ23" s="1">
        <f t="shared" si="45"/>
        <v>2491090.5741251847</v>
      </c>
      <c r="FK23" s="1">
        <f t="shared" si="45"/>
        <v>2540912.3856076882</v>
      </c>
      <c r="FL23" s="1">
        <f t="shared" si="45"/>
        <v>2591730.6333198422</v>
      </c>
      <c r="FM23" s="1">
        <f t="shared" si="45"/>
        <v>2643565.2459862391</v>
      </c>
      <c r="FN23" s="1">
        <f t="shared" si="45"/>
        <v>2696436.5509059639</v>
      </c>
      <c r="FO23" s="1">
        <f t="shared" si="45"/>
        <v>2750365.2819240834</v>
      </c>
      <c r="FP23" s="1">
        <f t="shared" si="45"/>
        <v>2805372.5875625652</v>
      </c>
      <c r="FQ23" s="1">
        <f t="shared" si="45"/>
        <v>2861480.0393138165</v>
      </c>
      <c r="FR23" s="1">
        <f t="shared" si="45"/>
        <v>2918709.6401000926</v>
      </c>
      <c r="FS23" s="1">
        <f t="shared" si="45"/>
        <v>2977083.8329020943</v>
      </c>
      <c r="FT23" s="1">
        <f t="shared" si="45"/>
        <v>3036625.5095601361</v>
      </c>
      <c r="FU23" s="1">
        <f t="shared" si="45"/>
        <v>3097358.0197513388</v>
      </c>
      <c r="FV23" s="1">
        <f t="shared" si="45"/>
        <v>3159305.1801463654</v>
      </c>
      <c r="FW23" s="1">
        <f t="shared" si="45"/>
        <v>3222491.2837492926</v>
      </c>
      <c r="FX23" s="1">
        <f t="shared" si="45"/>
        <v>3286941.1094242786</v>
      </c>
      <c r="FY23" s="1">
        <f t="shared" si="45"/>
        <v>3352679.931612764</v>
      </c>
      <c r="FZ23" s="1">
        <f t="shared" si="45"/>
        <v>3419733.5302450196</v>
      </c>
      <c r="GA23" s="1">
        <f t="shared" si="45"/>
        <v>3488128.20084992</v>
      </c>
      <c r="GB23" s="1">
        <f t="shared" si="45"/>
        <v>3557890.7648669183</v>
      </c>
      <c r="GC23" s="1">
        <f t="shared" si="45"/>
        <v>3629048.580164257</v>
      </c>
      <c r="GD23" s="1">
        <f t="shared" si="45"/>
        <v>3701629.551767542</v>
      </c>
      <c r="GE23" s="1">
        <f t="shared" si="45"/>
        <v>3775662.1428028927</v>
      </c>
      <c r="GF23" s="1">
        <f t="shared" si="45"/>
        <v>3851175.3856589505</v>
      </c>
      <c r="GG23" s="1">
        <f t="shared" si="45"/>
        <v>3928198.8933721296</v>
      </c>
      <c r="GH23" s="1">
        <f t="shared" si="45"/>
        <v>4006762.8712395723</v>
      </c>
      <c r="GI23" s="1">
        <f t="shared" si="45"/>
        <v>4086898.1286643636</v>
      </c>
      <c r="GJ23" s="1">
        <f t="shared" si="45"/>
        <v>4168636.0912376512</v>
      </c>
      <c r="GK23" s="1">
        <f t="shared" si="45"/>
        <v>4252008.8130624043</v>
      </c>
      <c r="GL23" s="1">
        <f t="shared" si="45"/>
        <v>4337048.9893236523</v>
      </c>
      <c r="GM23" s="1">
        <f t="shared" si="45"/>
        <v>4423789.9691101257</v>
      </c>
      <c r="GN23" s="1">
        <f t="shared" si="45"/>
        <v>4512265.768492328</v>
      </c>
      <c r="GO23" s="1">
        <f t="shared" si="45"/>
        <v>4602511.0838621743</v>
      </c>
      <c r="GP23" s="1">
        <f t="shared" si="45"/>
        <v>4694561.305539418</v>
      </c>
      <c r="GQ23" s="1">
        <f t="shared" si="45"/>
        <v>4788452.5316502061</v>
      </c>
      <c r="GR23" s="1">
        <f t="shared" si="45"/>
        <v>4884221.58228321</v>
      </c>
      <c r="GS23" s="1">
        <f t="shared" si="45"/>
        <v>4981906.0139288744</v>
      </c>
      <c r="GT23" s="1">
        <f t="shared" si="45"/>
        <v>5081544.1342074517</v>
      </c>
      <c r="GU23" s="1">
        <f t="shared" si="45"/>
        <v>5183175.0168916006</v>
      </c>
      <c r="GV23" s="1">
        <f t="shared" si="45"/>
        <v>5286838.5172294322</v>
      </c>
      <c r="GW23" s="1">
        <f t="shared" si="45"/>
        <v>5392575.2875740211</v>
      </c>
      <c r="GX23" s="1">
        <f t="shared" si="45"/>
        <v>5500426.7933255015</v>
      </c>
      <c r="GY23" s="1">
        <f t="shared" si="45"/>
        <v>5610435.3291920116</v>
      </c>
      <c r="GZ23" s="1">
        <f t="shared" si="45"/>
        <v>5722644.0357758524</v>
      </c>
      <c r="HA23" s="1">
        <f t="shared" si="45"/>
        <v>5837096.9164913697</v>
      </c>
      <c r="HB23" s="1">
        <f t="shared" si="45"/>
        <v>5953838.8548211968</v>
      </c>
      <c r="HC23" s="1">
        <f t="shared" si="45"/>
        <v>6072915.631917621</v>
      </c>
      <c r="HD23" s="1">
        <f t="shared" si="45"/>
        <v>6194373.9445559736</v>
      </c>
      <c r="HE23" s="1">
        <f t="shared" si="45"/>
        <v>6318261.423447093</v>
      </c>
      <c r="HF23" s="1">
        <f t="shared" si="45"/>
        <v>6444626.6519160345</v>
      </c>
      <c r="HG23" s="1">
        <f t="shared" si="45"/>
        <v>6573519.1849543555</v>
      </c>
      <c r="HH23" s="1">
        <f t="shared" si="45"/>
        <v>6704989.5686534429</v>
      </c>
      <c r="HI23" s="1">
        <f t="shared" si="45"/>
        <v>6839089.3600265123</v>
      </c>
      <c r="HJ23" s="1">
        <f t="shared" si="45"/>
        <v>6975871.1472270424</v>
      </c>
      <c r="HK23" s="1">
        <f t="shared" si="45"/>
        <v>7115388.5701715834</v>
      </c>
      <c r="HL23" s="1">
        <f t="shared" ref="HL23:HR23" si="46">+HK23*(1+$AC$31)</f>
        <v>7257696.3415750153</v>
      </c>
      <c r="HM23" s="1">
        <f t="shared" si="46"/>
        <v>7402850.2684065159</v>
      </c>
      <c r="HN23" s="1">
        <f t="shared" si="46"/>
        <v>7550907.2737746462</v>
      </c>
      <c r="HO23" s="1">
        <f t="shared" si="46"/>
        <v>7701925.419250139</v>
      </c>
      <c r="HP23" s="1">
        <f t="shared" si="46"/>
        <v>7855963.9276351416</v>
      </c>
      <c r="HQ23" s="1">
        <f t="shared" si="46"/>
        <v>8013083.2061878443</v>
      </c>
      <c r="HR23" s="1">
        <f t="shared" si="46"/>
        <v>8173344.8703116011</v>
      </c>
    </row>
    <row r="25" spans="2:226" s="7" customFormat="1">
      <c r="B25" s="7" t="s">
        <v>26</v>
      </c>
      <c r="N25" s="7" t="e">
        <f>+N3/M3-1</f>
        <v>#DIV/0!</v>
      </c>
      <c r="O25" s="7">
        <f>+O3/N3-1</f>
        <v>-5.2170694547655994E-2</v>
      </c>
      <c r="P25" s="7">
        <f>+P3/O3-1</f>
        <v>-3.8368861738904081E-2</v>
      </c>
      <c r="Q25" s="7">
        <f>+Q3/P3-1</f>
        <v>8.052481970340386E-2</v>
      </c>
      <c r="R25" s="7">
        <f>+R3/Q3-1</f>
        <v>0.10000000000000009</v>
      </c>
      <c r="S25" s="7">
        <f t="shared" ref="S25:Y25" si="47">+S3/R3-1</f>
        <v>0.10000000000000009</v>
      </c>
      <c r="T25" s="7">
        <f t="shared" si="47"/>
        <v>0.10000000000000009</v>
      </c>
      <c r="U25" s="7">
        <f t="shared" si="47"/>
        <v>0.10000000000000009</v>
      </c>
      <c r="V25" s="7">
        <f t="shared" si="47"/>
        <v>0.10000000000000009</v>
      </c>
      <c r="W25" s="7">
        <f t="shared" si="47"/>
        <v>0.10000000000000009</v>
      </c>
      <c r="X25" s="7">
        <f t="shared" si="47"/>
        <v>0.10000000000000009</v>
      </c>
      <c r="Y25" s="7">
        <f t="shared" si="47"/>
        <v>0.10000000000000009</v>
      </c>
      <c r="Z25" s="7">
        <f t="shared" ref="Z25" si="48">+Z3/Y3-1</f>
        <v>0.10000000000000009</v>
      </c>
    </row>
    <row r="26" spans="2:226" s="4" customFormat="1"/>
    <row r="27" spans="2:226" s="4" customFormat="1"/>
    <row r="28" spans="2:226" s="4" customFormat="1"/>
    <row r="29" spans="2:226" s="3" customFormat="1">
      <c r="B29" s="1" t="s">
        <v>15</v>
      </c>
      <c r="G29" s="3">
        <f t="shared" ref="G29:J31" si="49">+G11/C11-1</f>
        <v>-0.1915053431210646</v>
      </c>
      <c r="H29" s="3">
        <f t="shared" si="49"/>
        <v>0.269704585719583</v>
      </c>
      <c r="I29" s="3">
        <f t="shared" si="49"/>
        <v>0.45226336113184273</v>
      </c>
      <c r="J29" s="3">
        <f t="shared" si="49"/>
        <v>0.82263953974310633</v>
      </c>
      <c r="O29" s="3">
        <f t="shared" ref="O29:P31" si="50">+O11/N11-1</f>
        <v>4.8876111276940915E-3</v>
      </c>
      <c r="P29" s="3">
        <f t="shared" si="50"/>
        <v>0.27624966495509562</v>
      </c>
      <c r="Q29" s="3">
        <f t="shared" ref="Q29:Y29" si="51">+Q11/P11-1</f>
        <v>0</v>
      </c>
      <c r="R29" s="3">
        <f t="shared" si="51"/>
        <v>0.19811007068432684</v>
      </c>
      <c r="S29" s="3">
        <f t="shared" si="51"/>
        <v>0.21000000000000019</v>
      </c>
      <c r="T29" s="3">
        <f t="shared" si="51"/>
        <v>0.10408448435395168</v>
      </c>
      <c r="U29" s="3">
        <f t="shared" si="51"/>
        <v>0.10000000000000009</v>
      </c>
      <c r="V29" s="3">
        <f t="shared" si="51"/>
        <v>0.10000000000000009</v>
      </c>
      <c r="W29" s="3">
        <f t="shared" si="51"/>
        <v>0.10000000000000009</v>
      </c>
      <c r="X29" s="3">
        <f t="shared" si="51"/>
        <v>0.10000000000000031</v>
      </c>
      <c r="Y29" s="3">
        <f t="shared" si="51"/>
        <v>0.10000000000000031</v>
      </c>
      <c r="Z29" s="3">
        <f t="shared" ref="Z29" si="52">+Z11/Y11-1</f>
        <v>0.10000000000000009</v>
      </c>
    </row>
    <row r="30" spans="2:226" s="3" customFormat="1">
      <c r="B30" s="1" t="s">
        <v>14</v>
      </c>
      <c r="G30" s="3">
        <f t="shared" si="49"/>
        <v>-0.17588608616145862</v>
      </c>
      <c r="H30" s="3">
        <f t="shared" si="49"/>
        <v>0.21583750894774512</v>
      </c>
      <c r="I30" s="3">
        <f t="shared" si="49"/>
        <v>0.32032204412652154</v>
      </c>
      <c r="J30" s="3">
        <f t="shared" si="49"/>
        <v>0.79333245958631404</v>
      </c>
      <c r="O30" s="3">
        <f t="shared" si="50"/>
        <v>0.15402403658599639</v>
      </c>
      <c r="P30" s="3">
        <f t="shared" si="50"/>
        <v>0.23743095645311874</v>
      </c>
      <c r="Q30" s="3">
        <f t="shared" ref="Q30:Y31" si="53">+Q12/P12-1</f>
        <v>0</v>
      </c>
      <c r="R30" s="3">
        <f t="shared" si="53"/>
        <v>1.6689334759973251E-2</v>
      </c>
      <c r="S30" s="3">
        <f t="shared" si="53"/>
        <v>2.0099999999999785E-2</v>
      </c>
      <c r="T30" s="3">
        <f t="shared" si="53"/>
        <v>2.0100000000000229E-2</v>
      </c>
      <c r="U30" s="3">
        <f t="shared" si="53"/>
        <v>2.0099999999999785E-2</v>
      </c>
      <c r="V30" s="3">
        <f t="shared" si="53"/>
        <v>2.0099999999999785E-2</v>
      </c>
      <c r="W30" s="3">
        <f t="shared" si="53"/>
        <v>2.0100000000000229E-2</v>
      </c>
      <c r="X30" s="3">
        <f t="shared" si="53"/>
        <v>2.0100000000000007E-2</v>
      </c>
      <c r="Y30" s="3">
        <f t="shared" si="53"/>
        <v>2.0100000000000007E-2</v>
      </c>
      <c r="Z30" s="3">
        <f t="shared" ref="Z30:Z31" si="54">+Z12/Y12-1</f>
        <v>2.0100000000000007E-2</v>
      </c>
    </row>
    <row r="31" spans="2:226" s="3" customFormat="1">
      <c r="B31" s="1" t="s">
        <v>16</v>
      </c>
      <c r="G31" s="3">
        <f t="shared" si="49"/>
        <v>-0.18707314281353737</v>
      </c>
      <c r="H31" s="3">
        <f t="shared" si="49"/>
        <v>0.25272096369227293</v>
      </c>
      <c r="I31" s="3">
        <f t="shared" si="49"/>
        <v>0.41188869772008685</v>
      </c>
      <c r="J31" s="3">
        <f t="shared" si="49"/>
        <v>0.81396117531095258</v>
      </c>
      <c r="O31" s="3">
        <f t="shared" si="50"/>
        <v>4.5275420169136771E-2</v>
      </c>
      <c r="P31" s="3">
        <f t="shared" si="50"/>
        <v>0</v>
      </c>
      <c r="Q31" s="3">
        <f t="shared" ref="Q31:Y31" si="55">+Q13/P13-1</f>
        <v>0.26464341916563239</v>
      </c>
      <c r="R31" s="3">
        <f t="shared" si="53"/>
        <v>0.14503501071658542</v>
      </c>
      <c r="S31" s="3">
        <f t="shared" si="53"/>
        <v>0.16067148564987321</v>
      </c>
      <c r="T31" s="3">
        <f t="shared" si="53"/>
        <v>8.4910800442455914E-2</v>
      </c>
      <c r="U31" s="3">
        <f t="shared" si="53"/>
        <v>8.2848504345550245E-2</v>
      </c>
      <c r="V31" s="3">
        <f t="shared" si="53"/>
        <v>8.3842392867616855E-2</v>
      </c>
      <c r="W31" s="3">
        <f t="shared" si="53"/>
        <v>8.4792645919546494E-2</v>
      </c>
      <c r="X31" s="3">
        <f t="shared" si="53"/>
        <v>8.5699551010210984E-2</v>
      </c>
      <c r="Y31" s="3">
        <f t="shared" si="53"/>
        <v>8.6563605003879607E-2</v>
      </c>
      <c r="Z31" s="3">
        <f t="shared" si="54"/>
        <v>8.7385490851689562E-2</v>
      </c>
      <c r="AB31" s="3" t="s">
        <v>34</v>
      </c>
      <c r="AC31" s="8">
        <v>0.02</v>
      </c>
    </row>
    <row r="32" spans="2:226">
      <c r="AB32" s="1" t="s">
        <v>35</v>
      </c>
      <c r="AC32" s="8">
        <v>7.0000000000000007E-2</v>
      </c>
    </row>
    <row r="33" spans="28:29">
      <c r="AB33" s="1" t="s">
        <v>36</v>
      </c>
      <c r="AC33" s="1">
        <f>NPV(AC32,Q23:HR23)</f>
        <v>2344832.2513376549</v>
      </c>
    </row>
    <row r="34" spans="28:29">
      <c r="AB34" s="1" t="s">
        <v>37</v>
      </c>
      <c r="AC34" s="1">
        <f>+Main!F7-Main!F8</f>
        <v>-528.26700000000005</v>
      </c>
    </row>
    <row r="35" spans="28:29">
      <c r="AB35" s="1" t="s">
        <v>38</v>
      </c>
      <c r="AC35" s="1">
        <f>+SUM(AC33:AC34)</f>
        <v>2344303.9843376549</v>
      </c>
    </row>
    <row r="36" spans="28:29">
      <c r="AB36" s="1" t="s">
        <v>1</v>
      </c>
      <c r="AC36" s="1">
        <f>+Main!F5*1000</f>
        <v>399240.58799999999</v>
      </c>
    </row>
    <row r="37" spans="28:29">
      <c r="AB37" s="1" t="s">
        <v>39</v>
      </c>
      <c r="AC37" s="2">
        <f>+AC35/AC36</f>
        <v>5.8719079542525243</v>
      </c>
    </row>
    <row r="38" spans="28:29">
      <c r="AB38" s="1" t="s">
        <v>40</v>
      </c>
      <c r="AC38" s="1">
        <f>+Main!F4</f>
        <v>6.05</v>
      </c>
    </row>
    <row r="39" spans="28:29">
      <c r="AC39" s="3">
        <f>+AC37/AC38-1</f>
        <v>-2.9436701776442198E-2</v>
      </c>
    </row>
  </sheetData>
  <pageMargins left="0.7" right="0.7" top="0.75" bottom="0.75" header="0.3" footer="0.3"/>
  <ignoredErrors>
    <ignoredError sqref="F29:K32 F13:K25 Q20:Y20 P24:Y24 Q22:Y22 Q21 R21:Z21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CEC72-FE02-AD49-8DA6-987E8F7AF693}">
  <dimension ref="B2:XFD60"/>
  <sheetViews>
    <sheetView zoomScale="172" workbookViewId="0">
      <pane xSplit="2" ySplit="2" topLeftCell="C19" activePane="bottomRight" state="frozen"/>
      <selection pane="topRight" activeCell="C1" sqref="C1"/>
      <selection pane="bottomLeft" activeCell="A3" sqref="A3"/>
      <selection pane="bottomRight" activeCell="H42" sqref="H42"/>
    </sheetView>
  </sheetViews>
  <sheetFormatPr baseColWidth="10" defaultRowHeight="13"/>
  <cols>
    <col min="1" max="1" width="1.1640625" style="1" customWidth="1"/>
    <col min="2" max="2" width="25.33203125" style="1" bestFit="1" customWidth="1"/>
    <col min="3" max="3" width="11.1640625" style="1" bestFit="1" customWidth="1"/>
    <col min="4" max="12" width="9.1640625" style="1" bestFit="1" customWidth="1"/>
    <col min="13" max="13" width="5.1640625" style="1" bestFit="1" customWidth="1"/>
    <col min="14" max="14" width="8.33203125" style="1" bestFit="1" customWidth="1"/>
    <col min="15" max="15" width="9.6640625" style="1" bestFit="1" customWidth="1"/>
    <col min="16" max="21" width="5.1640625" style="1" bestFit="1" customWidth="1"/>
    <col min="22" max="16383" width="10.83203125" style="1"/>
    <col min="16384" max="16384" width="5.6640625" style="1" bestFit="1" customWidth="1"/>
  </cols>
  <sheetData>
    <row r="2" spans="2:22 16384:16384" s="5" customFormat="1">
      <c r="C2" s="5">
        <v>2021</v>
      </c>
      <c r="D2" s="5">
        <f>+C2+1</f>
        <v>2022</v>
      </c>
      <c r="E2" s="5">
        <f t="shared" ref="E2:L2" si="0">+D2+1</f>
        <v>2023</v>
      </c>
      <c r="F2" s="5">
        <f t="shared" si="0"/>
        <v>2024</v>
      </c>
      <c r="G2" s="5">
        <f t="shared" si="0"/>
        <v>2025</v>
      </c>
      <c r="H2" s="5">
        <f t="shared" si="0"/>
        <v>2026</v>
      </c>
      <c r="I2" s="5">
        <f t="shared" si="0"/>
        <v>2027</v>
      </c>
      <c r="J2" s="5">
        <f t="shared" si="0"/>
        <v>2028</v>
      </c>
      <c r="K2" s="5">
        <f t="shared" si="0"/>
        <v>2029</v>
      </c>
      <c r="L2" s="5">
        <f t="shared" si="0"/>
        <v>2030</v>
      </c>
      <c r="M2" s="5">
        <f>+L2+1</f>
        <v>2031</v>
      </c>
      <c r="N2" s="5">
        <f t="shared" ref="N2:V2" si="1">+M2+1</f>
        <v>2032</v>
      </c>
      <c r="O2" s="5">
        <f t="shared" si="1"/>
        <v>2033</v>
      </c>
      <c r="P2" s="5">
        <f t="shared" si="1"/>
        <v>2034</v>
      </c>
      <c r="Q2" s="5">
        <f t="shared" si="1"/>
        <v>2035</v>
      </c>
      <c r="R2" s="5">
        <f t="shared" si="1"/>
        <v>2036</v>
      </c>
      <c r="S2" s="5">
        <f t="shared" si="1"/>
        <v>2037</v>
      </c>
      <c r="T2" s="5">
        <f t="shared" si="1"/>
        <v>2038</v>
      </c>
      <c r="U2" s="5">
        <f t="shared" si="1"/>
        <v>2039</v>
      </c>
      <c r="V2" s="5">
        <f t="shared" si="1"/>
        <v>2040</v>
      </c>
    </row>
    <row r="3" spans="2:22 16384:16384" s="5" customFormat="1"/>
    <row r="4" spans="2:22 16384:16384" s="5" customFormat="1">
      <c r="B4" s="10" t="s">
        <v>51</v>
      </c>
    </row>
    <row r="5" spans="2:22 16384:16384">
      <c r="B5" s="1" t="s">
        <v>53</v>
      </c>
      <c r="C5" s="1">
        <v>109202</v>
      </c>
      <c r="D5" s="1">
        <v>106782</v>
      </c>
      <c r="E5" s="1">
        <v>100605</v>
      </c>
      <c r="F5" s="1">
        <f>86176+28000</f>
        <v>114176</v>
      </c>
      <c r="G5" s="1">
        <f>+F5*1.01</f>
        <v>115317.75999999999</v>
      </c>
      <c r="H5" s="1">
        <f t="shared" ref="H5:L5" si="2">+G5*1.01</f>
        <v>116470.93759999999</v>
      </c>
      <c r="I5" s="1">
        <f t="shared" si="2"/>
        <v>117635.64697599999</v>
      </c>
      <c r="J5" s="1">
        <f t="shared" si="2"/>
        <v>118812.00344575998</v>
      </c>
      <c r="K5" s="1">
        <f t="shared" si="2"/>
        <v>120000.12348021759</v>
      </c>
      <c r="L5" s="1">
        <f t="shared" si="2"/>
        <v>121200.12471501976</v>
      </c>
    </row>
    <row r="6" spans="2:22 16384:16384">
      <c r="B6" s="1" t="s">
        <v>52</v>
      </c>
      <c r="C6" s="1">
        <v>664</v>
      </c>
      <c r="D6" s="1">
        <v>886</v>
      </c>
      <c r="E6" s="1">
        <v>961</v>
      </c>
      <c r="F6" s="1">
        <v>902</v>
      </c>
      <c r="G6" s="1">
        <f>+G5*(F6/F5)</f>
        <v>911.01999999999987</v>
      </c>
      <c r="H6" s="1">
        <f t="shared" ref="H6:L6" si="3">+H5*(G6/G5)</f>
        <v>920.13019999999983</v>
      </c>
      <c r="I6" s="1">
        <f t="shared" si="3"/>
        <v>929.33150199999989</v>
      </c>
      <c r="J6" s="1">
        <f t="shared" si="3"/>
        <v>938.6248170199998</v>
      </c>
      <c r="K6" s="1">
        <f t="shared" si="3"/>
        <v>948.01106519019982</v>
      </c>
      <c r="L6" s="1">
        <f t="shared" si="3"/>
        <v>957.49117584210182</v>
      </c>
    </row>
    <row r="7" spans="2:22 16384:16384">
      <c r="B7" s="1" t="s">
        <v>56</v>
      </c>
      <c r="C7" s="1">
        <v>1798.99</v>
      </c>
      <c r="D7" s="1">
        <v>1801.87</v>
      </c>
      <c r="E7" s="1">
        <v>1943</v>
      </c>
      <c r="F7" s="1">
        <v>2075</v>
      </c>
      <c r="G7" s="1">
        <v>2100</v>
      </c>
      <c r="H7" s="1">
        <v>2200</v>
      </c>
      <c r="I7" s="1">
        <v>2200</v>
      </c>
      <c r="J7" s="1">
        <v>2200</v>
      </c>
      <c r="K7" s="1">
        <v>2200</v>
      </c>
      <c r="L7" s="1">
        <v>2200</v>
      </c>
      <c r="XFD7" s="1">
        <v>2200</v>
      </c>
    </row>
    <row r="8" spans="2:22 16384:16384">
      <c r="B8" s="1" t="s">
        <v>54</v>
      </c>
      <c r="C8" s="1">
        <v>6820589</v>
      </c>
      <c r="D8" s="1">
        <v>6708689</v>
      </c>
      <c r="E8" s="1">
        <v>6591590</v>
      </c>
      <c r="F8" s="1">
        <f>5199839+1700000</f>
        <v>6899839</v>
      </c>
      <c r="G8" s="1">
        <f>AVERAGE(C8:F8)</f>
        <v>6755176.75</v>
      </c>
      <c r="H8" s="1">
        <f t="shared" ref="H8:L8" si="4">AVERAGE(D8:G8)</f>
        <v>6738823.6875</v>
      </c>
      <c r="I8" s="1">
        <f t="shared" si="4"/>
        <v>6746357.359375</v>
      </c>
      <c r="J8" s="1">
        <f t="shared" si="4"/>
        <v>6785049.19921875</v>
      </c>
      <c r="K8" s="1">
        <f t="shared" si="4"/>
        <v>6756351.7490234375</v>
      </c>
      <c r="L8" s="1">
        <f t="shared" si="4"/>
        <v>6756645.4987792969</v>
      </c>
    </row>
    <row r="9" spans="2:22 16384:16384">
      <c r="B9" s="1" t="s">
        <v>55</v>
      </c>
      <c r="C9" s="1">
        <v>11.97</v>
      </c>
      <c r="D9" s="1">
        <v>13.09</v>
      </c>
      <c r="E9" s="1">
        <v>15.17</v>
      </c>
      <c r="F9" s="1">
        <v>13.84</v>
      </c>
      <c r="G9" s="1">
        <f>+G8*(F9/F8)</f>
        <v>13.549830107630045</v>
      </c>
      <c r="H9" s="1">
        <f t="shared" ref="H9:L9" si="5">+H8*(G9/G8)</f>
        <v>13.517028416894943</v>
      </c>
      <c r="I9" s="1">
        <f t="shared" si="5"/>
        <v>13.532139786703718</v>
      </c>
      <c r="J9" s="1">
        <f t="shared" si="5"/>
        <v>13.609749577807177</v>
      </c>
      <c r="K9" s="1">
        <f t="shared" si="5"/>
        <v>13.552186972258971</v>
      </c>
      <c r="L9" s="1">
        <f t="shared" si="5"/>
        <v>13.552776188416201</v>
      </c>
    </row>
    <row r="10" spans="2:22 16384:16384">
      <c r="B10" s="1" t="s">
        <v>56</v>
      </c>
      <c r="C10" s="1">
        <v>25.14</v>
      </c>
      <c r="D10" s="1">
        <v>21.76</v>
      </c>
      <c r="E10" s="1">
        <v>23.4</v>
      </c>
      <c r="F10" s="1">
        <v>26.71</v>
      </c>
      <c r="G10" s="1">
        <f>+F10</f>
        <v>26.71</v>
      </c>
      <c r="H10" s="1">
        <f t="shared" ref="H10:L10" si="6">+G10</f>
        <v>26.71</v>
      </c>
      <c r="I10" s="1">
        <f t="shared" si="6"/>
        <v>26.71</v>
      </c>
      <c r="J10" s="1">
        <f t="shared" si="6"/>
        <v>26.71</v>
      </c>
      <c r="K10" s="1">
        <f t="shared" si="6"/>
        <v>26.71</v>
      </c>
      <c r="L10" s="1">
        <f t="shared" si="6"/>
        <v>26.71</v>
      </c>
    </row>
    <row r="12" spans="2:22 16384:16384">
      <c r="B12" s="1" t="s">
        <v>57</v>
      </c>
      <c r="C12" s="1">
        <f>+(C5*C7)/10^6</f>
        <v>196.45330597999998</v>
      </c>
      <c r="D12" s="1">
        <f>+(D5*D7)/10^6</f>
        <v>192.40728233999997</v>
      </c>
      <c r="E12" s="1">
        <f>+(E5*E7)/10^6</f>
        <v>195.475515</v>
      </c>
      <c r="F12" s="1">
        <f>+(F5*F7)/10^6</f>
        <v>236.9152</v>
      </c>
      <c r="G12" s="1">
        <f t="shared" ref="G12:L12" si="7">+(G5*G7)/10^6</f>
        <v>242.16729599999999</v>
      </c>
      <c r="H12" s="1">
        <f t="shared" si="7"/>
        <v>256.23606271999995</v>
      </c>
      <c r="I12" s="1">
        <f t="shared" si="7"/>
        <v>258.79842334719996</v>
      </c>
      <c r="J12" s="1">
        <f t="shared" si="7"/>
        <v>261.38640758067197</v>
      </c>
      <c r="K12" s="1">
        <f t="shared" si="7"/>
        <v>264.00027165647873</v>
      </c>
      <c r="L12" s="1">
        <f t="shared" si="7"/>
        <v>266.6402743730435</v>
      </c>
    </row>
    <row r="13" spans="2:22 16384:16384">
      <c r="B13" s="1" t="s">
        <v>58</v>
      </c>
      <c r="C13" s="1">
        <f>+(C8*C10)/10^6</f>
        <v>171.46960746000002</v>
      </c>
      <c r="D13" s="1">
        <f>+(D8*D10)/10^6</f>
        <v>145.98107264000001</v>
      </c>
      <c r="E13" s="1">
        <f>+(E8*E10)/10^6</f>
        <v>154.24320599999999</v>
      </c>
      <c r="F13" s="1">
        <f>+(F8*F10)/10^6</f>
        <v>184.29469968999999</v>
      </c>
      <c r="G13" s="1">
        <f t="shared" ref="G13:L13" si="8">+(G8*G10)/10^6</f>
        <v>180.43077099250002</v>
      </c>
      <c r="H13" s="1">
        <f t="shared" si="8"/>
        <v>179.993980693125</v>
      </c>
      <c r="I13" s="1">
        <f t="shared" si="8"/>
        <v>180.19520506890626</v>
      </c>
      <c r="J13" s="1">
        <f t="shared" si="8"/>
        <v>181.22866411113284</v>
      </c>
      <c r="K13" s="1">
        <f t="shared" si="8"/>
        <v>180.46215521641602</v>
      </c>
      <c r="L13" s="1">
        <f t="shared" si="8"/>
        <v>180.47000127239502</v>
      </c>
    </row>
    <row r="14" spans="2:22 16384:16384">
      <c r="B14" s="1" t="s">
        <v>59</v>
      </c>
      <c r="C14" s="1">
        <f>+SUM(C12:C13)</f>
        <v>367.92291344</v>
      </c>
      <c r="D14" s="1">
        <f>+SUM(D12:D13)</f>
        <v>338.38835497999997</v>
      </c>
      <c r="E14" s="1">
        <f>+SUM(E12:E13)</f>
        <v>349.71872099999996</v>
      </c>
      <c r="F14" s="1">
        <f>+SUM(F12:F13)</f>
        <v>421.20989968999999</v>
      </c>
      <c r="G14" s="1">
        <f t="shared" ref="G14:L14" si="9">+SUM(G12:G13)</f>
        <v>422.59806699249998</v>
      </c>
      <c r="H14" s="1">
        <f t="shared" si="9"/>
        <v>436.23004341312492</v>
      </c>
      <c r="I14" s="1">
        <f t="shared" si="9"/>
        <v>438.99362841610622</v>
      </c>
      <c r="J14" s="1">
        <f t="shared" si="9"/>
        <v>442.61507169180481</v>
      </c>
      <c r="K14" s="1">
        <f t="shared" si="9"/>
        <v>444.46242687289475</v>
      </c>
      <c r="L14" s="1">
        <f t="shared" si="9"/>
        <v>447.11027564543849</v>
      </c>
    </row>
    <row r="16" spans="2:22 16384:16384">
      <c r="B16" s="1" t="s">
        <v>62</v>
      </c>
      <c r="C16" s="1">
        <f>+(C6*C5)/10^6</f>
        <v>72.510127999999995</v>
      </c>
      <c r="D16" s="1">
        <f t="shared" ref="D16:L16" si="10">+(D6*D5)/10^6</f>
        <v>94.608851999999999</v>
      </c>
      <c r="E16" s="1">
        <f t="shared" si="10"/>
        <v>96.681404999999998</v>
      </c>
      <c r="F16" s="1">
        <f t="shared" si="10"/>
        <v>102.986752</v>
      </c>
      <c r="G16" s="1">
        <f t="shared" si="10"/>
        <v>105.05678571519998</v>
      </c>
      <c r="H16" s="1">
        <f t="shared" si="10"/>
        <v>107.16842710807549</v>
      </c>
      <c r="I16" s="1">
        <f t="shared" si="10"/>
        <v>109.32251249294782</v>
      </c>
      <c r="J16" s="1">
        <f t="shared" si="10"/>
        <v>111.51989499405605</v>
      </c>
      <c r="K16" s="1">
        <f t="shared" si="10"/>
        <v>113.7614448834366</v>
      </c>
      <c r="L16" s="1">
        <f t="shared" si="10"/>
        <v>116.04804992559366</v>
      </c>
      <c r="XFD16" s="1">
        <f>+XFD6*XFD5</f>
        <v>0</v>
      </c>
    </row>
    <row r="17" spans="2:22">
      <c r="B17" s="1" t="s">
        <v>60</v>
      </c>
      <c r="C17" s="1">
        <f>+(C8*C9)/10^6</f>
        <v>81.642450330000003</v>
      </c>
      <c r="D17" s="1">
        <f t="shared" ref="D17:L17" si="11">+(D8*D9)/10^6</f>
        <v>87.816739010000006</v>
      </c>
      <c r="E17" s="1">
        <f t="shared" si="11"/>
        <v>99.994420300000002</v>
      </c>
      <c r="F17" s="1">
        <f t="shared" si="11"/>
        <v>95.493771760000001</v>
      </c>
      <c r="G17" s="1">
        <f t="shared" si="11"/>
        <v>91.531497309512474</v>
      </c>
      <c r="H17" s="1">
        <f t="shared" si="11"/>
        <v>91.088871280382278</v>
      </c>
      <c r="I17" s="1">
        <f t="shared" si="11"/>
        <v>91.292650838119869</v>
      </c>
      <c r="J17" s="1">
        <f t="shared" si="11"/>
        <v>92.342820474468311</v>
      </c>
      <c r="K17" s="1">
        <f t="shared" si="11"/>
        <v>91.563342153114547</v>
      </c>
      <c r="L17" s="1">
        <f t="shared" si="11"/>
        <v>91.571304229425564</v>
      </c>
    </row>
    <row r="18" spans="2:22">
      <c r="B18" s="1" t="s">
        <v>61</v>
      </c>
      <c r="C18" s="1">
        <f>+SUM(C16:C17)</f>
        <v>154.15257832999998</v>
      </c>
      <c r="D18" s="1">
        <f>+SUM(D16:D17)</f>
        <v>182.42559101000001</v>
      </c>
      <c r="E18" s="1">
        <f>+SUM(E16:E17)</f>
        <v>196.67582529999999</v>
      </c>
      <c r="F18" s="1">
        <f>+SUM(F16:F17)</f>
        <v>198.48052375999998</v>
      </c>
      <c r="G18" s="1">
        <f t="shared" ref="G18:L18" si="12">+SUM(G16:G17)</f>
        <v>196.58828302471244</v>
      </c>
      <c r="H18" s="1">
        <f t="shared" si="12"/>
        <v>198.25729838845777</v>
      </c>
      <c r="I18" s="1">
        <f t="shared" si="12"/>
        <v>200.61516333106769</v>
      </c>
      <c r="J18" s="1">
        <f t="shared" si="12"/>
        <v>203.86271546852436</v>
      </c>
      <c r="K18" s="1">
        <f t="shared" si="12"/>
        <v>205.32478703655113</v>
      </c>
      <c r="L18" s="1">
        <f t="shared" si="12"/>
        <v>207.61935415501921</v>
      </c>
    </row>
    <row r="20" spans="2:22">
      <c r="B20" s="1" t="s">
        <v>63</v>
      </c>
      <c r="C20" s="1">
        <f>+C14-C18</f>
        <v>213.77033511000002</v>
      </c>
      <c r="D20" s="1">
        <f>+D14-D18</f>
        <v>155.96276396999997</v>
      </c>
      <c r="E20" s="1">
        <f>+E14-E18</f>
        <v>153.04289569999997</v>
      </c>
      <c r="F20" s="1">
        <f>+F14-F18</f>
        <v>222.72937593</v>
      </c>
      <c r="G20" s="1">
        <f t="shared" ref="G20:L20" si="13">+G14-G18</f>
        <v>226.00978396778754</v>
      </c>
      <c r="H20" s="1">
        <f t="shared" si="13"/>
        <v>237.97274502466715</v>
      </c>
      <c r="I20" s="1">
        <f t="shared" si="13"/>
        <v>238.37846508503853</v>
      </c>
      <c r="J20" s="1">
        <f t="shared" si="13"/>
        <v>238.75235622328046</v>
      </c>
      <c r="K20" s="1">
        <f t="shared" si="13"/>
        <v>239.13763983634362</v>
      </c>
      <c r="L20" s="1">
        <f t="shared" si="13"/>
        <v>239.49092149041928</v>
      </c>
    </row>
    <row r="23" spans="2:22">
      <c r="N23" s="1" t="s">
        <v>35</v>
      </c>
      <c r="O23" s="8">
        <v>0.08</v>
      </c>
    </row>
    <row r="24" spans="2:22">
      <c r="N24" s="1" t="s">
        <v>64</v>
      </c>
      <c r="O24" s="11">
        <f>NPV(O23,F20:L20)</f>
        <v>1217.0523623977401</v>
      </c>
    </row>
    <row r="26" spans="2:22">
      <c r="B26" s="4" t="s">
        <v>65</v>
      </c>
    </row>
    <row r="27" spans="2:22">
      <c r="B27" s="1" t="s">
        <v>53</v>
      </c>
      <c r="C27" s="1">
        <v>27697</v>
      </c>
      <c r="D27" s="1">
        <v>34370</v>
      </c>
      <c r="E27" s="1">
        <v>38449</v>
      </c>
      <c r="F27" s="1">
        <f>23451+7800</f>
        <v>31251</v>
      </c>
      <c r="G27" s="1">
        <f>+F27*1.01</f>
        <v>31563.510000000002</v>
      </c>
      <c r="H27" s="1">
        <f t="shared" ref="H27:L27" si="14">+G27*1.01</f>
        <v>31879.145100000002</v>
      </c>
      <c r="I27" s="1">
        <f t="shared" si="14"/>
        <v>32197.936551000003</v>
      </c>
      <c r="J27" s="1">
        <f t="shared" si="14"/>
        <v>32519.915916510003</v>
      </c>
      <c r="K27" s="1">
        <f t="shared" si="14"/>
        <v>32845.115075675101</v>
      </c>
      <c r="L27" s="1">
        <f t="shared" si="14"/>
        <v>33173.566226431853</v>
      </c>
      <c r="M27" s="1">
        <f t="shared" ref="M27:V27" si="15">+L27*1.01</f>
        <v>33505.301888696173</v>
      </c>
      <c r="N27" s="1">
        <f t="shared" si="15"/>
        <v>33840.354907583132</v>
      </c>
      <c r="O27" s="1">
        <f t="shared" si="15"/>
        <v>34178.758456658965</v>
      </c>
      <c r="P27" s="1">
        <f t="shared" si="15"/>
        <v>34520.546041225556</v>
      </c>
      <c r="Q27" s="1">
        <f t="shared" si="15"/>
        <v>34865.751501637809</v>
      </c>
      <c r="R27" s="1">
        <f t="shared" si="15"/>
        <v>35214.409016654186</v>
      </c>
      <c r="S27" s="1">
        <f t="shared" si="15"/>
        <v>35566.553106820727</v>
      </c>
      <c r="T27" s="1">
        <f t="shared" si="15"/>
        <v>35922.218637888938</v>
      </c>
      <c r="U27" s="1">
        <f t="shared" si="15"/>
        <v>36281.440824267826</v>
      </c>
      <c r="V27" s="1">
        <f t="shared" si="15"/>
        <v>36644.255232510506</v>
      </c>
    </row>
    <row r="28" spans="2:22">
      <c r="B28" s="1" t="s">
        <v>52</v>
      </c>
      <c r="C28" s="1">
        <v>1801</v>
      </c>
      <c r="D28" s="1">
        <v>2403</v>
      </c>
      <c r="E28" s="1">
        <v>2138</v>
      </c>
      <c r="F28" s="1">
        <v>1797</v>
      </c>
      <c r="G28" s="1">
        <f>+G27*(F28/F27)</f>
        <v>1814.97</v>
      </c>
      <c r="H28" s="1">
        <f t="shared" ref="H28:V28" si="16">+H27*(G28/G27)</f>
        <v>1833.1197</v>
      </c>
      <c r="I28" s="1">
        <f t="shared" si="16"/>
        <v>1851.4508969999999</v>
      </c>
      <c r="J28" s="1">
        <f t="shared" si="16"/>
        <v>1869.9654059700001</v>
      </c>
      <c r="K28" s="1">
        <f t="shared" si="16"/>
        <v>1888.6650600297</v>
      </c>
      <c r="L28" s="1">
        <f t="shared" si="16"/>
        <v>1907.5517106299969</v>
      </c>
      <c r="M28" s="1">
        <f t="shared" si="16"/>
        <v>1926.6272277362971</v>
      </c>
      <c r="N28" s="1">
        <f t="shared" si="16"/>
        <v>1945.8935000136598</v>
      </c>
      <c r="O28" s="1">
        <f t="shared" si="16"/>
        <v>1965.3524350137966</v>
      </c>
      <c r="P28" s="1">
        <f t="shared" si="16"/>
        <v>1985.0059593639346</v>
      </c>
      <c r="Q28" s="1">
        <f t="shared" si="16"/>
        <v>2004.8560189575737</v>
      </c>
      <c r="R28" s="1">
        <f t="shared" si="16"/>
        <v>2024.9045791471494</v>
      </c>
      <c r="S28" s="1">
        <f t="shared" si="16"/>
        <v>2045.1536249386211</v>
      </c>
      <c r="T28" s="1">
        <f t="shared" si="16"/>
        <v>2065.6051611880075</v>
      </c>
      <c r="U28" s="1">
        <f t="shared" si="16"/>
        <v>2086.2612127998877</v>
      </c>
      <c r="V28" s="1">
        <f t="shared" si="16"/>
        <v>2107.1238249278867</v>
      </c>
    </row>
    <row r="29" spans="2:22">
      <c r="B29" s="1" t="s">
        <v>56</v>
      </c>
      <c r="C29" s="1">
        <v>1652</v>
      </c>
      <c r="D29" s="1">
        <v>1736</v>
      </c>
      <c r="E29" s="1">
        <v>1825</v>
      </c>
      <c r="F29" s="1">
        <f>+F7</f>
        <v>2075</v>
      </c>
      <c r="G29" s="1">
        <v>2300</v>
      </c>
      <c r="H29" s="1">
        <f>AVERAGE(D29:G29)</f>
        <v>1984</v>
      </c>
      <c r="I29" s="1">
        <f t="shared" ref="I29:V29" si="17">AVERAGE(E29:H29)</f>
        <v>2046</v>
      </c>
      <c r="J29" s="1">
        <f t="shared" si="17"/>
        <v>2101.25</v>
      </c>
      <c r="K29" s="1">
        <f t="shared" si="17"/>
        <v>2107.8125</v>
      </c>
      <c r="L29" s="1">
        <f t="shared" si="17"/>
        <v>2059.765625</v>
      </c>
      <c r="M29" s="1">
        <f t="shared" si="17"/>
        <v>2078.70703125</v>
      </c>
      <c r="N29" s="1">
        <f t="shared" si="17"/>
        <v>2086.8837890625</v>
      </c>
      <c r="O29" s="1">
        <f t="shared" si="17"/>
        <v>2083.292236328125</v>
      </c>
      <c r="P29" s="1">
        <f t="shared" si="17"/>
        <v>2077.1621704101562</v>
      </c>
      <c r="Q29" s="1">
        <f t="shared" si="17"/>
        <v>2081.5113067626953</v>
      </c>
      <c r="R29" s="1">
        <f t="shared" si="17"/>
        <v>2082.2123756408691</v>
      </c>
      <c r="S29" s="1">
        <f t="shared" si="17"/>
        <v>2081.0445222854614</v>
      </c>
      <c r="T29" s="1">
        <f t="shared" si="17"/>
        <v>2080.4825937747955</v>
      </c>
      <c r="U29" s="1">
        <f t="shared" si="17"/>
        <v>2081.3126996159554</v>
      </c>
      <c r="V29" s="1">
        <f t="shared" si="17"/>
        <v>2081.2630478292704</v>
      </c>
    </row>
    <row r="30" spans="2:22">
      <c r="B30" s="1" t="s">
        <v>54</v>
      </c>
      <c r="C30" s="1">
        <v>3158017</v>
      </c>
      <c r="D30" s="1">
        <v>3061924</v>
      </c>
      <c r="E30" s="1">
        <v>3391530</v>
      </c>
      <c r="F30" s="1">
        <v>2827403</v>
      </c>
      <c r="G30" s="1">
        <f>+F30*1.01</f>
        <v>2855677.03</v>
      </c>
      <c r="H30" s="1">
        <f t="shared" ref="H30:V30" si="18">+G30*1.01</f>
        <v>2884233.8002999998</v>
      </c>
      <c r="I30" s="1">
        <f t="shared" si="18"/>
        <v>2913076.138303</v>
      </c>
      <c r="J30" s="1">
        <f t="shared" si="18"/>
        <v>2942206.8996860301</v>
      </c>
      <c r="K30" s="1">
        <f t="shared" si="18"/>
        <v>2971628.9686828903</v>
      </c>
      <c r="L30" s="1">
        <f t="shared" si="18"/>
        <v>3001345.2583697191</v>
      </c>
      <c r="M30" s="1">
        <f t="shared" si="18"/>
        <v>3031358.7109534163</v>
      </c>
      <c r="N30" s="1">
        <f t="shared" si="18"/>
        <v>3061672.2980629504</v>
      </c>
      <c r="O30" s="1">
        <f t="shared" si="18"/>
        <v>3092289.02104358</v>
      </c>
      <c r="P30" s="1">
        <f t="shared" si="18"/>
        <v>3123211.9112540158</v>
      </c>
      <c r="Q30" s="1">
        <f t="shared" si="18"/>
        <v>3154444.0303665558</v>
      </c>
      <c r="R30" s="1">
        <f t="shared" si="18"/>
        <v>3185988.4706702214</v>
      </c>
      <c r="S30" s="1">
        <f t="shared" si="18"/>
        <v>3217848.3553769235</v>
      </c>
      <c r="T30" s="1">
        <f t="shared" si="18"/>
        <v>3250026.8389306925</v>
      </c>
      <c r="U30" s="1">
        <f t="shared" si="18"/>
        <v>3282527.1073199995</v>
      </c>
      <c r="V30" s="1">
        <f t="shared" si="18"/>
        <v>3315352.3783931993</v>
      </c>
    </row>
    <row r="31" spans="2:22">
      <c r="B31" s="1" t="s">
        <v>55</v>
      </c>
      <c r="C31" s="1">
        <v>25.1</v>
      </c>
      <c r="D31" s="1">
        <v>27.26</v>
      </c>
      <c r="E31" s="1">
        <v>26.67</v>
      </c>
      <c r="F31" s="1">
        <v>21.57</v>
      </c>
      <c r="G31" s="1">
        <f>+G30*(F31/F30)</f>
        <v>21.785699999999999</v>
      </c>
      <c r="H31" s="1">
        <f t="shared" ref="H31:V31" si="19">+H30*(G31/G30)</f>
        <v>22.003556999999997</v>
      </c>
      <c r="I31" s="1">
        <f t="shared" si="19"/>
        <v>22.223592570000001</v>
      </c>
      <c r="J31" s="1">
        <f t="shared" si="19"/>
        <v>22.445828495700002</v>
      </c>
      <c r="K31" s="1">
        <f t="shared" si="19"/>
        <v>22.670286780657001</v>
      </c>
      <c r="L31" s="1">
        <f t="shared" si="19"/>
        <v>22.89698964846357</v>
      </c>
      <c r="M31" s="1">
        <f t="shared" si="19"/>
        <v>23.125959544948206</v>
      </c>
      <c r="N31" s="1">
        <f t="shared" si="19"/>
        <v>23.357219140397685</v>
      </c>
      <c r="O31" s="1">
        <f t="shared" si="19"/>
        <v>23.590791331801665</v>
      </c>
      <c r="P31" s="1">
        <f t="shared" si="19"/>
        <v>23.826699245119681</v>
      </c>
      <c r="Q31" s="1">
        <f t="shared" si="19"/>
        <v>24.064966237570875</v>
      </c>
      <c r="R31" s="1">
        <f t="shared" si="19"/>
        <v>24.305615899946584</v>
      </c>
      <c r="S31" s="1">
        <f t="shared" si="19"/>
        <v>24.54867205894605</v>
      </c>
      <c r="T31" s="1">
        <f t="shared" si="19"/>
        <v>24.794158779535508</v>
      </c>
      <c r="U31" s="1">
        <f t="shared" si="19"/>
        <v>25.042100367330864</v>
      </c>
      <c r="V31" s="1">
        <f t="shared" si="19"/>
        <v>25.29252137100417</v>
      </c>
    </row>
    <row r="32" spans="2:22">
      <c r="B32" s="1" t="s">
        <v>56</v>
      </c>
      <c r="C32" s="1">
        <v>25.06</v>
      </c>
      <c r="D32" s="1">
        <v>21.77</v>
      </c>
      <c r="E32" s="1">
        <v>24.21</v>
      </c>
      <c r="F32" s="1">
        <v>26.71</v>
      </c>
      <c r="G32" s="1">
        <v>27</v>
      </c>
      <c r="H32" s="1">
        <f>+AVERAGE(D32:G32)</f>
        <v>24.922499999999999</v>
      </c>
      <c r="I32" s="1">
        <f t="shared" ref="I32:V32" si="20">+AVERAGE(E32:H32)</f>
        <v>25.710625</v>
      </c>
      <c r="J32" s="1">
        <f t="shared" si="20"/>
        <v>26.085781249999997</v>
      </c>
      <c r="K32" s="1">
        <f t="shared" si="20"/>
        <v>25.929726562500001</v>
      </c>
      <c r="L32" s="1">
        <f t="shared" si="20"/>
        <v>25.662158203125003</v>
      </c>
      <c r="M32" s="1">
        <f t="shared" si="20"/>
        <v>25.84707275390625</v>
      </c>
      <c r="N32" s="1">
        <f t="shared" si="20"/>
        <v>25.88118469238281</v>
      </c>
      <c r="O32" s="1">
        <f t="shared" si="20"/>
        <v>25.830035552978515</v>
      </c>
      <c r="P32" s="1">
        <f t="shared" si="20"/>
        <v>25.805112800598142</v>
      </c>
      <c r="Q32" s="1">
        <f t="shared" si="20"/>
        <v>25.840851449966429</v>
      </c>
      <c r="R32" s="1">
        <f t="shared" si="20"/>
        <v>25.839296123981477</v>
      </c>
      <c r="S32" s="1">
        <f t="shared" si="20"/>
        <v>25.828823981881143</v>
      </c>
      <c r="T32" s="1">
        <f t="shared" si="20"/>
        <v>25.828521089106797</v>
      </c>
      <c r="U32" s="1">
        <f t="shared" si="20"/>
        <v>25.834373161233962</v>
      </c>
      <c r="V32" s="1">
        <f t="shared" si="20"/>
        <v>25.832753589050846</v>
      </c>
    </row>
    <row r="34" spans="2:22">
      <c r="B34" s="1" t="s">
        <v>57</v>
      </c>
      <c r="C34" s="1">
        <f>+(C27*C29)/10^6</f>
        <v>45.755443999999997</v>
      </c>
      <c r="D34" s="1">
        <f>+(D27*D29)/10^6</f>
        <v>59.666319999999999</v>
      </c>
      <c r="E34" s="1">
        <f>+(E27*E29)/10^6</f>
        <v>70.169425000000004</v>
      </c>
      <c r="F34" s="1">
        <f t="shared" ref="F34:L34" si="21">+(F27*F29)/10^6</f>
        <v>64.845825000000005</v>
      </c>
      <c r="G34" s="1">
        <f t="shared" si="21"/>
        <v>72.596073000000004</v>
      </c>
      <c r="H34" s="1">
        <f t="shared" si="21"/>
        <v>63.248223878400005</v>
      </c>
      <c r="I34" s="1">
        <f t="shared" si="21"/>
        <v>65.876978183345997</v>
      </c>
      <c r="J34" s="1">
        <f t="shared" si="21"/>
        <v>68.332473319566631</v>
      </c>
      <c r="K34" s="1">
        <f t="shared" si="21"/>
        <v>69.231344120446423</v>
      </c>
      <c r="L34" s="1">
        <f t="shared" si="21"/>
        <v>68.329771371865306</v>
      </c>
      <c r="M34" s="1">
        <f t="shared" ref="M34:V34" si="22">+(M27*M29)/10^6</f>
        <v>69.647706620186639</v>
      </c>
      <c r="N34" s="1">
        <f t="shared" si="22"/>
        <v>70.620888072756856</v>
      </c>
      <c r="O34" s="1">
        <f t="shared" si="22"/>
        <v>71.204342140091867</v>
      </c>
      <c r="P34" s="1">
        <f t="shared" si="22"/>
        <v>71.704772338735808</v>
      </c>
      <c r="Q34" s="1">
        <f t="shared" si="22"/>
        <v>72.573455969437518</v>
      </c>
      <c r="R34" s="1">
        <f t="shared" si="22"/>
        <v>73.32387825535676</v>
      </c>
      <c r="S34" s="1">
        <f t="shared" si="22"/>
        <v>74.015580519524235</v>
      </c>
      <c r="T34" s="1">
        <f t="shared" si="22"/>
        <v>74.735550605900485</v>
      </c>
      <c r="U34" s="1">
        <f t="shared" si="22"/>
        <v>75.513023547913406</v>
      </c>
      <c r="V34" s="1">
        <f t="shared" si="22"/>
        <v>76.266334330648505</v>
      </c>
    </row>
    <row r="35" spans="2:22">
      <c r="B35" s="1" t="s">
        <v>58</v>
      </c>
      <c r="C35" s="1">
        <f>+(C30*C32)/10^6</f>
        <v>79.139906019999998</v>
      </c>
      <c r="D35" s="1">
        <f>+(D30*D32)/10^6</f>
        <v>66.658085479999997</v>
      </c>
      <c r="E35" s="1">
        <f>+(E30*E32)/10^6</f>
        <v>82.108941299999998</v>
      </c>
      <c r="F35" s="1">
        <f t="shared" ref="F35:L35" si="23">+(F30*F32)/10^6</f>
        <v>75.519934129999996</v>
      </c>
      <c r="G35" s="1">
        <f t="shared" si="23"/>
        <v>77.103279809999989</v>
      </c>
      <c r="H35" s="1">
        <f t="shared" si="23"/>
        <v>71.882316887976742</v>
      </c>
      <c r="I35" s="1">
        <f t="shared" si="23"/>
        <v>74.897008188356565</v>
      </c>
      <c r="J35" s="1">
        <f t="shared" si="23"/>
        <v>76.749765577450475</v>
      </c>
      <c r="K35" s="1">
        <f t="shared" si="23"/>
        <v>77.053526603151212</v>
      </c>
      <c r="L35" s="1">
        <f t="shared" si="23"/>
        <v>77.020996842482816</v>
      </c>
      <c r="M35" s="1">
        <f t="shared" ref="M35:V35" si="24">+(M30*M32)/10^6</f>
        <v>78.351749145200415</v>
      </c>
      <c r="N35" s="1">
        <f t="shared" si="24"/>
        <v>79.239706213719344</v>
      </c>
      <c r="O35" s="1">
        <f t="shared" si="24"/>
        <v>79.873935353640789</v>
      </c>
      <c r="P35" s="1">
        <f t="shared" si="24"/>
        <v>80.594835670081579</v>
      </c>
      <c r="Q35" s="1">
        <f t="shared" si="24"/>
        <v>81.513519595935549</v>
      </c>
      <c r="R35" s="1">
        <f t="shared" si="24"/>
        <v>82.323699541238724</v>
      </c>
      <c r="S35" s="1">
        <f t="shared" si="24"/>
        <v>83.113238771416277</v>
      </c>
      <c r="T35" s="1">
        <f t="shared" si="24"/>
        <v>83.943386749484489</v>
      </c>
      <c r="U35" s="1">
        <f t="shared" si="24"/>
        <v>84.802030202370744</v>
      </c>
      <c r="V35" s="1">
        <f t="shared" si="24"/>
        <v>85.644681051905167</v>
      </c>
    </row>
    <row r="36" spans="2:22">
      <c r="B36" s="1" t="s">
        <v>59</v>
      </c>
      <c r="C36" s="1">
        <f>+SUM(C34:C35)</f>
        <v>124.89535002</v>
      </c>
      <c r="D36" s="1">
        <f>+SUM(D34:D35)</f>
        <v>126.32440548</v>
      </c>
      <c r="E36" s="1">
        <f>+SUM(E34:E35)</f>
        <v>152.27836630000002</v>
      </c>
      <c r="F36" s="1">
        <f t="shared" ref="F36:V36" si="25">+SUM(F34:F35)</f>
        <v>140.36575913000001</v>
      </c>
      <c r="G36" s="1">
        <f t="shared" si="25"/>
        <v>149.69935280999999</v>
      </c>
      <c r="H36" s="1">
        <f t="shared" si="25"/>
        <v>135.13054076637675</v>
      </c>
      <c r="I36" s="1">
        <f t="shared" si="25"/>
        <v>140.77398637170256</v>
      </c>
      <c r="J36" s="1">
        <f t="shared" si="25"/>
        <v>145.08223889701711</v>
      </c>
      <c r="K36" s="1">
        <f t="shared" si="25"/>
        <v>146.28487072359763</v>
      </c>
      <c r="L36" s="1">
        <f t="shared" si="25"/>
        <v>145.35076821434814</v>
      </c>
      <c r="M36" s="1">
        <f t="shared" si="25"/>
        <v>147.99945576538704</v>
      </c>
      <c r="N36" s="1">
        <f t="shared" si="25"/>
        <v>149.86059428647621</v>
      </c>
      <c r="O36" s="1">
        <f t="shared" si="25"/>
        <v>151.07827749373266</v>
      </c>
      <c r="P36" s="1">
        <f t="shared" si="25"/>
        <v>152.29960800881739</v>
      </c>
      <c r="Q36" s="1">
        <f t="shared" si="25"/>
        <v>154.08697556537305</v>
      </c>
      <c r="R36" s="1">
        <f t="shared" si="25"/>
        <v>155.6475777965955</v>
      </c>
      <c r="S36" s="1">
        <f t="shared" si="25"/>
        <v>157.1288192909405</v>
      </c>
      <c r="T36" s="1">
        <f t="shared" si="25"/>
        <v>158.67893735538496</v>
      </c>
      <c r="U36" s="1">
        <f t="shared" si="25"/>
        <v>160.31505375028416</v>
      </c>
      <c r="V36" s="1">
        <f t="shared" si="25"/>
        <v>161.91101538255367</v>
      </c>
    </row>
    <row r="38" spans="2:22">
      <c r="B38" s="1" t="s">
        <v>62</v>
      </c>
      <c r="C38" s="1">
        <f>+(C28*C27)/10^6</f>
        <v>49.882297000000001</v>
      </c>
      <c r="D38" s="1">
        <f t="shared" ref="D38:E38" si="26">+(D28*D27)/10^6</f>
        <v>82.59111</v>
      </c>
      <c r="E38" s="1">
        <f t="shared" si="26"/>
        <v>82.203962000000004</v>
      </c>
      <c r="F38" s="1">
        <f t="shared" ref="F38:L38" si="27">+(F28*F27)/10^6</f>
        <v>56.158047000000003</v>
      </c>
      <c r="G38" s="1">
        <f t="shared" si="27"/>
        <v>57.286823744700008</v>
      </c>
      <c r="H38" s="1">
        <f t="shared" si="27"/>
        <v>58.43828890196847</v>
      </c>
      <c r="I38" s="1">
        <f t="shared" si="27"/>
        <v>59.612898508898041</v>
      </c>
      <c r="J38" s="1">
        <f t="shared" si="27"/>
        <v>60.811117768926898</v>
      </c>
      <c r="K38" s="1">
        <f t="shared" si="27"/>
        <v>62.033421236082326</v>
      </c>
      <c r="L38" s="1">
        <f t="shared" si="27"/>
        <v>63.280293002927571</v>
      </c>
      <c r="M38" s="1">
        <f t="shared" ref="M38:V38" si="28">+(M28*M27)/10^6</f>
        <v>64.552226892286427</v>
      </c>
      <c r="N38" s="1">
        <f t="shared" si="28"/>
        <v>65.849726652821374</v>
      </c>
      <c r="O38" s="1">
        <f t="shared" si="28"/>
        <v>67.173306158543099</v>
      </c>
      <c r="P38" s="1">
        <f t="shared" si="28"/>
        <v>68.523489612329811</v>
      </c>
      <c r="Q38" s="1">
        <f t="shared" si="28"/>
        <v>69.900811753537624</v>
      </c>
      <c r="R38" s="1">
        <f t="shared" si="28"/>
        <v>71.305818069783726</v>
      </c>
      <c r="S38" s="1">
        <f t="shared" si="28"/>
        <v>72.739065012986387</v>
      </c>
      <c r="T38" s="1">
        <f t="shared" si="28"/>
        <v>74.201120219747423</v>
      </c>
      <c r="U38" s="1">
        <f t="shared" si="28"/>
        <v>75.692562736164348</v>
      </c>
      <c r="V38" s="1">
        <f t="shared" si="28"/>
        <v>77.213983247161266</v>
      </c>
    </row>
    <row r="39" spans="2:22">
      <c r="B39" s="1" t="s">
        <v>60</v>
      </c>
      <c r="C39" s="1">
        <f>+(C30*C31)/10^6</f>
        <v>79.266226700000004</v>
      </c>
      <c r="D39" s="1">
        <f t="shared" ref="D39:E39" si="29">+(D30*D31)/10^6</f>
        <v>83.468048240000016</v>
      </c>
      <c r="E39" s="1">
        <f t="shared" si="29"/>
        <v>90.452105100000011</v>
      </c>
      <c r="F39" s="1">
        <f t="shared" ref="F39:L39" si="30">+(F30*F31)/10^6</f>
        <v>60.987082710000003</v>
      </c>
      <c r="G39" s="1">
        <f t="shared" si="30"/>
        <v>62.212923072470993</v>
      </c>
      <c r="H39" s="1">
        <f t="shared" si="30"/>
        <v>63.463402826227657</v>
      </c>
      <c r="I39" s="1">
        <f t="shared" si="30"/>
        <v>64.73901722303485</v>
      </c>
      <c r="J39" s="1">
        <f t="shared" si="30"/>
        <v>66.040271469217856</v>
      </c>
      <c r="K39" s="1">
        <f t="shared" si="30"/>
        <v>67.367680925749127</v>
      </c>
      <c r="L39" s="1">
        <f t="shared" si="30"/>
        <v>68.72177131235668</v>
      </c>
      <c r="M39" s="1">
        <f t="shared" ref="M39:V39" si="31">+(M30*M31)/10^6</f>
        <v>70.103078915735054</v>
      </c>
      <c r="N39" s="1">
        <f t="shared" si="31"/>
        <v>71.512150801941303</v>
      </c>
      <c r="O39" s="1">
        <f t="shared" si="31"/>
        <v>72.949545033060346</v>
      </c>
      <c r="P39" s="1">
        <f t="shared" si="31"/>
        <v>74.41583088822486</v>
      </c>
      <c r="Q39" s="1">
        <f t="shared" si="31"/>
        <v>75.911589089078163</v>
      </c>
      <c r="R39" s="1">
        <f t="shared" si="31"/>
        <v>77.437412029768637</v>
      </c>
      <c r="S39" s="1">
        <f t="shared" si="31"/>
        <v>78.993904011566983</v>
      </c>
      <c r="T39" s="1">
        <f t="shared" si="31"/>
        <v>80.581681482199457</v>
      </c>
      <c r="U39" s="1">
        <f t="shared" si="31"/>
        <v>82.201373279991671</v>
      </c>
      <c r="V39" s="1">
        <f t="shared" si="31"/>
        <v>83.8536208829195</v>
      </c>
    </row>
    <row r="40" spans="2:22">
      <c r="B40" s="1" t="s">
        <v>61</v>
      </c>
      <c r="C40" s="1">
        <f>+SUM(C38:C39)</f>
        <v>129.1485237</v>
      </c>
      <c r="D40" s="1">
        <f>+SUM(D38:D39)</f>
        <v>166.05915824000002</v>
      </c>
      <c r="E40" s="1">
        <f>+SUM(E38:E39)</f>
        <v>172.65606710000003</v>
      </c>
      <c r="F40" s="1">
        <f t="shared" ref="F40:V40" si="32">+SUM(F38:F39)</f>
        <v>117.14512971000001</v>
      </c>
      <c r="G40" s="1">
        <f t="shared" si="32"/>
        <v>119.499746817171</v>
      </c>
      <c r="H40" s="1">
        <f t="shared" si="32"/>
        <v>121.90169172819613</v>
      </c>
      <c r="I40" s="1">
        <f t="shared" si="32"/>
        <v>124.35191573193289</v>
      </c>
      <c r="J40" s="1">
        <f t="shared" si="32"/>
        <v>126.85138923814475</v>
      </c>
      <c r="K40" s="1">
        <f t="shared" si="32"/>
        <v>129.40110216183146</v>
      </c>
      <c r="L40" s="1">
        <f t="shared" si="32"/>
        <v>132.00206431528426</v>
      </c>
      <c r="M40" s="1">
        <f t="shared" si="32"/>
        <v>134.65530580802147</v>
      </c>
      <c r="N40" s="1">
        <f t="shared" si="32"/>
        <v>137.36187745476269</v>
      </c>
      <c r="O40" s="1">
        <f t="shared" si="32"/>
        <v>140.12285119160344</v>
      </c>
      <c r="P40" s="1">
        <f t="shared" si="32"/>
        <v>142.93932050055469</v>
      </c>
      <c r="Q40" s="1">
        <f t="shared" si="32"/>
        <v>145.81240084261577</v>
      </c>
      <c r="R40" s="1">
        <f t="shared" si="32"/>
        <v>148.74323009955236</v>
      </c>
      <c r="S40" s="1">
        <f t="shared" si="32"/>
        <v>151.73296902455337</v>
      </c>
      <c r="T40" s="1">
        <f t="shared" si="32"/>
        <v>154.78280170194688</v>
      </c>
      <c r="U40" s="1">
        <f t="shared" si="32"/>
        <v>157.89393601615603</v>
      </c>
      <c r="V40" s="1">
        <f t="shared" si="32"/>
        <v>161.06760413008078</v>
      </c>
    </row>
    <row r="42" spans="2:22">
      <c r="B42" s="1" t="s">
        <v>63</v>
      </c>
      <c r="C42" s="1">
        <f>+C36-C40</f>
        <v>-4.2531736800000033</v>
      </c>
      <c r="D42" s="1">
        <f>+D36-D40</f>
        <v>-39.734752760000021</v>
      </c>
      <c r="E42" s="1">
        <f>+E36-E40</f>
        <v>-20.377700800000014</v>
      </c>
      <c r="F42" s="1">
        <f t="shared" ref="F42:L42" si="33">+F36-F40</f>
        <v>23.220629420000009</v>
      </c>
      <c r="G42" s="1">
        <f t="shared" si="33"/>
        <v>30.199605992828992</v>
      </c>
      <c r="H42" s="1">
        <f t="shared" si="33"/>
        <v>13.228849038180627</v>
      </c>
      <c r="I42" s="1">
        <f t="shared" si="33"/>
        <v>16.422070639769672</v>
      </c>
      <c r="J42" s="1">
        <f t="shared" si="33"/>
        <v>18.230849658872359</v>
      </c>
      <c r="K42" s="1">
        <f t="shared" si="33"/>
        <v>16.883768561766175</v>
      </c>
      <c r="L42" s="1">
        <f t="shared" si="33"/>
        <v>13.348703899063878</v>
      </c>
      <c r="M42" s="1">
        <f t="shared" ref="M42:V42" si="34">+M36-M40</f>
        <v>13.344149957365573</v>
      </c>
      <c r="N42" s="1">
        <f t="shared" si="34"/>
        <v>12.498716831713523</v>
      </c>
      <c r="O42" s="1">
        <f t="shared" si="34"/>
        <v>10.955426302129212</v>
      </c>
      <c r="P42" s="1">
        <f t="shared" si="34"/>
        <v>9.3602875082627008</v>
      </c>
      <c r="Q42" s="1">
        <f t="shared" si="34"/>
        <v>8.2745747227572792</v>
      </c>
      <c r="R42" s="1">
        <f t="shared" si="34"/>
        <v>6.9043476970431357</v>
      </c>
      <c r="S42" s="1">
        <f t="shared" si="34"/>
        <v>5.3958502663871286</v>
      </c>
      <c r="T42" s="1">
        <f t="shared" si="34"/>
        <v>3.8961356534380798</v>
      </c>
      <c r="U42" s="1">
        <f t="shared" si="34"/>
        <v>2.4211177341281314</v>
      </c>
      <c r="V42" s="1">
        <f t="shared" si="34"/>
        <v>0.84341125247289028</v>
      </c>
    </row>
    <row r="46" spans="2:22">
      <c r="N46" s="1" t="s">
        <v>35</v>
      </c>
      <c r="O46" s="8">
        <v>0.08</v>
      </c>
    </row>
    <row r="47" spans="2:22">
      <c r="N47" s="1" t="s">
        <v>64</v>
      </c>
      <c r="O47" s="11">
        <f>NPV(O46,F42:V42)</f>
        <v>133.17562529823417</v>
      </c>
    </row>
    <row r="49" spans="2:10">
      <c r="B49" s="4" t="s">
        <v>66</v>
      </c>
    </row>
    <row r="50" spans="2:10">
      <c r="B50" s="1" t="s">
        <v>53</v>
      </c>
      <c r="C50" s="1">
        <v>121140</v>
      </c>
      <c r="D50" s="1">
        <v>109061</v>
      </c>
      <c r="E50" s="1">
        <v>84789</v>
      </c>
      <c r="F50" s="1">
        <f>68740+22000</f>
        <v>90740</v>
      </c>
      <c r="G50" s="1">
        <f>+F50*1.01</f>
        <v>91647.4</v>
      </c>
      <c r="H50" s="1">
        <f>+G50*1.01</f>
        <v>92563.873999999996</v>
      </c>
      <c r="I50" s="1">
        <f>+H50*1.01</f>
        <v>93489.512739999991</v>
      </c>
    </row>
    <row r="51" spans="2:10">
      <c r="B51" s="1" t="s">
        <v>52</v>
      </c>
      <c r="C51" s="1">
        <v>1086</v>
      </c>
      <c r="D51" s="1">
        <v>1423</v>
      </c>
      <c r="E51" s="1">
        <v>1797</v>
      </c>
      <c r="F51" s="1">
        <v>1699</v>
      </c>
      <c r="G51" s="1">
        <v>1699</v>
      </c>
      <c r="H51" s="1">
        <v>1699</v>
      </c>
      <c r="I51" s="1">
        <v>1699</v>
      </c>
    </row>
    <row r="52" spans="2:10">
      <c r="B52" s="1" t="s">
        <v>56</v>
      </c>
      <c r="C52" s="1">
        <v>1652</v>
      </c>
      <c r="D52" s="1">
        <v>1736</v>
      </c>
      <c r="E52" s="1">
        <v>1825</v>
      </c>
      <c r="F52" s="1">
        <f>+F29</f>
        <v>2075</v>
      </c>
      <c r="G52" s="1">
        <v>2200</v>
      </c>
      <c r="H52" s="1">
        <v>2200</v>
      </c>
      <c r="I52" s="1">
        <v>2200</v>
      </c>
    </row>
    <row r="54" spans="2:10">
      <c r="B54" s="1" t="s">
        <v>57</v>
      </c>
      <c r="C54" s="1">
        <f>+(C50*C52)/10^6</f>
        <v>200.12327999999999</v>
      </c>
      <c r="D54" s="1">
        <f>+(D50*D52)/10^6</f>
        <v>189.32989599999999</v>
      </c>
      <c r="E54" s="1">
        <f>+(E50*E52)/10^6</f>
        <v>154.739925</v>
      </c>
      <c r="F54" s="1">
        <f>+(F50*F52)/10^6</f>
        <v>188.28550000000001</v>
      </c>
      <c r="G54" s="1">
        <f t="shared" ref="G54:I54" si="35">+(G50*G52)/10^6</f>
        <v>201.62428</v>
      </c>
      <c r="H54" s="1">
        <f t="shared" si="35"/>
        <v>203.64052279999999</v>
      </c>
      <c r="I54" s="1">
        <f t="shared" si="35"/>
        <v>205.67692802799996</v>
      </c>
    </row>
    <row r="55" spans="2:10">
      <c r="B55" s="1" t="s">
        <v>62</v>
      </c>
      <c r="C55" s="1">
        <f>+(C51*C50)/10^6</f>
        <v>131.55804000000001</v>
      </c>
      <c r="D55" s="1">
        <f>+(D51*D50)/10^6</f>
        <v>155.193803</v>
      </c>
      <c r="E55" s="1">
        <f>+(E51*E50)/10^6</f>
        <v>152.36583300000001</v>
      </c>
      <c r="F55" s="1">
        <f>+(F51*F50)/10^6</f>
        <v>154.16726</v>
      </c>
      <c r="G55" s="1">
        <f t="shared" ref="G55:I55" si="36">+(G51*G50)/10^6</f>
        <v>155.7089326</v>
      </c>
      <c r="H55" s="1">
        <f t="shared" si="36"/>
        <v>157.26602192600001</v>
      </c>
      <c r="I55" s="1">
        <f t="shared" si="36"/>
        <v>158.83868214525998</v>
      </c>
    </row>
    <row r="56" spans="2:10">
      <c r="B56" s="1" t="s">
        <v>63</v>
      </c>
      <c r="C56" s="1">
        <f>+C54-C55</f>
        <v>68.565239999999989</v>
      </c>
      <c r="D56" s="1">
        <f>+D54-D55</f>
        <v>34.136092999999988</v>
      </c>
      <c r="E56" s="1">
        <f>+E54-E55</f>
        <v>2.3740919999999903</v>
      </c>
      <c r="F56" s="1">
        <f t="shared" ref="F56:I56" si="37">+F54-F55</f>
        <v>34.118240000000014</v>
      </c>
      <c r="G56" s="1">
        <f t="shared" si="37"/>
        <v>45.915347400000002</v>
      </c>
      <c r="H56" s="1">
        <f t="shared" si="37"/>
        <v>46.374500873999978</v>
      </c>
      <c r="I56" s="1">
        <f t="shared" si="37"/>
        <v>46.838245882739983</v>
      </c>
    </row>
    <row r="59" spans="2:10">
      <c r="I59" s="1" t="s">
        <v>35</v>
      </c>
      <c r="J59" s="8">
        <v>0.08</v>
      </c>
    </row>
    <row r="60" spans="2:10">
      <c r="I60" s="1" t="s">
        <v>64</v>
      </c>
      <c r="J60" s="11">
        <f>NPV(J59,F56:I56)</f>
        <v>142.19705566805919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</dc:creator>
  <cp:lastModifiedBy>jameel</cp:lastModifiedBy>
  <dcterms:created xsi:type="dcterms:W3CDTF">2024-12-22T01:25:32Z</dcterms:created>
  <dcterms:modified xsi:type="dcterms:W3CDTF">2025-01-04T19:38:43Z</dcterms:modified>
</cp:coreProperties>
</file>