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"/>
    </mc:Choice>
  </mc:AlternateContent>
  <xr:revisionPtr revIDLastSave="0" documentId="13_ncr:1_{4A84F487-E498-B14C-8A40-9FE6DB26A1C1}" xr6:coauthVersionLast="47" xr6:coauthVersionMax="47" xr10:uidLastSave="{00000000-0000-0000-0000-000000000000}"/>
  <bookViews>
    <workbookView xWindow="7500" yWindow="500" windowWidth="38200" windowHeight="28300" activeTab="1" xr2:uid="{D8771094-6EA8-CE4C-B974-122C3D74D5C3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2" l="1"/>
  <c r="T45" i="2"/>
  <c r="N6" i="2"/>
  <c r="K6" i="2"/>
  <c r="L6" i="2"/>
  <c r="M6" i="2"/>
  <c r="W7" i="2"/>
  <c r="X7" i="2" s="1"/>
  <c r="Y7" i="2" s="1"/>
  <c r="Z7" i="2" s="1"/>
  <c r="AA7" i="2" s="1"/>
  <c r="AB7" i="2" s="1"/>
  <c r="AC7" i="2" s="1"/>
  <c r="AD7" i="2" s="1"/>
  <c r="V7" i="2"/>
  <c r="X8" i="2"/>
  <c r="Y8" i="2" s="1"/>
  <c r="Z8" i="2" s="1"/>
  <c r="AA8" i="2" s="1"/>
  <c r="AB8" i="2" s="1"/>
  <c r="AC8" i="2" s="1"/>
  <c r="AD8" i="2" s="1"/>
  <c r="W8" i="2"/>
  <c r="V8" i="2"/>
  <c r="N36" i="2"/>
  <c r="M36" i="2"/>
  <c r="L36" i="2"/>
  <c r="K36" i="2"/>
  <c r="J36" i="2"/>
  <c r="I36" i="2"/>
  <c r="H36" i="2"/>
  <c r="G36" i="2"/>
  <c r="F36" i="2"/>
  <c r="E36" i="2"/>
  <c r="D36" i="2"/>
  <c r="N35" i="2"/>
  <c r="M35" i="2"/>
  <c r="L35" i="2"/>
  <c r="K35" i="2"/>
  <c r="J35" i="2"/>
  <c r="I35" i="2"/>
  <c r="H35" i="2"/>
  <c r="G35" i="2"/>
  <c r="F35" i="2"/>
  <c r="E35" i="2"/>
  <c r="D35" i="2"/>
  <c r="C36" i="2"/>
  <c r="C35" i="2"/>
  <c r="T36" i="2"/>
  <c r="T35" i="2"/>
  <c r="S36" i="2"/>
  <c r="S35" i="2"/>
  <c r="R36" i="2"/>
  <c r="R35" i="2"/>
  <c r="H82" i="2"/>
  <c r="H81" i="2"/>
  <c r="L82" i="2"/>
  <c r="M82" i="2" s="1"/>
  <c r="L81" i="2"/>
  <c r="L83" i="2" s="1"/>
  <c r="M81" i="2"/>
  <c r="M68" i="2"/>
  <c r="M75" i="2" s="1"/>
  <c r="M77" i="2" s="1"/>
  <c r="M50" i="2"/>
  <c r="M58" i="2" s="1"/>
  <c r="M45" i="2"/>
  <c r="M3" i="2"/>
  <c r="M7" i="2" s="1"/>
  <c r="G83" i="2"/>
  <c r="K83" i="2"/>
  <c r="AI35" i="2"/>
  <c r="AI33" i="2"/>
  <c r="N24" i="2"/>
  <c r="M4" i="2"/>
  <c r="N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M5" i="2"/>
  <c r="L8" i="2"/>
  <c r="L7" i="2"/>
  <c r="L5" i="2"/>
  <c r="K68" i="2"/>
  <c r="K75" i="2" s="1"/>
  <c r="K77" i="2" s="1"/>
  <c r="L45" i="2"/>
  <c r="AI31" i="2" s="1"/>
  <c r="K45" i="2"/>
  <c r="J45" i="2"/>
  <c r="J68" i="2"/>
  <c r="J75" i="2" s="1"/>
  <c r="J77" i="2" s="1"/>
  <c r="L68" i="2"/>
  <c r="L75" i="2" s="1"/>
  <c r="L77" i="2" s="1"/>
  <c r="L50" i="2"/>
  <c r="L58" i="2" s="1"/>
  <c r="L29" i="2"/>
  <c r="L28" i="2"/>
  <c r="L13" i="2"/>
  <c r="L16" i="2" s="1"/>
  <c r="L19" i="2" s="1"/>
  <c r="L21" i="2" s="1"/>
  <c r="L23" i="2" s="1"/>
  <c r="L25" i="2" s="1"/>
  <c r="F8" i="1"/>
  <c r="F5" i="1"/>
  <c r="F6" i="1" s="1"/>
  <c r="F11" i="2"/>
  <c r="C8" i="2"/>
  <c r="C7" i="2"/>
  <c r="F4" i="2"/>
  <c r="F3" i="2"/>
  <c r="J4" i="2"/>
  <c r="J3" i="2"/>
  <c r="H8" i="2"/>
  <c r="H7" i="2"/>
  <c r="D8" i="2"/>
  <c r="D7" i="2"/>
  <c r="E8" i="2"/>
  <c r="E7" i="2"/>
  <c r="G8" i="2"/>
  <c r="G7" i="2"/>
  <c r="I8" i="2"/>
  <c r="I7" i="2"/>
  <c r="T8" i="2"/>
  <c r="T7" i="2"/>
  <c r="S8" i="2"/>
  <c r="S7" i="2"/>
  <c r="R8" i="2"/>
  <c r="R7" i="2"/>
  <c r="T5" i="2"/>
  <c r="S5" i="2"/>
  <c r="R5" i="2"/>
  <c r="K8" i="2"/>
  <c r="K7" i="2"/>
  <c r="I5" i="2"/>
  <c r="H5" i="2"/>
  <c r="G5" i="2"/>
  <c r="E5" i="2"/>
  <c r="D5" i="2"/>
  <c r="C5" i="2"/>
  <c r="K5" i="2"/>
  <c r="J50" i="2"/>
  <c r="J58" i="2" s="1"/>
  <c r="K50" i="2"/>
  <c r="K58" i="2" s="1"/>
  <c r="G29" i="2"/>
  <c r="G28" i="2"/>
  <c r="H29" i="2"/>
  <c r="H28" i="2"/>
  <c r="I29" i="2"/>
  <c r="I28" i="2"/>
  <c r="C13" i="2"/>
  <c r="F22" i="2"/>
  <c r="F20" i="2"/>
  <c r="F18" i="2"/>
  <c r="F17" i="2"/>
  <c r="F15" i="2"/>
  <c r="F14" i="2"/>
  <c r="F12" i="2"/>
  <c r="D13" i="2"/>
  <c r="D16" i="2" s="1"/>
  <c r="D19" i="2" s="1"/>
  <c r="D21" i="2" s="1"/>
  <c r="D23" i="2" s="1"/>
  <c r="D25" i="2" s="1"/>
  <c r="H13" i="2"/>
  <c r="H16" i="2" s="1"/>
  <c r="H19" i="2" s="1"/>
  <c r="H21" i="2" s="1"/>
  <c r="H23" i="2" s="1"/>
  <c r="H25" i="2" s="1"/>
  <c r="E13" i="2"/>
  <c r="E16" i="2" s="1"/>
  <c r="E19" i="2" s="1"/>
  <c r="E21" i="2" s="1"/>
  <c r="E23" i="2" s="1"/>
  <c r="E25" i="2" s="1"/>
  <c r="I13" i="2"/>
  <c r="J22" i="2"/>
  <c r="J20" i="2"/>
  <c r="J18" i="2"/>
  <c r="J17" i="2"/>
  <c r="J15" i="2"/>
  <c r="J14" i="2"/>
  <c r="J12" i="2"/>
  <c r="J8" i="2" s="1"/>
  <c r="J11" i="2"/>
  <c r="J7" i="2" s="1"/>
  <c r="N7" i="2" s="1"/>
  <c r="S29" i="2"/>
  <c r="S28" i="2"/>
  <c r="T29" i="2"/>
  <c r="T28" i="2"/>
  <c r="R22" i="2"/>
  <c r="R13" i="2"/>
  <c r="R16" i="2" s="1"/>
  <c r="R19" i="2" s="1"/>
  <c r="R21" i="2" s="1"/>
  <c r="S13" i="2"/>
  <c r="S16" i="2" s="1"/>
  <c r="S19" i="2" s="1"/>
  <c r="S21" i="2" s="1"/>
  <c r="S23" i="2" s="1"/>
  <c r="S25" i="2" s="1"/>
  <c r="T13" i="2"/>
  <c r="T16" i="2" s="1"/>
  <c r="T19" i="2" s="1"/>
  <c r="T21" i="2" s="1"/>
  <c r="T23" i="2" s="1"/>
  <c r="T25" i="2" s="1"/>
  <c r="Q2" i="2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CN2" i="2" s="1"/>
  <c r="CO2" i="2" s="1"/>
  <c r="CP2" i="2" s="1"/>
  <c r="CQ2" i="2" s="1"/>
  <c r="CR2" i="2" s="1"/>
  <c r="CS2" i="2" s="1"/>
  <c r="CT2" i="2" s="1"/>
  <c r="CU2" i="2" s="1"/>
  <c r="CV2" i="2" s="1"/>
  <c r="CW2" i="2" s="1"/>
  <c r="CX2" i="2" s="1"/>
  <c r="CY2" i="2" s="1"/>
  <c r="CZ2" i="2" s="1"/>
  <c r="DA2" i="2" s="1"/>
  <c r="DB2" i="2" s="1"/>
  <c r="DC2" i="2" s="1"/>
  <c r="DD2" i="2" s="1"/>
  <c r="DE2" i="2" s="1"/>
  <c r="DF2" i="2" s="1"/>
  <c r="DG2" i="2" s="1"/>
  <c r="DH2" i="2" s="1"/>
  <c r="DI2" i="2" s="1"/>
  <c r="DJ2" i="2" s="1"/>
  <c r="DK2" i="2" s="1"/>
  <c r="DL2" i="2" s="1"/>
  <c r="DM2" i="2" s="1"/>
  <c r="DN2" i="2" s="1"/>
  <c r="DO2" i="2" s="1"/>
  <c r="DP2" i="2" s="1"/>
  <c r="DQ2" i="2" s="1"/>
  <c r="DR2" i="2" s="1"/>
  <c r="DS2" i="2" s="1"/>
  <c r="DT2" i="2" s="1"/>
  <c r="DU2" i="2" s="1"/>
  <c r="DV2" i="2" s="1"/>
  <c r="DW2" i="2" s="1"/>
  <c r="DX2" i="2" s="1"/>
  <c r="DY2" i="2" s="1"/>
  <c r="DZ2" i="2" s="1"/>
  <c r="EA2" i="2" s="1"/>
  <c r="EB2" i="2" s="1"/>
  <c r="EC2" i="2" s="1"/>
  <c r="ED2" i="2" s="1"/>
  <c r="EE2" i="2" s="1"/>
  <c r="EF2" i="2" s="1"/>
  <c r="EG2" i="2" s="1"/>
  <c r="EH2" i="2" s="1"/>
  <c r="EI2" i="2" s="1"/>
  <c r="EJ2" i="2" s="1"/>
  <c r="EK2" i="2" s="1"/>
  <c r="EL2" i="2" s="1"/>
  <c r="EM2" i="2" s="1"/>
  <c r="EN2" i="2" s="1"/>
  <c r="EO2" i="2" s="1"/>
  <c r="EP2" i="2" s="1"/>
  <c r="EQ2" i="2" s="1"/>
  <c r="ER2" i="2" s="1"/>
  <c r="ES2" i="2" s="1"/>
  <c r="ET2" i="2" s="1"/>
  <c r="EU2" i="2" s="1"/>
  <c r="EV2" i="2" s="1"/>
  <c r="EW2" i="2" s="1"/>
  <c r="EX2" i="2" s="1"/>
  <c r="EY2" i="2" s="1"/>
  <c r="EZ2" i="2" s="1"/>
  <c r="FA2" i="2" s="1"/>
  <c r="FB2" i="2" s="1"/>
  <c r="FC2" i="2" s="1"/>
  <c r="FD2" i="2" s="1"/>
  <c r="FE2" i="2" s="1"/>
  <c r="FF2" i="2" s="1"/>
  <c r="FG2" i="2" s="1"/>
  <c r="FH2" i="2" s="1"/>
  <c r="FI2" i="2" s="1"/>
  <c r="FJ2" i="2" s="1"/>
  <c r="FK2" i="2" s="1"/>
  <c r="FL2" i="2" s="1"/>
  <c r="FM2" i="2" s="1"/>
  <c r="FN2" i="2" s="1"/>
  <c r="FO2" i="2" s="1"/>
  <c r="FP2" i="2" s="1"/>
  <c r="FQ2" i="2" s="1"/>
  <c r="FR2" i="2" s="1"/>
  <c r="FS2" i="2" s="1"/>
  <c r="FT2" i="2" s="1"/>
  <c r="FU2" i="2" s="1"/>
  <c r="FV2" i="2" s="1"/>
  <c r="FW2" i="2" s="1"/>
  <c r="FX2" i="2" s="1"/>
  <c r="FY2" i="2" s="1"/>
  <c r="FZ2" i="2" s="1"/>
  <c r="GA2" i="2" s="1"/>
  <c r="GB2" i="2" s="1"/>
  <c r="GC2" i="2" s="1"/>
  <c r="GD2" i="2" s="1"/>
  <c r="GE2" i="2" s="1"/>
  <c r="GF2" i="2" s="1"/>
  <c r="GG2" i="2" s="1"/>
  <c r="GH2" i="2" s="1"/>
  <c r="GI2" i="2" s="1"/>
  <c r="GJ2" i="2" s="1"/>
  <c r="GK2" i="2" s="1"/>
  <c r="GL2" i="2" s="1"/>
  <c r="GM2" i="2" s="1"/>
  <c r="GN2" i="2" s="1"/>
  <c r="GO2" i="2" s="1"/>
  <c r="GP2" i="2" s="1"/>
  <c r="GQ2" i="2" s="1"/>
  <c r="GR2" i="2" s="1"/>
  <c r="GS2" i="2" s="1"/>
  <c r="GT2" i="2" s="1"/>
  <c r="GU2" i="2" s="1"/>
  <c r="GV2" i="2" s="1"/>
  <c r="GW2" i="2" s="1"/>
  <c r="GX2" i="2" s="1"/>
  <c r="GY2" i="2" s="1"/>
  <c r="GZ2" i="2" s="1"/>
  <c r="HA2" i="2" s="1"/>
  <c r="HB2" i="2" s="1"/>
  <c r="HC2" i="2" s="1"/>
  <c r="HD2" i="2" s="1"/>
  <c r="HE2" i="2" s="1"/>
  <c r="HF2" i="2" s="1"/>
  <c r="HG2" i="2" s="1"/>
  <c r="HH2" i="2" s="1"/>
  <c r="HI2" i="2" s="1"/>
  <c r="HJ2" i="2" s="1"/>
  <c r="HK2" i="2" s="1"/>
  <c r="HL2" i="2" s="1"/>
  <c r="HM2" i="2" s="1"/>
  <c r="HN2" i="2" s="1"/>
  <c r="HO2" i="2" s="1"/>
  <c r="HP2" i="2" s="1"/>
  <c r="HQ2" i="2" s="1"/>
  <c r="HR2" i="2" s="1"/>
  <c r="HS2" i="2" s="1"/>
  <c r="HT2" i="2" s="1"/>
  <c r="HU2" i="2" s="1"/>
  <c r="HV2" i="2" s="1"/>
  <c r="K29" i="2"/>
  <c r="K28" i="2"/>
  <c r="G13" i="2"/>
  <c r="G16" i="2" s="1"/>
  <c r="G19" i="2" s="1"/>
  <c r="G21" i="2" s="1"/>
  <c r="G23" i="2" s="1"/>
  <c r="G25" i="2" s="1"/>
  <c r="K13" i="2"/>
  <c r="K32" i="2" s="1"/>
  <c r="G8" i="1"/>
  <c r="G7" i="1"/>
  <c r="M83" i="2" l="1"/>
  <c r="N3" i="2"/>
  <c r="H32" i="2"/>
  <c r="H83" i="2"/>
  <c r="F7" i="2"/>
  <c r="I81" i="2"/>
  <c r="J81" i="2" s="1"/>
  <c r="I82" i="2"/>
  <c r="J82" i="2" s="1"/>
  <c r="I30" i="2"/>
  <c r="J5" i="2"/>
  <c r="M8" i="2"/>
  <c r="L85" i="2"/>
  <c r="F5" i="2"/>
  <c r="U18" i="2"/>
  <c r="F8" i="2"/>
  <c r="E32" i="2"/>
  <c r="L32" i="2"/>
  <c r="R32" i="2"/>
  <c r="S32" i="2"/>
  <c r="N17" i="2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T32" i="2"/>
  <c r="I32" i="2"/>
  <c r="G32" i="2"/>
  <c r="K30" i="2"/>
  <c r="N8" i="2"/>
  <c r="N12" i="2" s="1"/>
  <c r="N29" i="2" s="1"/>
  <c r="L30" i="2"/>
  <c r="F9" i="1"/>
  <c r="AH38" i="2" s="1"/>
  <c r="K16" i="2"/>
  <c r="F13" i="2"/>
  <c r="F32" i="2" s="1"/>
  <c r="G30" i="2"/>
  <c r="H30" i="2"/>
  <c r="T30" i="2"/>
  <c r="S30" i="2"/>
  <c r="C16" i="2"/>
  <c r="J28" i="2"/>
  <c r="J29" i="2"/>
  <c r="J13" i="2"/>
  <c r="I16" i="2"/>
  <c r="R23" i="2"/>
  <c r="R25" i="2" s="1"/>
  <c r="J83" i="2" l="1"/>
  <c r="M84" i="2" s="1"/>
  <c r="I83" i="2"/>
  <c r="L84" i="2" s="1"/>
  <c r="J30" i="2"/>
  <c r="J32" i="2"/>
  <c r="K19" i="2"/>
  <c r="U3" i="2"/>
  <c r="N11" i="2"/>
  <c r="N13" i="2" s="1"/>
  <c r="N5" i="2"/>
  <c r="M29" i="2"/>
  <c r="U12" i="2"/>
  <c r="M28" i="2"/>
  <c r="M13" i="2"/>
  <c r="F16" i="2"/>
  <c r="C19" i="2"/>
  <c r="I19" i="2"/>
  <c r="J16" i="2"/>
  <c r="K84" i="2" l="1"/>
  <c r="J84" i="2"/>
  <c r="U8" i="2"/>
  <c r="U29" i="2"/>
  <c r="V3" i="2"/>
  <c r="U5" i="2"/>
  <c r="M32" i="2"/>
  <c r="M30" i="2"/>
  <c r="N28" i="2"/>
  <c r="U11" i="2"/>
  <c r="U13" i="2" s="1"/>
  <c r="K21" i="2"/>
  <c r="C21" i="2"/>
  <c r="F19" i="2"/>
  <c r="I21" i="2"/>
  <c r="J19" i="2"/>
  <c r="M16" i="2" l="1"/>
  <c r="M19" i="2" s="1"/>
  <c r="N18" i="2"/>
  <c r="N14" i="2"/>
  <c r="U14" i="2" s="1"/>
  <c r="N30" i="2"/>
  <c r="K23" i="2"/>
  <c r="U28" i="2"/>
  <c r="U7" i="2"/>
  <c r="W3" i="2"/>
  <c r="V5" i="2"/>
  <c r="V12" i="2"/>
  <c r="V29" i="2" s="1"/>
  <c r="F21" i="2"/>
  <c r="C23" i="2"/>
  <c r="J21" i="2"/>
  <c r="I23" i="2"/>
  <c r="K25" i="2" l="1"/>
  <c r="K85" i="2"/>
  <c r="N16" i="2"/>
  <c r="N32" i="2"/>
  <c r="U30" i="2"/>
  <c r="U32" i="2"/>
  <c r="U15" i="2"/>
  <c r="U35" i="2" s="1"/>
  <c r="X3" i="2"/>
  <c r="W5" i="2"/>
  <c r="W12" i="2"/>
  <c r="W29" i="2" s="1"/>
  <c r="V11" i="2"/>
  <c r="C25" i="2"/>
  <c r="F25" i="2" s="1"/>
  <c r="F23" i="2"/>
  <c r="I25" i="2"/>
  <c r="J25" i="2" s="1"/>
  <c r="J23" i="2"/>
  <c r="J85" i="2" s="1"/>
  <c r="N19" i="2" l="1"/>
  <c r="U19" i="2" s="1"/>
  <c r="U16" i="2"/>
  <c r="U36" i="2" s="1"/>
  <c r="N20" i="2"/>
  <c r="N21" i="2" s="1"/>
  <c r="F24" i="2"/>
  <c r="W11" i="2"/>
  <c r="X12" i="2"/>
  <c r="X29" i="2" s="1"/>
  <c r="M21" i="2"/>
  <c r="V28" i="2"/>
  <c r="V13" i="2"/>
  <c r="X5" i="2"/>
  <c r="Y3" i="2"/>
  <c r="J24" i="2"/>
  <c r="U20" i="2" l="1"/>
  <c r="Y12" i="2"/>
  <c r="Y29" i="2" s="1"/>
  <c r="Z3" i="2"/>
  <c r="Y5" i="2"/>
  <c r="W28" i="2"/>
  <c r="W13" i="2"/>
  <c r="M23" i="2"/>
  <c r="M85" i="2" s="1"/>
  <c r="U21" i="2"/>
  <c r="X11" i="2"/>
  <c r="V15" i="2"/>
  <c r="V35" i="2" s="1"/>
  <c r="V30" i="2"/>
  <c r="V14" i="2"/>
  <c r="V16" i="2" l="1"/>
  <c r="V36" i="2" s="1"/>
  <c r="V32" i="2"/>
  <c r="M25" i="2"/>
  <c r="N22" i="2"/>
  <c r="N23" i="2" s="1"/>
  <c r="N25" i="2" s="1"/>
  <c r="U25" i="2" s="1"/>
  <c r="W15" i="2"/>
  <c r="W35" i="2" s="1"/>
  <c r="W14" i="2"/>
  <c r="W32" i="2" s="1"/>
  <c r="W30" i="2"/>
  <c r="Y11" i="2"/>
  <c r="Z12" i="2"/>
  <c r="Z29" i="2" s="1"/>
  <c r="X13" i="2"/>
  <c r="X28" i="2"/>
  <c r="AA3" i="2"/>
  <c r="Z5" i="2"/>
  <c r="W16" i="2" l="1"/>
  <c r="W36" i="2" s="1"/>
  <c r="AB3" i="2"/>
  <c r="AA5" i="2"/>
  <c r="X14" i="2"/>
  <c r="X32" i="2" s="1"/>
  <c r="U22" i="2"/>
  <c r="X30" i="2"/>
  <c r="X15" i="2"/>
  <c r="X35" i="2" s="1"/>
  <c r="AA12" i="2"/>
  <c r="AA29" i="2" s="1"/>
  <c r="Y28" i="2"/>
  <c r="Y13" i="2"/>
  <c r="Z11" i="2"/>
  <c r="U23" i="2"/>
  <c r="U45" i="2" s="1"/>
  <c r="V18" i="2" s="1"/>
  <c r="V19" i="2" s="1"/>
  <c r="V20" i="2" s="1"/>
  <c r="V21" i="2" s="1"/>
  <c r="V22" i="2" s="1"/>
  <c r="V23" i="2" s="1"/>
  <c r="Y15" i="2" l="1"/>
  <c r="Y35" i="2" s="1"/>
  <c r="V45" i="2"/>
  <c r="W18" i="2" s="1"/>
  <c r="W19" i="2" s="1"/>
  <c r="U24" i="2"/>
  <c r="V24" i="2" s="1"/>
  <c r="W24" i="2" s="1"/>
  <c r="X24" i="2" s="1"/>
  <c r="Y24" i="2" s="1"/>
  <c r="Z24" i="2" s="1"/>
  <c r="AA24" i="2" s="1"/>
  <c r="AB24" i="2" s="1"/>
  <c r="AC24" i="2" s="1"/>
  <c r="AD24" i="2" s="1"/>
  <c r="X16" i="2"/>
  <c r="X36" i="2" s="1"/>
  <c r="Z28" i="2"/>
  <c r="Z13" i="2"/>
  <c r="AA11" i="2"/>
  <c r="Y30" i="2"/>
  <c r="Y14" i="2"/>
  <c r="Y32" i="2" s="1"/>
  <c r="AB12" i="2"/>
  <c r="AB29" i="2" s="1"/>
  <c r="AC3" i="2"/>
  <c r="AB5" i="2"/>
  <c r="Y16" i="2" l="1"/>
  <c r="Y36" i="2" s="1"/>
  <c r="AA28" i="2"/>
  <c r="AA13" i="2"/>
  <c r="AD3" i="2"/>
  <c r="AD5" i="2" s="1"/>
  <c r="AC5" i="2"/>
  <c r="Z30" i="2"/>
  <c r="Z15" i="2"/>
  <c r="Z35" i="2" s="1"/>
  <c r="Z14" i="2"/>
  <c r="Z32" i="2" s="1"/>
  <c r="AD12" i="2"/>
  <c r="AC12" i="2"/>
  <c r="AC29" i="2" s="1"/>
  <c r="AB11" i="2"/>
  <c r="V25" i="2"/>
  <c r="W20" i="2"/>
  <c r="W21" i="2" s="1"/>
  <c r="W22" i="2" s="1"/>
  <c r="W23" i="2" s="1"/>
  <c r="Z16" i="2" l="1"/>
  <c r="Z36" i="2" s="1"/>
  <c r="W45" i="2"/>
  <c r="W25" i="2"/>
  <c r="AB13" i="2"/>
  <c r="AB28" i="2"/>
  <c r="AD11" i="2"/>
  <c r="AC11" i="2"/>
  <c r="AA30" i="2"/>
  <c r="AA15" i="2"/>
  <c r="AA35" i="2" s="1"/>
  <c r="AA14" i="2"/>
  <c r="AA32" i="2" s="1"/>
  <c r="AD29" i="2"/>
  <c r="AA16" i="2" l="1"/>
  <c r="AA36" i="2" s="1"/>
  <c r="AC28" i="2"/>
  <c r="AC13" i="2"/>
  <c r="AD28" i="2"/>
  <c r="AD13" i="2"/>
  <c r="AB15" i="2"/>
  <c r="AB35" i="2" s="1"/>
  <c r="AB30" i="2"/>
  <c r="AB14" i="2"/>
  <c r="AB32" i="2" s="1"/>
  <c r="X18" i="2"/>
  <c r="X19" i="2" s="1"/>
  <c r="X20" i="2" s="1"/>
  <c r="X21" i="2" s="1"/>
  <c r="X22" i="2" s="1"/>
  <c r="X23" i="2" s="1"/>
  <c r="X25" i="2" s="1"/>
  <c r="X45" i="2" l="1"/>
  <c r="Y18" i="2" s="1"/>
  <c r="Y19" i="2" s="1"/>
  <c r="Y20" i="2" s="1"/>
  <c r="Y21" i="2" s="1"/>
  <c r="Y22" i="2" s="1"/>
  <c r="Y23" i="2" s="1"/>
  <c r="Y25" i="2" s="1"/>
  <c r="AB16" i="2"/>
  <c r="AB36" i="2" s="1"/>
  <c r="AD30" i="2"/>
  <c r="AC30" i="2"/>
  <c r="AC15" i="2"/>
  <c r="AC14" i="2"/>
  <c r="AD14" i="2" s="1"/>
  <c r="AD32" i="2" s="1"/>
  <c r="AD15" i="2" l="1"/>
  <c r="AD35" i="2" s="1"/>
  <c r="AC35" i="2"/>
  <c r="AC32" i="2"/>
  <c r="Y45" i="2"/>
  <c r="AC16" i="2"/>
  <c r="AC36" i="2" s="1"/>
  <c r="AD16" i="2" l="1"/>
  <c r="AD36" i="2" s="1"/>
  <c r="Z18" i="2"/>
  <c r="Z19" i="2" s="1"/>
  <c r="Z20" i="2" s="1"/>
  <c r="Z21" i="2" s="1"/>
  <c r="Z22" i="2" s="1"/>
  <c r="Z23" i="2" s="1"/>
  <c r="Z25" i="2" s="1"/>
  <c r="Z45" i="2" l="1"/>
  <c r="AA18" i="2" s="1"/>
  <c r="AA19" i="2" s="1"/>
  <c r="AA20" i="2" l="1"/>
  <c r="AA21" i="2" s="1"/>
  <c r="AA22" i="2" s="1"/>
  <c r="AA23" i="2" s="1"/>
  <c r="AA25" i="2" l="1"/>
  <c r="AA45" i="2"/>
  <c r="AB18" i="2" l="1"/>
  <c r="AB19" i="2" s="1"/>
  <c r="AB20" i="2" s="1"/>
  <c r="AB21" i="2" s="1"/>
  <c r="AB22" i="2" s="1"/>
  <c r="AB23" i="2" s="1"/>
  <c r="AB45" i="2" s="1"/>
  <c r="AC18" i="2" s="1"/>
  <c r="AC19" i="2" s="1"/>
  <c r="AC20" i="2" l="1"/>
  <c r="AC21" i="2" s="1"/>
  <c r="AB25" i="2"/>
  <c r="AC22" i="2" l="1"/>
  <c r="AC23" i="2" s="1"/>
  <c r="AC45" i="2" l="1"/>
  <c r="AC25" i="2"/>
  <c r="AD18" i="2" l="1"/>
  <c r="AD19" i="2" s="1"/>
  <c r="AD20" i="2" s="1"/>
  <c r="AD21" i="2" s="1"/>
  <c r="AD22" i="2" s="1"/>
  <c r="AD23" i="2" s="1"/>
  <c r="AD45" i="2" l="1"/>
  <c r="AH39" i="2"/>
  <c r="AD25" i="2"/>
  <c r="AE23" i="2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AR23" i="2" s="1"/>
  <c r="AS23" i="2" s="1"/>
  <c r="AT23" i="2" s="1"/>
  <c r="AU23" i="2" s="1"/>
  <c r="AV23" i="2" s="1"/>
  <c r="AW23" i="2" s="1"/>
  <c r="AX23" i="2" s="1"/>
  <c r="AY23" i="2" s="1"/>
  <c r="AZ23" i="2" s="1"/>
  <c r="BA23" i="2" s="1"/>
  <c r="BB23" i="2" s="1"/>
  <c r="BC23" i="2" s="1"/>
  <c r="BD23" i="2" s="1"/>
  <c r="BE23" i="2" s="1"/>
  <c r="BF23" i="2" s="1"/>
  <c r="BG23" i="2" s="1"/>
  <c r="BH23" i="2" s="1"/>
  <c r="BI23" i="2" s="1"/>
  <c r="BJ23" i="2" s="1"/>
  <c r="BK23" i="2" s="1"/>
  <c r="BL23" i="2" s="1"/>
  <c r="BM23" i="2" s="1"/>
  <c r="BN23" i="2" s="1"/>
  <c r="BO23" i="2" s="1"/>
  <c r="BP23" i="2" s="1"/>
  <c r="BQ23" i="2" s="1"/>
  <c r="BR23" i="2" s="1"/>
  <c r="BS23" i="2" s="1"/>
  <c r="BT23" i="2" s="1"/>
  <c r="BU23" i="2" s="1"/>
  <c r="BV23" i="2" s="1"/>
  <c r="BW23" i="2" s="1"/>
  <c r="BX23" i="2" s="1"/>
  <c r="BY23" i="2" s="1"/>
  <c r="BZ23" i="2" s="1"/>
  <c r="CA23" i="2" s="1"/>
  <c r="CB23" i="2" s="1"/>
  <c r="CC23" i="2" s="1"/>
  <c r="CD23" i="2" s="1"/>
  <c r="CE23" i="2" s="1"/>
  <c r="CF23" i="2" s="1"/>
  <c r="CG23" i="2" s="1"/>
  <c r="CH23" i="2" s="1"/>
  <c r="CI23" i="2" s="1"/>
  <c r="CJ23" i="2" s="1"/>
  <c r="CK23" i="2" s="1"/>
  <c r="CL23" i="2" s="1"/>
  <c r="CM23" i="2" s="1"/>
  <c r="CN23" i="2" s="1"/>
  <c r="CO23" i="2" s="1"/>
  <c r="CP23" i="2" s="1"/>
  <c r="CQ23" i="2" s="1"/>
  <c r="CR23" i="2" s="1"/>
  <c r="CS23" i="2" s="1"/>
  <c r="CT23" i="2" s="1"/>
  <c r="CU23" i="2" s="1"/>
  <c r="CV23" i="2" s="1"/>
  <c r="CW23" i="2" s="1"/>
  <c r="CX23" i="2" s="1"/>
  <c r="CY23" i="2" s="1"/>
  <c r="CZ23" i="2" s="1"/>
  <c r="DA23" i="2" s="1"/>
  <c r="DB23" i="2" s="1"/>
  <c r="DC23" i="2" s="1"/>
  <c r="DD23" i="2" s="1"/>
  <c r="DE23" i="2" s="1"/>
  <c r="DF23" i="2" s="1"/>
  <c r="DG23" i="2" s="1"/>
  <c r="DH23" i="2" s="1"/>
  <c r="DI23" i="2" s="1"/>
  <c r="DJ23" i="2" s="1"/>
  <c r="DK23" i="2" s="1"/>
  <c r="DL23" i="2" s="1"/>
  <c r="DM23" i="2" s="1"/>
  <c r="DN23" i="2" s="1"/>
  <c r="DO23" i="2" s="1"/>
  <c r="DP23" i="2" s="1"/>
  <c r="DQ23" i="2" s="1"/>
  <c r="DR23" i="2" s="1"/>
  <c r="DS23" i="2" s="1"/>
  <c r="DT23" i="2" s="1"/>
  <c r="DU23" i="2" s="1"/>
  <c r="DV23" i="2" s="1"/>
  <c r="DW23" i="2" s="1"/>
  <c r="DX23" i="2" s="1"/>
  <c r="DY23" i="2" s="1"/>
  <c r="DZ23" i="2" s="1"/>
  <c r="EA23" i="2" s="1"/>
  <c r="EB23" i="2" s="1"/>
  <c r="EC23" i="2" s="1"/>
  <c r="ED23" i="2" s="1"/>
  <c r="EE23" i="2" s="1"/>
  <c r="EF23" i="2" s="1"/>
  <c r="EG23" i="2" s="1"/>
  <c r="EH23" i="2" s="1"/>
  <c r="EI23" i="2" s="1"/>
  <c r="EJ23" i="2" s="1"/>
  <c r="EK23" i="2" s="1"/>
  <c r="EL23" i="2" s="1"/>
  <c r="EM23" i="2" s="1"/>
  <c r="EN23" i="2" s="1"/>
  <c r="EO23" i="2" s="1"/>
  <c r="EP23" i="2" s="1"/>
  <c r="EQ23" i="2" s="1"/>
  <c r="ER23" i="2" s="1"/>
  <c r="ES23" i="2" s="1"/>
  <c r="ET23" i="2" s="1"/>
  <c r="EU23" i="2" s="1"/>
  <c r="EV23" i="2" s="1"/>
  <c r="EW23" i="2" s="1"/>
  <c r="EX23" i="2" s="1"/>
  <c r="EY23" i="2" s="1"/>
  <c r="EZ23" i="2" s="1"/>
  <c r="FA23" i="2" s="1"/>
  <c r="FB23" i="2" s="1"/>
  <c r="FC23" i="2" s="1"/>
  <c r="FD23" i="2" s="1"/>
  <c r="FE23" i="2" s="1"/>
  <c r="FF23" i="2" s="1"/>
  <c r="FG23" i="2" s="1"/>
  <c r="FH23" i="2" s="1"/>
  <c r="FI23" i="2" s="1"/>
  <c r="FJ23" i="2" s="1"/>
  <c r="FK23" i="2" s="1"/>
  <c r="FL23" i="2" s="1"/>
  <c r="FM23" i="2" s="1"/>
  <c r="FN23" i="2" s="1"/>
  <c r="FO23" i="2" s="1"/>
  <c r="FP23" i="2" s="1"/>
  <c r="FQ23" i="2" s="1"/>
  <c r="FR23" i="2" s="1"/>
  <c r="FS23" i="2" s="1"/>
  <c r="FT23" i="2" s="1"/>
  <c r="FU23" i="2" s="1"/>
  <c r="FV23" i="2" s="1"/>
  <c r="FW23" i="2" s="1"/>
  <c r="FX23" i="2" s="1"/>
  <c r="FY23" i="2" s="1"/>
  <c r="FZ23" i="2" s="1"/>
  <c r="GA23" i="2" s="1"/>
  <c r="GB23" i="2" s="1"/>
  <c r="GC23" i="2" s="1"/>
  <c r="GD23" i="2" s="1"/>
  <c r="GE23" i="2" s="1"/>
  <c r="GF23" i="2" s="1"/>
  <c r="GG23" i="2" s="1"/>
  <c r="GH23" i="2" s="1"/>
  <c r="GI23" i="2" s="1"/>
  <c r="GJ23" i="2" s="1"/>
  <c r="GK23" i="2" s="1"/>
  <c r="GL23" i="2" s="1"/>
  <c r="GM23" i="2" s="1"/>
  <c r="GN23" i="2" s="1"/>
  <c r="GO23" i="2" s="1"/>
  <c r="GP23" i="2" s="1"/>
  <c r="GQ23" i="2" s="1"/>
  <c r="GR23" i="2" s="1"/>
  <c r="GS23" i="2" s="1"/>
  <c r="GT23" i="2" s="1"/>
  <c r="GU23" i="2" s="1"/>
  <c r="GV23" i="2" s="1"/>
  <c r="GW23" i="2" s="1"/>
  <c r="GX23" i="2" s="1"/>
  <c r="GY23" i="2" s="1"/>
  <c r="GZ23" i="2" s="1"/>
  <c r="HA23" i="2" s="1"/>
  <c r="HB23" i="2" s="1"/>
  <c r="HC23" i="2" s="1"/>
  <c r="HD23" i="2" s="1"/>
  <c r="HE23" i="2" s="1"/>
  <c r="HF23" i="2" s="1"/>
  <c r="HG23" i="2" s="1"/>
  <c r="HH23" i="2" s="1"/>
  <c r="HI23" i="2" s="1"/>
  <c r="HJ23" i="2" s="1"/>
  <c r="HK23" i="2" s="1"/>
  <c r="HL23" i="2" s="1"/>
  <c r="HM23" i="2" s="1"/>
  <c r="HN23" i="2" s="1"/>
  <c r="HO23" i="2" s="1"/>
  <c r="HP23" i="2" s="1"/>
  <c r="HQ23" i="2" s="1"/>
  <c r="HR23" i="2" s="1"/>
  <c r="HS23" i="2" s="1"/>
  <c r="HT23" i="2" s="1"/>
  <c r="HU23" i="2" s="1"/>
  <c r="HV23" i="2" s="1"/>
  <c r="AI30" i="2" l="1"/>
  <c r="AI32" i="2" s="1"/>
  <c r="AI34" i="2" s="1"/>
  <c r="AI36" i="2" s="1"/>
</calcChain>
</file>

<file path=xl/sharedStrings.xml><?xml version="1.0" encoding="utf-8"?>
<sst xmlns="http://schemas.openxmlformats.org/spreadsheetml/2006/main" count="102" uniqueCount="97">
  <si>
    <t>P</t>
  </si>
  <si>
    <t>S</t>
  </si>
  <si>
    <t>MC</t>
  </si>
  <si>
    <t>C</t>
  </si>
  <si>
    <t>D</t>
  </si>
  <si>
    <t>EV</t>
  </si>
  <si>
    <t>Q124</t>
  </si>
  <si>
    <t>Q122</t>
  </si>
  <si>
    <t>Q322</t>
  </si>
  <si>
    <t>Q422</t>
  </si>
  <si>
    <t>Q123</t>
  </si>
  <si>
    <t>Q223</t>
  </si>
  <si>
    <t>Q323</t>
  </si>
  <si>
    <t>Q423</t>
  </si>
  <si>
    <t>Q224</t>
  </si>
  <si>
    <t>Q324</t>
  </si>
  <si>
    <t>Q424</t>
  </si>
  <si>
    <t>Co. Operated shops</t>
  </si>
  <si>
    <t xml:space="preserve">Total Revenue </t>
  </si>
  <si>
    <t>Franchising</t>
  </si>
  <si>
    <t>C.</t>
  </si>
  <si>
    <t>SG&amp;A</t>
  </si>
  <si>
    <t xml:space="preserve">Operating Income </t>
  </si>
  <si>
    <t>Interest expense</t>
  </si>
  <si>
    <t xml:space="preserve">Other income </t>
  </si>
  <si>
    <t>EBT</t>
  </si>
  <si>
    <t>Taxes</t>
  </si>
  <si>
    <t xml:space="preserve">Net Income </t>
  </si>
  <si>
    <t>NC</t>
  </si>
  <si>
    <t xml:space="preserve">Net Net </t>
  </si>
  <si>
    <t>Diluted</t>
  </si>
  <si>
    <t>EPS</t>
  </si>
  <si>
    <t>Co. Operated shops y/y</t>
  </si>
  <si>
    <t>Franchising y/y</t>
  </si>
  <si>
    <t>Q222</t>
  </si>
  <si>
    <t>Revenue y/y</t>
  </si>
  <si>
    <t xml:space="preserve">Cash </t>
  </si>
  <si>
    <t>A/R</t>
  </si>
  <si>
    <t>Inventories</t>
  </si>
  <si>
    <t>Prepaid expenses</t>
  </si>
  <si>
    <t>PPE</t>
  </si>
  <si>
    <t>Fin Lease</t>
  </si>
  <si>
    <t>Op Lease</t>
  </si>
  <si>
    <t>Intangibles</t>
  </si>
  <si>
    <t>Goodwill</t>
  </si>
  <si>
    <t>Deferred i/t</t>
  </si>
  <si>
    <t>OLTA</t>
  </si>
  <si>
    <t xml:space="preserve">Founded </t>
  </si>
  <si>
    <t>Franchised</t>
  </si>
  <si>
    <t>Co Op</t>
  </si>
  <si>
    <t xml:space="preserve">Net Units </t>
  </si>
  <si>
    <t xml:space="preserve">Menu </t>
  </si>
  <si>
    <t>Co. AUV</t>
  </si>
  <si>
    <t>Franchised AUV</t>
  </si>
  <si>
    <t>A/P</t>
  </si>
  <si>
    <t>Accrued Comp</t>
  </si>
  <si>
    <t>Other accrued</t>
  </si>
  <si>
    <t>Other current liab</t>
  </si>
  <si>
    <t>Deferred rev</t>
  </si>
  <si>
    <t>Current fin lease</t>
  </si>
  <si>
    <t>Current op lease</t>
  </si>
  <si>
    <t>Current LTD</t>
  </si>
  <si>
    <t>Fin Lease Liab</t>
  </si>
  <si>
    <t>Op Lease Liab</t>
  </si>
  <si>
    <t>LTD</t>
  </si>
  <si>
    <t>Tax Rec agreements</t>
  </si>
  <si>
    <t>OLTL</t>
  </si>
  <si>
    <t>E</t>
  </si>
  <si>
    <t>TL + E</t>
  </si>
  <si>
    <t>TL</t>
  </si>
  <si>
    <t>CL</t>
  </si>
  <si>
    <t>TA</t>
  </si>
  <si>
    <t>CA</t>
  </si>
  <si>
    <t xml:space="preserve">Net Cash </t>
  </si>
  <si>
    <t>Press Releases</t>
  </si>
  <si>
    <t xml:space="preserve">Terminal </t>
  </si>
  <si>
    <t xml:space="preserve">Discount </t>
  </si>
  <si>
    <t>NPV</t>
  </si>
  <si>
    <t xml:space="preserve">Total Value </t>
  </si>
  <si>
    <t>Shares</t>
  </si>
  <si>
    <t xml:space="preserve">Estimate </t>
  </si>
  <si>
    <t>Current</t>
  </si>
  <si>
    <t xml:space="preserve">Upside </t>
  </si>
  <si>
    <t>ROIC</t>
  </si>
  <si>
    <t xml:space="preserve">CFFO </t>
  </si>
  <si>
    <t>Capex</t>
  </si>
  <si>
    <t xml:space="preserve">Free Cash Flow </t>
  </si>
  <si>
    <t>GM%</t>
  </si>
  <si>
    <t>Q2'24</t>
  </si>
  <si>
    <t xml:space="preserve">CEO </t>
  </si>
  <si>
    <t>Christine Barone</t>
  </si>
  <si>
    <t>Former Wendy's CEO joins board</t>
  </si>
  <si>
    <t>Shop Margin</t>
  </si>
  <si>
    <t>4Q FCF</t>
  </si>
  <si>
    <t xml:space="preserve">4Q NI </t>
  </si>
  <si>
    <t>SSS</t>
  </si>
  <si>
    <t xml:space="preserve">% Revenue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</si>
</sst>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0"/>
      <color theme="1"/>
      <name val="ArialMT"/>
      <family val="2"/>
    </font>
    <font>
      <b/>
      <sz val="10"/>
      <color theme="1"/>
      <name val="ArialMT"/>
    </font>
    <font>
      <u/>
      <sz val="10"/>
      <color theme="10"/>
      <name val="ArialMT"/>
      <family val="2"/>
    </font>
    <font>
      <sz val="10"/>
      <color theme="1"/>
      <name val="ArialMT"/>
      <family val="2"/>
    </font>
    <font>
      <u/>
      <sz val="10"/>
      <color theme="1"/>
      <name val="ArialMT"/>
      <family val="2"/>
    </font>
    <font>
      <sz val="10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4" fontId="0" fillId="0" borderId="0" xfId="0" applyNumberFormat="1"/>
    <xf numFmtId="3" fontId="1" fillId="0" borderId="0" xfId="0" applyNumberFormat="1" applyFont="1"/>
    <xf numFmtId="9" fontId="0" fillId="0" borderId="0" xfId="0" applyNumberFormat="1"/>
    <xf numFmtId="1" fontId="0" fillId="0" borderId="0" xfId="0" applyNumberFormat="1"/>
    <xf numFmtId="9" fontId="1" fillId="0" borderId="0" xfId="0" applyNumberFormat="1" applyFont="1"/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3" fontId="2" fillId="0" borderId="0" xfId="1" applyNumberFormat="1"/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2" fontId="0" fillId="0" borderId="0" xfId="0" applyNumberFormat="1"/>
    <xf numFmtId="3" fontId="4" fillId="0" borderId="0" xfId="0" applyNumberFormat="1" applyFont="1"/>
    <xf numFmtId="9" fontId="0" fillId="0" borderId="0" xfId="0" applyNumberFormat="1" applyAlignment="1">
      <alignment horizontal="right"/>
    </xf>
    <xf numFmtId="164" fontId="0" fillId="0" borderId="0" xfId="2" applyNumberFormat="1" applyFont="1" applyAlignment="1">
      <alignment horizontal="right"/>
    </xf>
    <xf numFmtId="9" fontId="5" fillId="0" borderId="0" xfId="0" applyNumberFormat="1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4417</xdr:rowOff>
    </xdr:from>
    <xdr:to>
      <xdr:col>13</xdr:col>
      <xdr:colOff>0</xdr:colOff>
      <xdr:row>95</xdr:row>
      <xdr:rowOff>16933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0AFDCBE-A063-0656-A433-0F13ECCA2DF8}"/>
            </a:ext>
          </a:extLst>
        </xdr:cNvPr>
        <xdr:cNvCxnSpPr/>
      </xdr:nvCxnSpPr>
      <xdr:spPr>
        <a:xfrm>
          <a:off x="8636000" y="4417"/>
          <a:ext cx="0" cy="1457518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567951</xdr:colOff>
      <xdr:row>0</xdr:row>
      <xdr:rowOff>47330</xdr:rowOff>
    </xdr:from>
    <xdr:to>
      <xdr:col>19</xdr:col>
      <xdr:colOff>575840</xdr:colOff>
      <xdr:row>90</xdr:row>
      <xdr:rowOff>157766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7213DE3-685F-4145-B09D-4FC5318B0860}"/>
            </a:ext>
          </a:extLst>
        </xdr:cNvPr>
        <xdr:cNvCxnSpPr/>
      </xdr:nvCxnSpPr>
      <xdr:spPr>
        <a:xfrm flipH="1">
          <a:off x="12518572" y="47330"/>
          <a:ext cx="7889" cy="1286565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vestors.dutchbros.com/news/news-details/2024/Former-Wendys-CEO-Joins-Dutch-Bros-Board-of-Directors/default.aspx" TargetMode="External"/><Relationship Id="rId2" Type="http://schemas.openxmlformats.org/officeDocument/2006/relationships/hyperlink" Target="https://investors.dutchbros.com/news/news-details/2024/Dutch-Bros-Inc.-Reports-Second-Quarter-2024-Financial-Results/default.aspx" TargetMode="External"/><Relationship Id="rId1" Type="http://schemas.openxmlformats.org/officeDocument/2006/relationships/hyperlink" Target="https://www.dutchbros.com/menu/sparkling-sod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37B08-3B42-E543-AEB6-9C25FD943FA8}">
  <dimension ref="B2:I11"/>
  <sheetViews>
    <sheetView zoomScale="213" workbookViewId="0">
      <selection activeCell="F5" sqref="F5"/>
    </sheetView>
  </sheetViews>
  <sheetFormatPr baseColWidth="10" defaultRowHeight="13"/>
  <cols>
    <col min="1" max="1" width="10.83203125" style="1"/>
    <col min="2" max="2" width="13.1640625" style="1" bestFit="1" customWidth="1"/>
    <col min="3" max="3" width="5.1640625" style="1" bestFit="1" customWidth="1"/>
    <col min="4" max="4" width="10.83203125" style="1"/>
    <col min="5" max="5" width="3.6640625" style="1" bestFit="1" customWidth="1"/>
    <col min="6" max="6" width="5.6640625" style="1" bestFit="1" customWidth="1"/>
    <col min="7" max="7" width="5.5" style="1" bestFit="1" customWidth="1"/>
    <col min="8" max="8" width="10.83203125" style="1"/>
    <col min="9" max="9" width="6" style="1" bestFit="1" customWidth="1"/>
    <col min="10" max="16384" width="10.83203125" style="1"/>
  </cols>
  <sheetData>
    <row r="2" spans="2:9">
      <c r="B2" s="1" t="s">
        <v>47</v>
      </c>
      <c r="C2" s="5">
        <v>1992</v>
      </c>
      <c r="I2" s="9" t="s">
        <v>51</v>
      </c>
    </row>
    <row r="3" spans="2:9">
      <c r="B3" s="1" t="s">
        <v>89</v>
      </c>
      <c r="C3" s="1" t="s">
        <v>90</v>
      </c>
    </row>
    <row r="4" spans="2:9">
      <c r="E4" s="1" t="s">
        <v>0</v>
      </c>
      <c r="F4" s="2">
        <v>51.2</v>
      </c>
    </row>
    <row r="5" spans="2:9">
      <c r="E5" s="1" t="s">
        <v>1</v>
      </c>
      <c r="F5" s="1">
        <f>113.819371+35.22668+5.14205</f>
        <v>154.18810100000002</v>
      </c>
      <c r="G5" s="1" t="s">
        <v>6</v>
      </c>
    </row>
    <row r="6" spans="2:9">
      <c r="E6" s="1" t="s">
        <v>2</v>
      </c>
      <c r="F6" s="1">
        <f>+F4*F5</f>
        <v>7894.4307712000009</v>
      </c>
    </row>
    <row r="7" spans="2:9">
      <c r="E7" s="1" t="s">
        <v>3</v>
      </c>
      <c r="F7" s="1">
        <v>260.92200000000003</v>
      </c>
      <c r="G7" s="1" t="str">
        <f>+G5</f>
        <v>Q124</v>
      </c>
    </row>
    <row r="8" spans="2:9">
      <c r="E8" s="1" t="s">
        <v>4</v>
      </c>
      <c r="F8" s="1">
        <f>14.182+28.966</f>
        <v>43.148000000000003</v>
      </c>
      <c r="G8" s="1" t="str">
        <f>+G7</f>
        <v>Q124</v>
      </c>
    </row>
    <row r="9" spans="2:9">
      <c r="B9" s="13" t="s">
        <v>74</v>
      </c>
      <c r="E9" s="1" t="s">
        <v>5</v>
      </c>
      <c r="F9" s="1">
        <f>+F6-F7+F8</f>
        <v>7676.6567712000005</v>
      </c>
    </row>
    <row r="10" spans="2:9">
      <c r="B10" s="9" t="s">
        <v>88</v>
      </c>
    </row>
    <row r="11" spans="2:9">
      <c r="B11" s="9" t="s">
        <v>91</v>
      </c>
    </row>
  </sheetData>
  <hyperlinks>
    <hyperlink ref="I2" r:id="rId1" xr:uid="{378F230E-9EBD-8949-A9B0-40C1C191441B}"/>
    <hyperlink ref="B10" r:id="rId2" xr:uid="{5C62A28D-7E86-3E4F-8188-DA093E346617}"/>
    <hyperlink ref="B11" r:id="rId3" display="Former Wendy's CEO joins. Board" xr:uid="{CA142C00-387F-AC43-B4AF-805CCED066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7274-F2F7-A04F-AFA7-4C603A845F2C}">
  <dimension ref="B2:XFD85"/>
  <sheetViews>
    <sheetView tabSelected="1" zoomScale="150" zoomScaleNormal="100" workbookViewId="0">
      <pane xSplit="2" ySplit="2" topLeftCell="P3" activePane="bottomRight" state="frozen"/>
      <selection pane="topRight" activeCell="C1" sqref="C1"/>
      <selection pane="bottomLeft" activeCell="A3" sqref="A3"/>
      <selection pane="bottomRight" activeCell="AE18" sqref="AE18"/>
    </sheetView>
  </sheetViews>
  <sheetFormatPr baseColWidth="10" defaultRowHeight="13"/>
  <cols>
    <col min="1" max="1" width="3.5" style="1" customWidth="1"/>
    <col min="2" max="2" width="19.6640625" style="1" bestFit="1" customWidth="1"/>
    <col min="3" max="8" width="7.6640625" style="1" bestFit="1" customWidth="1"/>
    <col min="9" max="9" width="8.1640625" style="1" bestFit="1" customWidth="1"/>
    <col min="10" max="12" width="9.1640625" style="1" bestFit="1" customWidth="1"/>
    <col min="13" max="13" width="8.1640625" style="1" bestFit="1" customWidth="1"/>
    <col min="14" max="14" width="7.6640625" style="1" bestFit="1" customWidth="1"/>
    <col min="15" max="15" width="10.83203125" style="1"/>
    <col min="16" max="17" width="5.1640625" style="1" bestFit="1" customWidth="1"/>
    <col min="18" max="18" width="8.1640625" style="1" bestFit="1" customWidth="1"/>
    <col min="19" max="20" width="7.6640625" style="1" bestFit="1" customWidth="1"/>
    <col min="21" max="30" width="9.1640625" style="1" bestFit="1" customWidth="1"/>
    <col min="31" max="31" width="7.6640625" style="1" bestFit="1" customWidth="1"/>
    <col min="32" max="16384" width="10.83203125" style="1"/>
  </cols>
  <sheetData>
    <row r="2" spans="2:230" s="7" customFormat="1">
      <c r="C2" s="7" t="s">
        <v>7</v>
      </c>
      <c r="D2" s="7" t="s">
        <v>34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6</v>
      </c>
      <c r="L2" s="7" t="s">
        <v>14</v>
      </c>
      <c r="M2" s="7" t="s">
        <v>15</v>
      </c>
      <c r="N2" s="7" t="s">
        <v>16</v>
      </c>
      <c r="P2" s="7">
        <v>2019</v>
      </c>
      <c r="Q2" s="7">
        <f>+P2+1</f>
        <v>2020</v>
      </c>
      <c r="R2" s="7">
        <f t="shared" ref="R2:AD2" si="0">+Q2+1</f>
        <v>2021</v>
      </c>
      <c r="S2" s="7">
        <f t="shared" si="0"/>
        <v>2022</v>
      </c>
      <c r="T2" s="7">
        <f t="shared" si="0"/>
        <v>2023</v>
      </c>
      <c r="U2" s="7">
        <f t="shared" si="0"/>
        <v>2024</v>
      </c>
      <c r="V2" s="7">
        <f t="shared" si="0"/>
        <v>2025</v>
      </c>
      <c r="W2" s="7">
        <f t="shared" si="0"/>
        <v>2026</v>
      </c>
      <c r="X2" s="7">
        <f t="shared" si="0"/>
        <v>2027</v>
      </c>
      <c r="Y2" s="7">
        <f t="shared" si="0"/>
        <v>2028</v>
      </c>
      <c r="Z2" s="7">
        <f t="shared" si="0"/>
        <v>2029</v>
      </c>
      <c r="AA2" s="7">
        <f t="shared" si="0"/>
        <v>2030</v>
      </c>
      <c r="AB2" s="7">
        <f t="shared" si="0"/>
        <v>2031</v>
      </c>
      <c r="AC2" s="7">
        <f t="shared" si="0"/>
        <v>2032</v>
      </c>
      <c r="AD2" s="7">
        <f t="shared" si="0"/>
        <v>2033</v>
      </c>
      <c r="AE2" s="7">
        <f>+AD2+1</f>
        <v>2034</v>
      </c>
      <c r="AF2" s="7">
        <f t="shared" ref="AF2:AJ2" si="1">+AE2+1</f>
        <v>2035</v>
      </c>
      <c r="AG2" s="7">
        <f t="shared" si="1"/>
        <v>2036</v>
      </c>
      <c r="AH2" s="7">
        <f t="shared" si="1"/>
        <v>2037</v>
      </c>
      <c r="AI2" s="7">
        <f t="shared" si="1"/>
        <v>2038</v>
      </c>
      <c r="AJ2" s="7">
        <f t="shared" si="1"/>
        <v>2039</v>
      </c>
      <c r="AK2" s="7">
        <f t="shared" ref="AK2:CV2" si="2">+AJ2+1</f>
        <v>2040</v>
      </c>
      <c r="AL2" s="7">
        <f t="shared" si="2"/>
        <v>2041</v>
      </c>
      <c r="AM2" s="7">
        <f t="shared" si="2"/>
        <v>2042</v>
      </c>
      <c r="AN2" s="7">
        <f t="shared" si="2"/>
        <v>2043</v>
      </c>
      <c r="AO2" s="7">
        <f t="shared" si="2"/>
        <v>2044</v>
      </c>
      <c r="AP2" s="7">
        <f t="shared" si="2"/>
        <v>2045</v>
      </c>
      <c r="AQ2" s="7">
        <f t="shared" si="2"/>
        <v>2046</v>
      </c>
      <c r="AR2" s="7">
        <f t="shared" si="2"/>
        <v>2047</v>
      </c>
      <c r="AS2" s="7">
        <f t="shared" si="2"/>
        <v>2048</v>
      </c>
      <c r="AT2" s="7">
        <f t="shared" si="2"/>
        <v>2049</v>
      </c>
      <c r="AU2" s="7">
        <f t="shared" si="2"/>
        <v>2050</v>
      </c>
      <c r="AV2" s="7">
        <f t="shared" si="2"/>
        <v>2051</v>
      </c>
      <c r="AW2" s="7">
        <f t="shared" si="2"/>
        <v>2052</v>
      </c>
      <c r="AX2" s="7">
        <f t="shared" si="2"/>
        <v>2053</v>
      </c>
      <c r="AY2" s="7">
        <f t="shared" si="2"/>
        <v>2054</v>
      </c>
      <c r="AZ2" s="7">
        <f t="shared" si="2"/>
        <v>2055</v>
      </c>
      <c r="BA2" s="7">
        <f t="shared" si="2"/>
        <v>2056</v>
      </c>
      <c r="BB2" s="7">
        <f t="shared" si="2"/>
        <v>2057</v>
      </c>
      <c r="BC2" s="7">
        <f t="shared" si="2"/>
        <v>2058</v>
      </c>
      <c r="BD2" s="7">
        <f t="shared" si="2"/>
        <v>2059</v>
      </c>
      <c r="BE2" s="7">
        <f t="shared" si="2"/>
        <v>2060</v>
      </c>
      <c r="BF2" s="7">
        <f t="shared" si="2"/>
        <v>2061</v>
      </c>
      <c r="BG2" s="7">
        <f t="shared" si="2"/>
        <v>2062</v>
      </c>
      <c r="BH2" s="7">
        <f t="shared" si="2"/>
        <v>2063</v>
      </c>
      <c r="BI2" s="7">
        <f t="shared" si="2"/>
        <v>2064</v>
      </c>
      <c r="BJ2" s="7">
        <f t="shared" si="2"/>
        <v>2065</v>
      </c>
      <c r="BK2" s="7">
        <f t="shared" si="2"/>
        <v>2066</v>
      </c>
      <c r="BL2" s="7">
        <f t="shared" si="2"/>
        <v>2067</v>
      </c>
      <c r="BM2" s="7">
        <f t="shared" si="2"/>
        <v>2068</v>
      </c>
      <c r="BN2" s="7">
        <f t="shared" si="2"/>
        <v>2069</v>
      </c>
      <c r="BO2" s="7">
        <f t="shared" si="2"/>
        <v>2070</v>
      </c>
      <c r="BP2" s="7">
        <f t="shared" si="2"/>
        <v>2071</v>
      </c>
      <c r="BQ2" s="7">
        <f t="shared" si="2"/>
        <v>2072</v>
      </c>
      <c r="BR2" s="7">
        <f t="shared" si="2"/>
        <v>2073</v>
      </c>
      <c r="BS2" s="7">
        <f t="shared" si="2"/>
        <v>2074</v>
      </c>
      <c r="BT2" s="7">
        <f t="shared" si="2"/>
        <v>2075</v>
      </c>
      <c r="BU2" s="7">
        <f t="shared" si="2"/>
        <v>2076</v>
      </c>
      <c r="BV2" s="7">
        <f t="shared" si="2"/>
        <v>2077</v>
      </c>
      <c r="BW2" s="7">
        <f t="shared" si="2"/>
        <v>2078</v>
      </c>
      <c r="BX2" s="7">
        <f t="shared" si="2"/>
        <v>2079</v>
      </c>
      <c r="BY2" s="7">
        <f t="shared" si="2"/>
        <v>2080</v>
      </c>
      <c r="BZ2" s="7">
        <f t="shared" si="2"/>
        <v>2081</v>
      </c>
      <c r="CA2" s="7">
        <f t="shared" si="2"/>
        <v>2082</v>
      </c>
      <c r="CB2" s="7">
        <f t="shared" si="2"/>
        <v>2083</v>
      </c>
      <c r="CC2" s="7">
        <f t="shared" si="2"/>
        <v>2084</v>
      </c>
      <c r="CD2" s="7">
        <f t="shared" si="2"/>
        <v>2085</v>
      </c>
      <c r="CE2" s="7">
        <f t="shared" si="2"/>
        <v>2086</v>
      </c>
      <c r="CF2" s="7">
        <f t="shared" si="2"/>
        <v>2087</v>
      </c>
      <c r="CG2" s="7">
        <f t="shared" si="2"/>
        <v>2088</v>
      </c>
      <c r="CH2" s="7">
        <f t="shared" si="2"/>
        <v>2089</v>
      </c>
      <c r="CI2" s="7">
        <f t="shared" si="2"/>
        <v>2090</v>
      </c>
      <c r="CJ2" s="7">
        <f t="shared" si="2"/>
        <v>2091</v>
      </c>
      <c r="CK2" s="7">
        <f t="shared" si="2"/>
        <v>2092</v>
      </c>
      <c r="CL2" s="7">
        <f t="shared" si="2"/>
        <v>2093</v>
      </c>
      <c r="CM2" s="7">
        <f t="shared" si="2"/>
        <v>2094</v>
      </c>
      <c r="CN2" s="7">
        <f t="shared" si="2"/>
        <v>2095</v>
      </c>
      <c r="CO2" s="7">
        <f t="shared" si="2"/>
        <v>2096</v>
      </c>
      <c r="CP2" s="7">
        <f t="shared" si="2"/>
        <v>2097</v>
      </c>
      <c r="CQ2" s="7">
        <f t="shared" si="2"/>
        <v>2098</v>
      </c>
      <c r="CR2" s="7">
        <f t="shared" si="2"/>
        <v>2099</v>
      </c>
      <c r="CS2" s="7">
        <f t="shared" si="2"/>
        <v>2100</v>
      </c>
      <c r="CT2" s="7">
        <f t="shared" si="2"/>
        <v>2101</v>
      </c>
      <c r="CU2" s="7">
        <f t="shared" si="2"/>
        <v>2102</v>
      </c>
      <c r="CV2" s="7">
        <f t="shared" si="2"/>
        <v>2103</v>
      </c>
      <c r="CW2" s="7">
        <f t="shared" ref="CW2:EV2" si="3">+CV2+1</f>
        <v>2104</v>
      </c>
      <c r="CX2" s="7">
        <f t="shared" si="3"/>
        <v>2105</v>
      </c>
      <c r="CY2" s="7">
        <f t="shared" si="3"/>
        <v>2106</v>
      </c>
      <c r="CZ2" s="7">
        <f t="shared" si="3"/>
        <v>2107</v>
      </c>
      <c r="DA2" s="7">
        <f t="shared" si="3"/>
        <v>2108</v>
      </c>
      <c r="DB2" s="7">
        <f t="shared" si="3"/>
        <v>2109</v>
      </c>
      <c r="DC2" s="7">
        <f t="shared" si="3"/>
        <v>2110</v>
      </c>
      <c r="DD2" s="7">
        <f t="shared" si="3"/>
        <v>2111</v>
      </c>
      <c r="DE2" s="7">
        <f t="shared" si="3"/>
        <v>2112</v>
      </c>
      <c r="DF2" s="7">
        <f t="shared" si="3"/>
        <v>2113</v>
      </c>
      <c r="DG2" s="7">
        <f t="shared" si="3"/>
        <v>2114</v>
      </c>
      <c r="DH2" s="7">
        <f t="shared" si="3"/>
        <v>2115</v>
      </c>
      <c r="DI2" s="7">
        <f t="shared" si="3"/>
        <v>2116</v>
      </c>
      <c r="DJ2" s="7">
        <f t="shared" si="3"/>
        <v>2117</v>
      </c>
      <c r="DK2" s="7">
        <f t="shared" si="3"/>
        <v>2118</v>
      </c>
      <c r="DL2" s="7">
        <f t="shared" si="3"/>
        <v>2119</v>
      </c>
      <c r="DM2" s="7">
        <f t="shared" si="3"/>
        <v>2120</v>
      </c>
      <c r="DN2" s="7">
        <f t="shared" si="3"/>
        <v>2121</v>
      </c>
      <c r="DO2" s="7">
        <f t="shared" si="3"/>
        <v>2122</v>
      </c>
      <c r="DP2" s="7">
        <f t="shared" si="3"/>
        <v>2123</v>
      </c>
      <c r="DQ2" s="7">
        <f t="shared" si="3"/>
        <v>2124</v>
      </c>
      <c r="DR2" s="7">
        <f t="shared" si="3"/>
        <v>2125</v>
      </c>
      <c r="DS2" s="7">
        <f t="shared" si="3"/>
        <v>2126</v>
      </c>
      <c r="DT2" s="7">
        <f t="shared" si="3"/>
        <v>2127</v>
      </c>
      <c r="DU2" s="7">
        <f t="shared" si="3"/>
        <v>2128</v>
      </c>
      <c r="DV2" s="7">
        <f t="shared" si="3"/>
        <v>2129</v>
      </c>
      <c r="DW2" s="7">
        <f t="shared" si="3"/>
        <v>2130</v>
      </c>
      <c r="DX2" s="7">
        <f t="shared" si="3"/>
        <v>2131</v>
      </c>
      <c r="DY2" s="7">
        <f t="shared" si="3"/>
        <v>2132</v>
      </c>
      <c r="DZ2" s="7">
        <f t="shared" si="3"/>
        <v>2133</v>
      </c>
      <c r="EA2" s="7">
        <f t="shared" si="3"/>
        <v>2134</v>
      </c>
      <c r="EB2" s="7">
        <f t="shared" si="3"/>
        <v>2135</v>
      </c>
      <c r="EC2" s="7">
        <f t="shared" si="3"/>
        <v>2136</v>
      </c>
      <c r="ED2" s="7">
        <f t="shared" si="3"/>
        <v>2137</v>
      </c>
      <c r="EE2" s="7">
        <f t="shared" si="3"/>
        <v>2138</v>
      </c>
      <c r="EF2" s="7">
        <f t="shared" si="3"/>
        <v>2139</v>
      </c>
      <c r="EG2" s="7">
        <f t="shared" si="3"/>
        <v>2140</v>
      </c>
      <c r="EH2" s="7">
        <f t="shared" si="3"/>
        <v>2141</v>
      </c>
      <c r="EI2" s="7">
        <f t="shared" si="3"/>
        <v>2142</v>
      </c>
      <c r="EJ2" s="7">
        <f t="shared" si="3"/>
        <v>2143</v>
      </c>
      <c r="EK2" s="7">
        <f t="shared" si="3"/>
        <v>2144</v>
      </c>
      <c r="EL2" s="7">
        <f t="shared" si="3"/>
        <v>2145</v>
      </c>
      <c r="EM2" s="7">
        <f t="shared" si="3"/>
        <v>2146</v>
      </c>
      <c r="EN2" s="7">
        <f t="shared" si="3"/>
        <v>2147</v>
      </c>
      <c r="EO2" s="7">
        <f t="shared" si="3"/>
        <v>2148</v>
      </c>
      <c r="EP2" s="7">
        <f t="shared" si="3"/>
        <v>2149</v>
      </c>
      <c r="EQ2" s="7">
        <f t="shared" si="3"/>
        <v>2150</v>
      </c>
      <c r="ER2" s="7">
        <f t="shared" si="3"/>
        <v>2151</v>
      </c>
      <c r="ES2" s="7">
        <f t="shared" si="3"/>
        <v>2152</v>
      </c>
      <c r="ET2" s="7">
        <f t="shared" si="3"/>
        <v>2153</v>
      </c>
      <c r="EU2" s="7">
        <f t="shared" si="3"/>
        <v>2154</v>
      </c>
      <c r="EV2" s="7">
        <f t="shared" si="3"/>
        <v>2155</v>
      </c>
      <c r="EW2" s="7">
        <f t="shared" ref="EW2:GB2" si="4">+EV2+1</f>
        <v>2156</v>
      </c>
      <c r="EX2" s="7">
        <f t="shared" si="4"/>
        <v>2157</v>
      </c>
      <c r="EY2" s="7">
        <f t="shared" si="4"/>
        <v>2158</v>
      </c>
      <c r="EZ2" s="7">
        <f t="shared" si="4"/>
        <v>2159</v>
      </c>
      <c r="FA2" s="7">
        <f t="shared" si="4"/>
        <v>2160</v>
      </c>
      <c r="FB2" s="7">
        <f t="shared" si="4"/>
        <v>2161</v>
      </c>
      <c r="FC2" s="7">
        <f t="shared" si="4"/>
        <v>2162</v>
      </c>
      <c r="FD2" s="7">
        <f t="shared" si="4"/>
        <v>2163</v>
      </c>
      <c r="FE2" s="7">
        <f t="shared" si="4"/>
        <v>2164</v>
      </c>
      <c r="FF2" s="7">
        <f t="shared" si="4"/>
        <v>2165</v>
      </c>
      <c r="FG2" s="7">
        <f t="shared" si="4"/>
        <v>2166</v>
      </c>
      <c r="FH2" s="7">
        <f t="shared" si="4"/>
        <v>2167</v>
      </c>
      <c r="FI2" s="7">
        <f t="shared" si="4"/>
        <v>2168</v>
      </c>
      <c r="FJ2" s="7">
        <f t="shared" si="4"/>
        <v>2169</v>
      </c>
      <c r="FK2" s="7">
        <f t="shared" si="4"/>
        <v>2170</v>
      </c>
      <c r="FL2" s="7">
        <f t="shared" si="4"/>
        <v>2171</v>
      </c>
      <c r="FM2" s="7">
        <f t="shared" si="4"/>
        <v>2172</v>
      </c>
      <c r="FN2" s="7">
        <f t="shared" si="4"/>
        <v>2173</v>
      </c>
      <c r="FO2" s="7">
        <f t="shared" si="4"/>
        <v>2174</v>
      </c>
      <c r="FP2" s="7">
        <f t="shared" si="4"/>
        <v>2175</v>
      </c>
      <c r="FQ2" s="7">
        <f t="shared" si="4"/>
        <v>2176</v>
      </c>
      <c r="FR2" s="7">
        <f t="shared" si="4"/>
        <v>2177</v>
      </c>
      <c r="FS2" s="7">
        <f t="shared" si="4"/>
        <v>2178</v>
      </c>
      <c r="FT2" s="7">
        <f t="shared" si="4"/>
        <v>2179</v>
      </c>
      <c r="FU2" s="7">
        <f t="shared" si="4"/>
        <v>2180</v>
      </c>
      <c r="FV2" s="7">
        <f t="shared" si="4"/>
        <v>2181</v>
      </c>
      <c r="FW2" s="7">
        <f t="shared" si="4"/>
        <v>2182</v>
      </c>
      <c r="FX2" s="7">
        <f t="shared" si="4"/>
        <v>2183</v>
      </c>
      <c r="FY2" s="7">
        <f t="shared" si="4"/>
        <v>2184</v>
      </c>
      <c r="FZ2" s="7">
        <f t="shared" si="4"/>
        <v>2185</v>
      </c>
      <c r="GA2" s="7">
        <f t="shared" si="4"/>
        <v>2186</v>
      </c>
      <c r="GB2" s="7">
        <f t="shared" si="4"/>
        <v>2187</v>
      </c>
      <c r="GC2" s="7">
        <f t="shared" ref="GC2:GP2" si="5">+GB2+1</f>
        <v>2188</v>
      </c>
      <c r="GD2" s="7">
        <f t="shared" si="5"/>
        <v>2189</v>
      </c>
      <c r="GE2" s="7">
        <f t="shared" si="5"/>
        <v>2190</v>
      </c>
      <c r="GF2" s="7">
        <f t="shared" si="5"/>
        <v>2191</v>
      </c>
      <c r="GG2" s="7">
        <f t="shared" si="5"/>
        <v>2192</v>
      </c>
      <c r="GH2" s="7">
        <f t="shared" si="5"/>
        <v>2193</v>
      </c>
      <c r="GI2" s="7">
        <f t="shared" si="5"/>
        <v>2194</v>
      </c>
      <c r="GJ2" s="7">
        <f t="shared" si="5"/>
        <v>2195</v>
      </c>
      <c r="GK2" s="7">
        <f t="shared" si="5"/>
        <v>2196</v>
      </c>
      <c r="GL2" s="7">
        <f t="shared" si="5"/>
        <v>2197</v>
      </c>
      <c r="GM2" s="7">
        <f t="shared" si="5"/>
        <v>2198</v>
      </c>
      <c r="GN2" s="7">
        <f t="shared" si="5"/>
        <v>2199</v>
      </c>
      <c r="GO2" s="7">
        <f t="shared" si="5"/>
        <v>2200</v>
      </c>
      <c r="GP2" s="7">
        <f t="shared" si="5"/>
        <v>2201</v>
      </c>
      <c r="GQ2" s="7">
        <f t="shared" ref="GQ2:HD2" si="6">+GP2+1</f>
        <v>2202</v>
      </c>
      <c r="GR2" s="7">
        <f t="shared" si="6"/>
        <v>2203</v>
      </c>
      <c r="GS2" s="7">
        <f t="shared" si="6"/>
        <v>2204</v>
      </c>
      <c r="GT2" s="7">
        <f t="shared" si="6"/>
        <v>2205</v>
      </c>
      <c r="GU2" s="7">
        <f t="shared" si="6"/>
        <v>2206</v>
      </c>
      <c r="GV2" s="7">
        <f t="shared" si="6"/>
        <v>2207</v>
      </c>
      <c r="GW2" s="7">
        <f t="shared" si="6"/>
        <v>2208</v>
      </c>
      <c r="GX2" s="7">
        <f t="shared" si="6"/>
        <v>2209</v>
      </c>
      <c r="GY2" s="7">
        <f t="shared" si="6"/>
        <v>2210</v>
      </c>
      <c r="GZ2" s="7">
        <f t="shared" si="6"/>
        <v>2211</v>
      </c>
      <c r="HA2" s="7">
        <f t="shared" si="6"/>
        <v>2212</v>
      </c>
      <c r="HB2" s="7">
        <f t="shared" si="6"/>
        <v>2213</v>
      </c>
      <c r="HC2" s="7">
        <f t="shared" si="6"/>
        <v>2214</v>
      </c>
      <c r="HD2" s="7">
        <f t="shared" si="6"/>
        <v>2215</v>
      </c>
      <c r="HE2" s="7">
        <f t="shared" ref="HE2:HR2" si="7">+HD2+1</f>
        <v>2216</v>
      </c>
      <c r="HF2" s="7">
        <f t="shared" si="7"/>
        <v>2217</v>
      </c>
      <c r="HG2" s="7">
        <f t="shared" si="7"/>
        <v>2218</v>
      </c>
      <c r="HH2" s="7">
        <f t="shared" si="7"/>
        <v>2219</v>
      </c>
      <c r="HI2" s="7">
        <f t="shared" si="7"/>
        <v>2220</v>
      </c>
      <c r="HJ2" s="7">
        <f t="shared" si="7"/>
        <v>2221</v>
      </c>
      <c r="HK2" s="7">
        <f t="shared" si="7"/>
        <v>2222</v>
      </c>
      <c r="HL2" s="7">
        <f t="shared" si="7"/>
        <v>2223</v>
      </c>
      <c r="HM2" s="7">
        <f t="shared" si="7"/>
        <v>2224</v>
      </c>
      <c r="HN2" s="7">
        <f t="shared" si="7"/>
        <v>2225</v>
      </c>
      <c r="HO2" s="7">
        <f t="shared" si="7"/>
        <v>2226</v>
      </c>
      <c r="HP2" s="7">
        <f t="shared" si="7"/>
        <v>2227</v>
      </c>
      <c r="HQ2" s="7">
        <f t="shared" si="7"/>
        <v>2228</v>
      </c>
      <c r="HR2" s="7">
        <f t="shared" si="7"/>
        <v>2229</v>
      </c>
      <c r="HS2" s="7">
        <f t="shared" ref="HS2:HV2" si="8">+HR2+1</f>
        <v>2230</v>
      </c>
      <c r="HT2" s="7">
        <f t="shared" si="8"/>
        <v>2231</v>
      </c>
      <c r="HU2" s="7">
        <f t="shared" si="8"/>
        <v>2232</v>
      </c>
      <c r="HV2" s="7">
        <f t="shared" si="8"/>
        <v>2233</v>
      </c>
    </row>
    <row r="3" spans="2:230" s="7" customFormat="1">
      <c r="B3" s="8" t="s">
        <v>49</v>
      </c>
      <c r="C3" s="7">
        <v>310</v>
      </c>
      <c r="D3" s="7">
        <v>336</v>
      </c>
      <c r="E3" s="7">
        <v>370</v>
      </c>
      <c r="F3" s="7">
        <f>+S3</f>
        <v>396</v>
      </c>
      <c r="G3" s="7">
        <v>438</v>
      </c>
      <c r="H3" s="7">
        <v>473</v>
      </c>
      <c r="I3" s="7">
        <v>510</v>
      </c>
      <c r="J3" s="7">
        <f>+T3</f>
        <v>542</v>
      </c>
      <c r="K3" s="7">
        <v>582</v>
      </c>
      <c r="L3" s="7">
        <v>612</v>
      </c>
      <c r="M3" s="7">
        <f>+L3+33</f>
        <v>645</v>
      </c>
      <c r="N3" s="7">
        <f>+M3+26</f>
        <v>671</v>
      </c>
      <c r="R3" s="7">
        <v>271</v>
      </c>
      <c r="S3" s="7">
        <v>396</v>
      </c>
      <c r="T3" s="7">
        <v>542</v>
      </c>
      <c r="U3" s="15">
        <f>+N3</f>
        <v>671</v>
      </c>
      <c r="V3" s="15">
        <f>+U3+130</f>
        <v>801</v>
      </c>
      <c r="W3" s="15">
        <f t="shared" ref="W3:AD3" si="9">+V3+130</f>
        <v>931</v>
      </c>
      <c r="X3" s="15">
        <f t="shared" si="9"/>
        <v>1061</v>
      </c>
      <c r="Y3" s="15">
        <f t="shared" si="9"/>
        <v>1191</v>
      </c>
      <c r="Z3" s="15">
        <f t="shared" si="9"/>
        <v>1321</v>
      </c>
      <c r="AA3" s="15">
        <f t="shared" si="9"/>
        <v>1451</v>
      </c>
      <c r="AB3" s="15">
        <f t="shared" si="9"/>
        <v>1581</v>
      </c>
      <c r="AC3" s="15">
        <f t="shared" si="9"/>
        <v>1711</v>
      </c>
      <c r="AD3" s="15">
        <f t="shared" si="9"/>
        <v>1841</v>
      </c>
    </row>
    <row r="4" spans="2:230" s="7" customFormat="1">
      <c r="B4" s="8" t="s">
        <v>48</v>
      </c>
      <c r="C4" s="7">
        <v>262</v>
      </c>
      <c r="D4" s="7">
        <v>267</v>
      </c>
      <c r="E4" s="7">
        <v>271</v>
      </c>
      <c r="F4" s="7">
        <f>+S4</f>
        <v>275</v>
      </c>
      <c r="G4" s="7">
        <v>278</v>
      </c>
      <c r="H4" s="7">
        <v>281</v>
      </c>
      <c r="I4" s="7">
        <v>284</v>
      </c>
      <c r="J4" s="7">
        <f>+T4</f>
        <v>289</v>
      </c>
      <c r="K4" s="7">
        <v>294</v>
      </c>
      <c r="L4" s="7">
        <v>300</v>
      </c>
      <c r="M4" s="7">
        <f>+L4+5</f>
        <v>305</v>
      </c>
      <c r="N4" s="7">
        <f>+M4+5</f>
        <v>310</v>
      </c>
      <c r="R4" s="7">
        <v>267</v>
      </c>
      <c r="S4" s="7">
        <v>275</v>
      </c>
      <c r="T4" s="7">
        <v>289</v>
      </c>
      <c r="U4" s="15">
        <f>+N4</f>
        <v>310</v>
      </c>
      <c r="V4" s="15">
        <f>+U4+20</f>
        <v>330</v>
      </c>
      <c r="W4" s="15">
        <f t="shared" ref="W4:AD4" si="10">+V4+20</f>
        <v>350</v>
      </c>
      <c r="X4" s="15">
        <f t="shared" si="10"/>
        <v>370</v>
      </c>
      <c r="Y4" s="15">
        <f t="shared" si="10"/>
        <v>390</v>
      </c>
      <c r="Z4" s="15">
        <f t="shared" si="10"/>
        <v>410</v>
      </c>
      <c r="AA4" s="15">
        <f t="shared" si="10"/>
        <v>430</v>
      </c>
      <c r="AB4" s="15">
        <f t="shared" si="10"/>
        <v>450</v>
      </c>
      <c r="AC4" s="15">
        <f t="shared" si="10"/>
        <v>470</v>
      </c>
      <c r="AD4" s="15">
        <f t="shared" si="10"/>
        <v>490</v>
      </c>
    </row>
    <row r="5" spans="2:230" s="7" customFormat="1">
      <c r="B5" s="8" t="s">
        <v>50</v>
      </c>
      <c r="C5" s="7">
        <f t="shared" ref="C5:J5" si="11">SUM(C3:C4)</f>
        <v>572</v>
      </c>
      <c r="D5" s="7">
        <f t="shared" si="11"/>
        <v>603</v>
      </c>
      <c r="E5" s="7">
        <f t="shared" si="11"/>
        <v>641</v>
      </c>
      <c r="F5" s="7">
        <f t="shared" si="11"/>
        <v>671</v>
      </c>
      <c r="G5" s="7">
        <f t="shared" si="11"/>
        <v>716</v>
      </c>
      <c r="H5" s="7">
        <f t="shared" si="11"/>
        <v>754</v>
      </c>
      <c r="I5" s="7">
        <f t="shared" si="11"/>
        <v>794</v>
      </c>
      <c r="J5" s="7">
        <f t="shared" si="11"/>
        <v>831</v>
      </c>
      <c r="K5" s="7">
        <f>SUM(K3:K4)</f>
        <v>876</v>
      </c>
      <c r="L5" s="7">
        <f>SUM(L3:L4)</f>
        <v>912</v>
      </c>
      <c r="M5" s="7">
        <f>SUM(M3:M4)</f>
        <v>950</v>
      </c>
      <c r="N5" s="7">
        <f>SUM(N3:N4)</f>
        <v>981</v>
      </c>
      <c r="R5" s="7">
        <f>SUM(R3:R4)</f>
        <v>538</v>
      </c>
      <c r="S5" s="7">
        <f>SUM(S3:S4)</f>
        <v>671</v>
      </c>
      <c r="T5" s="7">
        <f>SUM(T3:T4)</f>
        <v>831</v>
      </c>
      <c r="U5" s="15">
        <f>SUM(U3:U4)</f>
        <v>981</v>
      </c>
      <c r="V5" s="15">
        <f>SUM(V3:V4)</f>
        <v>1131</v>
      </c>
      <c r="W5" s="15">
        <f t="shared" ref="W5:AD5" si="12">SUM(W3:W4)</f>
        <v>1281</v>
      </c>
      <c r="X5" s="15">
        <f t="shared" si="12"/>
        <v>1431</v>
      </c>
      <c r="Y5" s="15">
        <f t="shared" si="12"/>
        <v>1581</v>
      </c>
      <c r="Z5" s="15">
        <f t="shared" si="12"/>
        <v>1731</v>
      </c>
      <c r="AA5" s="15">
        <f t="shared" si="12"/>
        <v>1881</v>
      </c>
      <c r="AB5" s="15">
        <f t="shared" si="12"/>
        <v>2031</v>
      </c>
      <c r="AC5" s="15">
        <f t="shared" si="12"/>
        <v>2181</v>
      </c>
      <c r="AD5" s="15">
        <f t="shared" si="12"/>
        <v>2331</v>
      </c>
    </row>
    <row r="6" spans="2:230" s="7" customFormat="1">
      <c r="B6" s="8"/>
      <c r="K6" s="7">
        <f>+K5-J5</f>
        <v>45</v>
      </c>
      <c r="L6" s="7">
        <f>+L5-K5</f>
        <v>36</v>
      </c>
      <c r="M6" s="7">
        <f>+M5-L5</f>
        <v>38</v>
      </c>
      <c r="N6" s="7">
        <f>+N5-M5</f>
        <v>31</v>
      </c>
    </row>
    <row r="7" spans="2:230" s="11" customFormat="1">
      <c r="B7" s="10" t="s">
        <v>52</v>
      </c>
      <c r="C7" s="11">
        <f t="shared" ref="C7:K7" si="13">+C11/C3</f>
        <v>419.95806451612901</v>
      </c>
      <c r="D7" s="11">
        <f t="shared" si="13"/>
        <v>477.71428571428572</v>
      </c>
      <c r="E7" s="11">
        <f t="shared" si="13"/>
        <v>468.92162162162163</v>
      </c>
      <c r="F7" s="11">
        <f t="shared" si="13"/>
        <v>443.20707070707073</v>
      </c>
      <c r="G7" s="11">
        <f t="shared" si="13"/>
        <v>395.35159817351598</v>
      </c>
      <c r="H7" s="11">
        <f t="shared" si="13"/>
        <v>467.12896405919662</v>
      </c>
      <c r="I7" s="11">
        <f t="shared" si="13"/>
        <v>463.67058823529413</v>
      </c>
      <c r="J7" s="11">
        <f t="shared" si="13"/>
        <v>419.46678966789671</v>
      </c>
      <c r="K7" s="11">
        <f t="shared" si="13"/>
        <v>426.26288659793812</v>
      </c>
      <c r="L7" s="11">
        <f t="shared" ref="L7:M7" si="14">+L11/L3</f>
        <v>482.46405228758169</v>
      </c>
      <c r="M7" s="11">
        <f t="shared" si="14"/>
        <v>477.97674418604652</v>
      </c>
      <c r="N7" s="11">
        <f>+J7*1.02</f>
        <v>427.85612546125463</v>
      </c>
      <c r="R7" s="11">
        <f t="shared" ref="R7:T8" si="15">+R11/R3</f>
        <v>1489.8376383763837</v>
      </c>
      <c r="S7" s="11">
        <f t="shared" si="15"/>
        <v>1615.4292929292928</v>
      </c>
      <c r="T7" s="11">
        <f t="shared" si="15"/>
        <v>1582.9132841328412</v>
      </c>
      <c r="U7" s="11">
        <f t="shared" ref="U7" si="16">+U11/U3</f>
        <v>1697.0781820931475</v>
      </c>
      <c r="V7" s="11">
        <f>+U7*1.15</f>
        <v>1951.6399094071194</v>
      </c>
      <c r="W7" s="11">
        <f t="shared" ref="W7:AD7" si="17">+V7*1.15</f>
        <v>2244.3858958181872</v>
      </c>
      <c r="X7" s="11">
        <f t="shared" si="17"/>
        <v>2581.0437801909152</v>
      </c>
      <c r="Y7" s="11">
        <f t="shared" si="17"/>
        <v>2968.2003472195524</v>
      </c>
      <c r="Z7" s="11">
        <f t="shared" si="17"/>
        <v>3413.4303993024851</v>
      </c>
      <c r="AA7" s="11">
        <f t="shared" si="17"/>
        <v>3925.4449591978573</v>
      </c>
      <c r="AB7" s="11">
        <f t="shared" si="17"/>
        <v>4514.2617030775355</v>
      </c>
      <c r="AC7" s="11">
        <f t="shared" si="17"/>
        <v>5191.400958539165</v>
      </c>
      <c r="AD7" s="11">
        <f t="shared" si="17"/>
        <v>5970.1111023200392</v>
      </c>
    </row>
    <row r="8" spans="2:230" s="11" customFormat="1">
      <c r="B8" s="10" t="s">
        <v>53</v>
      </c>
      <c r="C8" s="11">
        <f t="shared" ref="C8:K8" si="18">+C12/C4</f>
        <v>83.851145038167942</v>
      </c>
      <c r="D8" s="11">
        <f t="shared" si="18"/>
        <v>96.887640449438209</v>
      </c>
      <c r="E8" s="11">
        <f t="shared" si="18"/>
        <v>92.79335793357933</v>
      </c>
      <c r="F8" s="11">
        <f t="shared" si="18"/>
        <v>95.698181818181823</v>
      </c>
      <c r="G8" s="11">
        <f t="shared" si="18"/>
        <v>86.701438848920859</v>
      </c>
      <c r="H8" s="11">
        <f t="shared" si="18"/>
        <v>102.94306049822065</v>
      </c>
      <c r="I8" s="11">
        <f t="shared" si="18"/>
        <v>98.714788732394368</v>
      </c>
      <c r="J8" s="11">
        <f t="shared" si="18"/>
        <v>92.636678200692046</v>
      </c>
      <c r="K8" s="11">
        <f t="shared" si="18"/>
        <v>91.884353741496597</v>
      </c>
      <c r="L8" s="11">
        <f t="shared" ref="L8:M8" si="19">+L12/L4</f>
        <v>98.833333333333329</v>
      </c>
      <c r="M8" s="11">
        <f t="shared" si="19"/>
        <v>98.088524590163928</v>
      </c>
      <c r="N8" s="11">
        <f>+M8*1.01</f>
        <v>99.069409836065574</v>
      </c>
      <c r="R8" s="11">
        <f t="shared" si="15"/>
        <v>352.54681647940077</v>
      </c>
      <c r="S8" s="11">
        <f t="shared" si="15"/>
        <v>361.09818181818184</v>
      </c>
      <c r="T8" s="11">
        <f t="shared" si="15"/>
        <v>373.13840830449828</v>
      </c>
      <c r="U8" s="11">
        <f t="shared" ref="U8" si="20">+U12/U4</f>
        <v>378.36295822316237</v>
      </c>
      <c r="V8" s="11">
        <f>+U8*1.12</f>
        <v>423.76651320994188</v>
      </c>
      <c r="W8" s="11">
        <f t="shared" ref="W8:AD8" si="21">+V8*1.12</f>
        <v>474.61849479513495</v>
      </c>
      <c r="X8" s="11">
        <f t="shared" si="21"/>
        <v>531.57271417055119</v>
      </c>
      <c r="Y8" s="11">
        <f t="shared" si="21"/>
        <v>595.36143987101741</v>
      </c>
      <c r="Z8" s="11">
        <f t="shared" si="21"/>
        <v>666.80481265553954</v>
      </c>
      <c r="AA8" s="11">
        <f t="shared" si="21"/>
        <v>746.82139017420434</v>
      </c>
      <c r="AB8" s="11">
        <f t="shared" si="21"/>
        <v>836.4399569951089</v>
      </c>
      <c r="AC8" s="11">
        <f t="shared" si="21"/>
        <v>936.81275183452203</v>
      </c>
      <c r="AD8" s="11">
        <f t="shared" si="21"/>
        <v>1049.2302820546647</v>
      </c>
    </row>
    <row r="9" spans="2:230" s="7" customFormat="1">
      <c r="H9" s="14"/>
      <c r="I9" s="14"/>
      <c r="J9" s="14"/>
      <c r="K9" s="14"/>
      <c r="L9" s="14"/>
    </row>
    <row r="10" spans="2:230" s="14" customFormat="1">
      <c r="B10" s="14" t="s">
        <v>95</v>
      </c>
      <c r="M10" s="14">
        <v>2.7E-2</v>
      </c>
    </row>
    <row r="11" spans="2:230">
      <c r="B11" s="1" t="s">
        <v>17</v>
      </c>
      <c r="C11" s="1">
        <v>130187</v>
      </c>
      <c r="D11" s="1">
        <v>160512</v>
      </c>
      <c r="E11" s="1">
        <v>173501</v>
      </c>
      <c r="F11" s="1">
        <f>+S11-SUM(C11:E11)</f>
        <v>175510</v>
      </c>
      <c r="G11" s="1">
        <v>173164</v>
      </c>
      <c r="H11" s="1">
        <v>220952</v>
      </c>
      <c r="I11" s="1">
        <v>236472</v>
      </c>
      <c r="J11" s="1">
        <f>+T11-SUM(G11:I11)</f>
        <v>227351</v>
      </c>
      <c r="K11" s="1">
        <v>248085</v>
      </c>
      <c r="L11" s="1">
        <v>295268</v>
      </c>
      <c r="M11" s="1">
        <v>308295</v>
      </c>
      <c r="N11" s="1">
        <f>+N3*N7</f>
        <v>287091.46018450183</v>
      </c>
      <c r="R11" s="1">
        <v>403746</v>
      </c>
      <c r="S11" s="1">
        <v>639710</v>
      </c>
      <c r="T11" s="1">
        <v>857939</v>
      </c>
      <c r="U11" s="1">
        <f>SUM(K11:N11)</f>
        <v>1138739.4601845019</v>
      </c>
      <c r="V11" s="1">
        <f>+V7*V3</f>
        <v>1563263.5674351025</v>
      </c>
      <c r="W11" s="1">
        <f t="shared" ref="W11:AD11" si="22">+W7*W3</f>
        <v>2089523.2690067324</v>
      </c>
      <c r="X11" s="1">
        <f t="shared" si="22"/>
        <v>2738487.4507825612</v>
      </c>
      <c r="Y11" s="1">
        <f t="shared" si="22"/>
        <v>3535126.6135384869</v>
      </c>
      <c r="Z11" s="1">
        <f t="shared" si="22"/>
        <v>4509141.5574785825</v>
      </c>
      <c r="AA11" s="1">
        <f t="shared" si="22"/>
        <v>5695820.6357960906</v>
      </c>
      <c r="AB11" s="1">
        <f t="shared" si="22"/>
        <v>7137047.7525655832</v>
      </c>
      <c r="AC11" s="1">
        <f t="shared" si="22"/>
        <v>8882487.0400605109</v>
      </c>
      <c r="AD11" s="1">
        <f t="shared" si="22"/>
        <v>10990974.539371192</v>
      </c>
    </row>
    <row r="12" spans="2:230">
      <c r="B12" s="1" t="s">
        <v>19</v>
      </c>
      <c r="C12" s="1">
        <v>21969</v>
      </c>
      <c r="D12" s="1">
        <v>25869</v>
      </c>
      <c r="E12" s="1">
        <v>25147</v>
      </c>
      <c r="F12" s="1">
        <f t="shared" ref="F12:F25" si="23">+S12-SUM(C12:E12)</f>
        <v>26317</v>
      </c>
      <c r="G12" s="1">
        <v>24103</v>
      </c>
      <c r="H12" s="1">
        <v>28927</v>
      </c>
      <c r="I12" s="1">
        <v>28035</v>
      </c>
      <c r="J12" s="1">
        <f t="shared" ref="J12:J25" si="24">+T12-SUM(G12:I12)</f>
        <v>26772</v>
      </c>
      <c r="K12" s="1">
        <v>27014</v>
      </c>
      <c r="L12" s="1">
        <v>29650</v>
      </c>
      <c r="M12" s="1">
        <v>29917</v>
      </c>
      <c r="N12" s="1">
        <f>+N4*N8</f>
        <v>30711.517049180329</v>
      </c>
      <c r="R12" s="1">
        <v>94130</v>
      </c>
      <c r="S12" s="1">
        <v>99302</v>
      </c>
      <c r="T12" s="1">
        <v>107837</v>
      </c>
      <c r="U12" s="1">
        <f>SUM(K12:N12)</f>
        <v>117292.51704918033</v>
      </c>
      <c r="V12" s="1">
        <f>+V8*V4</f>
        <v>139842.94935928081</v>
      </c>
      <c r="W12" s="1">
        <f t="shared" ref="W12:AD12" si="25">+W8*W4</f>
        <v>166116.47317829722</v>
      </c>
      <c r="X12" s="1">
        <f t="shared" si="25"/>
        <v>196681.90424310396</v>
      </c>
      <c r="Y12" s="1">
        <f t="shared" si="25"/>
        <v>232190.9615496968</v>
      </c>
      <c r="Z12" s="1">
        <f t="shared" si="25"/>
        <v>273389.97318877123</v>
      </c>
      <c r="AA12" s="1">
        <f t="shared" si="25"/>
        <v>321133.19777490787</v>
      </c>
      <c r="AB12" s="1">
        <f t="shared" si="25"/>
        <v>376397.98064779898</v>
      </c>
      <c r="AC12" s="1">
        <f t="shared" si="25"/>
        <v>440301.99336222536</v>
      </c>
      <c r="AD12" s="1">
        <f t="shared" si="25"/>
        <v>514122.83820678573</v>
      </c>
    </row>
    <row r="13" spans="2:230" s="3" customFormat="1">
      <c r="B13" s="3" t="s">
        <v>18</v>
      </c>
      <c r="C13" s="3">
        <f>+SUM(C11:C12)</f>
        <v>152156</v>
      </c>
      <c r="D13" s="3">
        <f>+SUM(D11:D12)</f>
        <v>186381</v>
      </c>
      <c r="E13" s="3">
        <f>+SUM(E11:E12)</f>
        <v>198648</v>
      </c>
      <c r="F13" s="3">
        <f t="shared" si="23"/>
        <v>201827</v>
      </c>
      <c r="G13" s="3">
        <f>+SUM(G11:G12)</f>
        <v>197267</v>
      </c>
      <c r="H13" s="3">
        <f>+SUM(H11:H12)</f>
        <v>249879</v>
      </c>
      <c r="I13" s="3">
        <f>+SUM(I11:I12)</f>
        <v>264507</v>
      </c>
      <c r="J13" s="3">
        <f t="shared" si="24"/>
        <v>254123</v>
      </c>
      <c r="K13" s="3">
        <f>+SUM(K11:K12)</f>
        <v>275099</v>
      </c>
      <c r="L13" s="3">
        <f>+SUM(L11:L12)</f>
        <v>324918</v>
      </c>
      <c r="M13" s="3">
        <f>SUM(M11:M12)</f>
        <v>338212</v>
      </c>
      <c r="N13" s="3">
        <f>SUM(N11:N12)</f>
        <v>317802.97723368218</v>
      </c>
      <c r="R13" s="3">
        <f>+SUM(R11:R12)</f>
        <v>497876</v>
      </c>
      <c r="S13" s="3">
        <f>+SUM(S11:S12)</f>
        <v>739012</v>
      </c>
      <c r="T13" s="3">
        <f>+SUM(T11:T12)</f>
        <v>965776</v>
      </c>
      <c r="U13" s="3">
        <f>SUM(U11:U12)</f>
        <v>1256031.9772336823</v>
      </c>
      <c r="V13" s="3">
        <f>+SUM(V11:V12)</f>
        <v>1703106.5167943833</v>
      </c>
      <c r="W13" s="3">
        <f t="shared" ref="W13:AD13" si="26">+SUM(W11:W12)</f>
        <v>2255639.7421850297</v>
      </c>
      <c r="X13" s="3">
        <f t="shared" si="26"/>
        <v>2935169.3550256654</v>
      </c>
      <c r="Y13" s="3">
        <f t="shared" si="26"/>
        <v>3767317.5750881839</v>
      </c>
      <c r="Z13" s="3">
        <f t="shared" si="26"/>
        <v>4782531.5306673534</v>
      </c>
      <c r="AA13" s="3">
        <f t="shared" si="26"/>
        <v>6016953.8335709982</v>
      </c>
      <c r="AB13" s="3">
        <f t="shared" si="26"/>
        <v>7513445.7332133818</v>
      </c>
      <c r="AC13" s="3">
        <f t="shared" si="26"/>
        <v>9322789.0334227365</v>
      </c>
      <c r="AD13" s="3">
        <f t="shared" si="26"/>
        <v>11505097.377577979</v>
      </c>
    </row>
    <row r="14" spans="2:230">
      <c r="B14" s="1" t="s">
        <v>20</v>
      </c>
      <c r="C14" s="1">
        <v>121167</v>
      </c>
      <c r="D14" s="1">
        <v>141370</v>
      </c>
      <c r="E14" s="1">
        <v>148092</v>
      </c>
      <c r="F14" s="1">
        <f t="shared" si="23"/>
        <v>147467</v>
      </c>
      <c r="G14" s="1">
        <v>151523</v>
      </c>
      <c r="H14" s="1">
        <v>178636</v>
      </c>
      <c r="I14" s="1">
        <v>189323</v>
      </c>
      <c r="J14" s="1">
        <f t="shared" si="24"/>
        <v>194998</v>
      </c>
      <c r="K14" s="1">
        <v>203326</v>
      </c>
      <c r="L14" s="1">
        <v>234637</v>
      </c>
      <c r="M14" s="1">
        <v>248161</v>
      </c>
      <c r="N14" s="1">
        <f>+N$13*(M14/M$13)</f>
        <v>233186.00355187812</v>
      </c>
      <c r="R14" s="1">
        <v>344573</v>
      </c>
      <c r="S14" s="1">
        <v>558096</v>
      </c>
      <c r="T14" s="1">
        <v>714480</v>
      </c>
      <c r="U14" s="1">
        <f t="shared" ref="U14:U25" si="27">SUM(K14:N14)</f>
        <v>919310.00355187815</v>
      </c>
      <c r="V14" s="1">
        <f>+V$13*(U14/U$13)</f>
        <v>1246531.0488764562</v>
      </c>
      <c r="W14" s="1">
        <f t="shared" ref="W14:AD14" si="28">+W$13*(V14/V$13)</f>
        <v>1650939.0023388567</v>
      </c>
      <c r="X14" s="1">
        <f t="shared" si="28"/>
        <v>2148297.6541225342</v>
      </c>
      <c r="Y14" s="1">
        <f t="shared" si="28"/>
        <v>2757360.3189332052</v>
      </c>
      <c r="Z14" s="1">
        <f t="shared" si="28"/>
        <v>3500411.7396183051</v>
      </c>
      <c r="AA14" s="1">
        <f t="shared" si="28"/>
        <v>4403905.2750028241</v>
      </c>
      <c r="AB14" s="1">
        <f t="shared" si="28"/>
        <v>5499211.7628245456</v>
      </c>
      <c r="AC14" s="1">
        <f t="shared" si="28"/>
        <v>6823499.2219746131</v>
      </c>
      <c r="AD14" s="1">
        <f t="shared" si="28"/>
        <v>8420765.7947852798</v>
      </c>
    </row>
    <row r="15" spans="2:230">
      <c r="B15" s="1" t="s">
        <v>21</v>
      </c>
      <c r="C15" s="1">
        <v>45214</v>
      </c>
      <c r="D15" s="1">
        <v>42342</v>
      </c>
      <c r="E15" s="1">
        <v>45378</v>
      </c>
      <c r="F15" s="1">
        <f t="shared" si="23"/>
        <v>50594</v>
      </c>
      <c r="G15" s="1">
        <v>45976</v>
      </c>
      <c r="H15" s="1">
        <v>51662</v>
      </c>
      <c r="I15" s="1">
        <v>50490</v>
      </c>
      <c r="J15" s="1">
        <f t="shared" si="24"/>
        <v>56946</v>
      </c>
      <c r="K15" s="1">
        <v>46194</v>
      </c>
      <c r="L15" s="1">
        <v>58097</v>
      </c>
      <c r="M15" s="1">
        <v>57536</v>
      </c>
      <c r="N15" s="1">
        <f>+N$13*(M15/M$13)</f>
        <v>54064.054788467409</v>
      </c>
      <c r="R15" s="1">
        <v>264529</v>
      </c>
      <c r="S15" s="1">
        <v>183528</v>
      </c>
      <c r="T15" s="1">
        <v>205074</v>
      </c>
      <c r="U15" s="1">
        <f t="shared" si="27"/>
        <v>215891.05478846742</v>
      </c>
      <c r="V15" s="1">
        <f>+V$13*(U15/U$13)</f>
        <v>292735.74956081313</v>
      </c>
      <c r="W15" s="1">
        <f t="shared" ref="W15:AD15" si="29">+W$13*(V15/V$13)</f>
        <v>387707.04248759151</v>
      </c>
      <c r="X15" s="1">
        <f t="shared" si="29"/>
        <v>504506.90708918328</v>
      </c>
      <c r="Y15" s="1">
        <f t="shared" si="29"/>
        <v>647539.37777939299</v>
      </c>
      <c r="Z15" s="1">
        <f t="shared" si="29"/>
        <v>822037.81068448303</v>
      </c>
      <c r="AA15" s="1">
        <f t="shared" si="29"/>
        <v>1034214.5210380085</v>
      </c>
      <c r="AB15" s="1">
        <f t="shared" si="29"/>
        <v>1291436.6463916558</v>
      </c>
      <c r="AC15" s="1">
        <f t="shared" si="29"/>
        <v>1602432.736170324</v>
      </c>
      <c r="AD15" s="1">
        <f t="shared" si="29"/>
        <v>1977535.3281688192</v>
      </c>
    </row>
    <row r="16" spans="2:230">
      <c r="B16" s="1" t="s">
        <v>22</v>
      </c>
      <c r="C16" s="1">
        <f>+C13-SUM(C14:C15)</f>
        <v>-14225</v>
      </c>
      <c r="D16" s="1">
        <f>+D13-SUM(D14:D15)</f>
        <v>2669</v>
      </c>
      <c r="E16" s="1">
        <f>+E13-SUM(E14:E15)</f>
        <v>5178</v>
      </c>
      <c r="F16" s="1">
        <f t="shared" si="23"/>
        <v>3766</v>
      </c>
      <c r="G16" s="1">
        <f>+G13-SUM(G14:G15)</f>
        <v>-232</v>
      </c>
      <c r="H16" s="1">
        <f>+H13-SUM(H14:H15)</f>
        <v>19581</v>
      </c>
      <c r="I16" s="1">
        <f>+I13-SUM(I14:I15)</f>
        <v>24694</v>
      </c>
      <c r="J16" s="1">
        <f t="shared" si="24"/>
        <v>2179</v>
      </c>
      <c r="K16" s="1">
        <f>+K13-SUM(K14:K15)</f>
        <v>25579</v>
      </c>
      <c r="L16" s="1">
        <f>+L13-SUM(L14:L15)</f>
        <v>32184</v>
      </c>
      <c r="M16" s="1">
        <f t="shared" ref="M16:N16" si="30">+M13-SUM(M14:M15)</f>
        <v>32515</v>
      </c>
      <c r="N16" s="1">
        <f t="shared" si="30"/>
        <v>30552.918893336668</v>
      </c>
      <c r="R16" s="1">
        <f>+R13-SUM(R14:R15)</f>
        <v>-111226</v>
      </c>
      <c r="S16" s="1">
        <f>+S13-SUM(S14:S15)</f>
        <v>-2612</v>
      </c>
      <c r="T16" s="1">
        <f>+T13-SUM(T14:T15)</f>
        <v>46222</v>
      </c>
      <c r="U16" s="1">
        <f t="shared" si="27"/>
        <v>120830.91889333667</v>
      </c>
      <c r="V16" s="1">
        <f>+V13-SUM(V14:V15)</f>
        <v>163839.71835711389</v>
      </c>
      <c r="W16" s="1">
        <f t="shared" ref="W16:AD16" si="31">+W13-SUM(W14:W15)</f>
        <v>216993.69735858147</v>
      </c>
      <c r="X16" s="1">
        <f t="shared" si="31"/>
        <v>282364.79381394805</v>
      </c>
      <c r="Y16" s="1">
        <f t="shared" si="31"/>
        <v>362417.87837558566</v>
      </c>
      <c r="Z16" s="1">
        <f t="shared" si="31"/>
        <v>460081.98036456481</v>
      </c>
      <c r="AA16" s="1">
        <f t="shared" si="31"/>
        <v>578834.03753016517</v>
      </c>
      <c r="AB16" s="1">
        <f t="shared" si="31"/>
        <v>722797.32399718091</v>
      </c>
      <c r="AC16" s="1">
        <f t="shared" si="31"/>
        <v>896857.07527779974</v>
      </c>
      <c r="AD16" s="1">
        <f t="shared" si="31"/>
        <v>1106796.2546238806</v>
      </c>
    </row>
    <row r="17" spans="2:230 16384:16384">
      <c r="B17" s="1" t="s">
        <v>23</v>
      </c>
      <c r="C17" s="1">
        <v>-2489</v>
      </c>
      <c r="D17" s="1">
        <v>-3596</v>
      </c>
      <c r="E17" s="1">
        <v>-5011</v>
      </c>
      <c r="F17" s="1">
        <f t="shared" si="23"/>
        <v>-6922</v>
      </c>
      <c r="G17" s="1">
        <v>-7886</v>
      </c>
      <c r="H17" s="1">
        <v>-9058</v>
      </c>
      <c r="I17" s="1">
        <v>-9325</v>
      </c>
      <c r="J17" s="1">
        <f t="shared" si="24"/>
        <v>-6052</v>
      </c>
      <c r="K17" s="1">
        <v>-6393</v>
      </c>
      <c r="L17" s="1">
        <v>-6997</v>
      </c>
      <c r="M17" s="1">
        <v>-6869</v>
      </c>
      <c r="N17" s="1">
        <f>+M17</f>
        <v>-6869</v>
      </c>
      <c r="R17" s="1">
        <v>-7093</v>
      </c>
      <c r="S17" s="1">
        <v>-18018</v>
      </c>
      <c r="T17" s="1">
        <v>-32321</v>
      </c>
      <c r="U17" s="1">
        <f>SUM(K17:N17)</f>
        <v>-27128</v>
      </c>
      <c r="V17" s="1">
        <f t="shared" ref="V17:AD17" si="32">+U17</f>
        <v>-27128</v>
      </c>
      <c r="W17" s="1">
        <f t="shared" si="32"/>
        <v>-27128</v>
      </c>
      <c r="X17" s="1">
        <f t="shared" si="32"/>
        <v>-27128</v>
      </c>
      <c r="Y17" s="1">
        <f t="shared" si="32"/>
        <v>-27128</v>
      </c>
      <c r="Z17" s="1">
        <f t="shared" si="32"/>
        <v>-27128</v>
      </c>
      <c r="AA17" s="1">
        <f t="shared" si="32"/>
        <v>-27128</v>
      </c>
      <c r="AB17" s="1">
        <f t="shared" si="32"/>
        <v>-27128</v>
      </c>
      <c r="AC17" s="1">
        <f t="shared" si="32"/>
        <v>-27128</v>
      </c>
      <c r="AD17" s="1">
        <f t="shared" si="32"/>
        <v>-27128</v>
      </c>
    </row>
    <row r="18" spans="2:230 16384:16384">
      <c r="B18" s="1" t="s">
        <v>24</v>
      </c>
      <c r="C18" s="1">
        <v>221</v>
      </c>
      <c r="D18" s="1">
        <v>61</v>
      </c>
      <c r="E18" s="1">
        <v>-1944</v>
      </c>
      <c r="F18" s="1">
        <f t="shared" si="23"/>
        <v>5638</v>
      </c>
      <c r="G18" s="1">
        <v>1307</v>
      </c>
      <c r="H18" s="1">
        <v>1039</v>
      </c>
      <c r="I18" s="1">
        <v>-140</v>
      </c>
      <c r="J18" s="1">
        <f t="shared" si="24"/>
        <v>812</v>
      </c>
      <c r="K18" s="1">
        <v>5801</v>
      </c>
      <c r="L18" s="1">
        <v>829</v>
      </c>
      <c r="M18" s="1">
        <v>764</v>
      </c>
      <c r="N18" s="1">
        <f>+N$13*(M18/M$13)</f>
        <v>717.89727924063357</v>
      </c>
      <c r="R18" s="1">
        <v>-1240</v>
      </c>
      <c r="S18" s="1">
        <v>3976</v>
      </c>
      <c r="T18" s="1">
        <v>3018</v>
      </c>
      <c r="U18" s="1">
        <f>+T45*$AI$27</f>
        <v>1230.81</v>
      </c>
      <c r="V18" s="1">
        <f t="shared" ref="V18:AD18" si="33">+U45*$AI$27</f>
        <v>2530.6669750315041</v>
      </c>
      <c r="W18" s="1">
        <f t="shared" si="33"/>
        <v>4308.3570264207301</v>
      </c>
      <c r="X18" s="1">
        <f t="shared" si="33"/>
        <v>6787.352799832267</v>
      </c>
      <c r="Y18" s="1">
        <f t="shared" si="33"/>
        <v>10132.582182020504</v>
      </c>
      <c r="Z18" s="1">
        <f t="shared" si="33"/>
        <v>14542.547367512652</v>
      </c>
      <c r="AA18" s="1">
        <f t="shared" si="33"/>
        <v>20255.67935302803</v>
      </c>
      <c r="AB18" s="1">
        <f t="shared" si="33"/>
        <v>27557.842781594514</v>
      </c>
      <c r="AC18" s="1">
        <f t="shared" si="33"/>
        <v>36791.193217312997</v>
      </c>
      <c r="AD18" s="1">
        <f t="shared" si="33"/>
        <v>48364.623669846471</v>
      </c>
    </row>
    <row r="19" spans="2:230 16384:16384">
      <c r="B19" s="1" t="s">
        <v>25</v>
      </c>
      <c r="C19" s="1">
        <f>+SUM(C16:C18)</f>
        <v>-16493</v>
      </c>
      <c r="D19" s="1">
        <f>+SUM(D16:D18)</f>
        <v>-866</v>
      </c>
      <c r="E19" s="1">
        <f>+SUM(E16:E18)</f>
        <v>-1777</v>
      </c>
      <c r="F19" s="1">
        <f t="shared" si="23"/>
        <v>2482</v>
      </c>
      <c r="G19" s="1">
        <f>+SUM(G16:G18)</f>
        <v>-6811</v>
      </c>
      <c r="H19" s="1">
        <f>+SUM(H16:H18)</f>
        <v>11562</v>
      </c>
      <c r="I19" s="1">
        <f>+SUM(I16:I18)</f>
        <v>15229</v>
      </c>
      <c r="J19" s="1">
        <f t="shared" si="24"/>
        <v>-3061</v>
      </c>
      <c r="K19" s="1">
        <f>+SUM(K16:K18)</f>
        <v>24987</v>
      </c>
      <c r="L19" s="1">
        <f>+SUM(L16:L18)</f>
        <v>26016</v>
      </c>
      <c r="M19" s="1">
        <f t="shared" ref="M19:N19" si="34">+SUM(M16:M18)</f>
        <v>26410</v>
      </c>
      <c r="N19" s="1">
        <f t="shared" si="34"/>
        <v>24401.816172577302</v>
      </c>
      <c r="R19" s="1">
        <f>+SUM(R16:R18)</f>
        <v>-119559</v>
      </c>
      <c r="S19" s="1">
        <f>+SUM(S16:S18)</f>
        <v>-16654</v>
      </c>
      <c r="T19" s="1">
        <f>+SUM(T16:T18)</f>
        <v>16919</v>
      </c>
      <c r="U19" s="1">
        <f t="shared" si="27"/>
        <v>101814.8161725773</v>
      </c>
      <c r="V19" s="1">
        <f>+SUM(V16:V18)</f>
        <v>139242.38533214538</v>
      </c>
      <c r="W19" s="1">
        <f t="shared" ref="W19:AD19" si="35">+SUM(W16:W18)</f>
        <v>194174.05438500221</v>
      </c>
      <c r="X19" s="1">
        <f t="shared" si="35"/>
        <v>262024.14661378032</v>
      </c>
      <c r="Y19" s="1">
        <f t="shared" si="35"/>
        <v>345422.46055760619</v>
      </c>
      <c r="Z19" s="1">
        <f t="shared" si="35"/>
        <v>447496.52773207746</v>
      </c>
      <c r="AA19" s="1">
        <f t="shared" si="35"/>
        <v>571961.71688319324</v>
      </c>
      <c r="AB19" s="1">
        <f t="shared" si="35"/>
        <v>723227.1667787754</v>
      </c>
      <c r="AC19" s="1">
        <f t="shared" si="35"/>
        <v>906520.26849511277</v>
      </c>
      <c r="AD19" s="1">
        <f t="shared" si="35"/>
        <v>1128032.8782937271</v>
      </c>
    </row>
    <row r="20" spans="2:230 16384:16384">
      <c r="B20" s="1" t="s">
        <v>26</v>
      </c>
      <c r="C20" s="1">
        <v>-214</v>
      </c>
      <c r="D20" s="1">
        <v>885</v>
      </c>
      <c r="E20" s="1">
        <v>-3371</v>
      </c>
      <c r="F20" s="1">
        <f t="shared" si="23"/>
        <v>5299</v>
      </c>
      <c r="G20" s="1">
        <v>2580</v>
      </c>
      <c r="H20" s="1">
        <v>1851</v>
      </c>
      <c r="I20" s="1">
        <v>1828</v>
      </c>
      <c r="J20" s="1">
        <f t="shared" si="24"/>
        <v>708</v>
      </c>
      <c r="K20" s="1">
        <v>8772</v>
      </c>
      <c r="L20" s="1">
        <v>3860</v>
      </c>
      <c r="M20" s="1">
        <v>4698</v>
      </c>
      <c r="N20" s="1">
        <f>+N19*(M20/M19)</f>
        <v>4340.7698742433995</v>
      </c>
      <c r="R20" s="1">
        <v>-1628</v>
      </c>
      <c r="S20" s="1">
        <v>2599</v>
      </c>
      <c r="T20" s="1">
        <v>6967</v>
      </c>
      <c r="U20" s="1">
        <f t="shared" si="27"/>
        <v>21670.7698742434</v>
      </c>
      <c r="V20" s="1">
        <f>+V19*(U20/U19)</f>
        <v>29637.039113825707</v>
      </c>
      <c r="W20" s="1">
        <f t="shared" ref="W20:AD20" si="36">+W19*(V20/V19)</f>
        <v>41328.967691635022</v>
      </c>
      <c r="X20" s="1">
        <f t="shared" si="36"/>
        <v>55770.517457277747</v>
      </c>
      <c r="Y20" s="1">
        <f t="shared" si="36"/>
        <v>73521.427760088205</v>
      </c>
      <c r="Z20" s="1">
        <f t="shared" si="36"/>
        <v>95247.37790192831</v>
      </c>
      <c r="AA20" s="1">
        <f t="shared" si="36"/>
        <v>121739.16537297894</v>
      </c>
      <c r="AB20" s="1">
        <f t="shared" si="36"/>
        <v>153935.253111867</v>
      </c>
      <c r="AC20" s="1">
        <f t="shared" si="36"/>
        <v>192948.26493225154</v>
      </c>
      <c r="AD20" s="1">
        <f t="shared" si="36"/>
        <v>240096.10619586683</v>
      </c>
    </row>
    <row r="21" spans="2:230 16384:16384">
      <c r="B21" s="1" t="s">
        <v>27</v>
      </c>
      <c r="C21" s="1">
        <f>+C19-C20</f>
        <v>-16279</v>
      </c>
      <c r="D21" s="1">
        <f>+D19-D20</f>
        <v>-1751</v>
      </c>
      <c r="E21" s="1">
        <f>+E19-E20</f>
        <v>1594</v>
      </c>
      <c r="F21" s="1">
        <f t="shared" si="23"/>
        <v>-2817</v>
      </c>
      <c r="G21" s="1">
        <f>+G19-G20</f>
        <v>-9391</v>
      </c>
      <c r="H21" s="1">
        <f>+H19-H20</f>
        <v>9711</v>
      </c>
      <c r="I21" s="1">
        <f>+I19-I20</f>
        <v>13401</v>
      </c>
      <c r="J21" s="1">
        <f t="shared" si="24"/>
        <v>-3769</v>
      </c>
      <c r="K21" s="1">
        <f>+K19-K20</f>
        <v>16215</v>
      </c>
      <c r="L21" s="1">
        <f>+L19-L20</f>
        <v>22156</v>
      </c>
      <c r="M21" s="1">
        <f t="shared" ref="M21:N21" si="37">+M19-M20</f>
        <v>21712</v>
      </c>
      <c r="N21" s="1">
        <f t="shared" si="37"/>
        <v>20061.046298333902</v>
      </c>
      <c r="R21" s="1">
        <f>+R19-R20</f>
        <v>-117931</v>
      </c>
      <c r="S21" s="1">
        <f>+S19-S20</f>
        <v>-19253</v>
      </c>
      <c r="T21" s="1">
        <f>+T19-T20</f>
        <v>9952</v>
      </c>
      <c r="U21" s="1">
        <f t="shared" si="27"/>
        <v>80144.046298333909</v>
      </c>
      <c r="V21" s="1">
        <f>+V19-V20</f>
        <v>109605.34621831967</v>
      </c>
      <c r="W21" s="1">
        <f t="shared" ref="W21:AD21" si="38">+W19-W20</f>
        <v>152845.08669336719</v>
      </c>
      <c r="X21" s="1">
        <f t="shared" si="38"/>
        <v>206253.62915650257</v>
      </c>
      <c r="Y21" s="1">
        <f t="shared" si="38"/>
        <v>271901.03279751795</v>
      </c>
      <c r="Z21" s="1">
        <f t="shared" si="38"/>
        <v>352249.14983014914</v>
      </c>
      <c r="AA21" s="1">
        <f t="shared" si="38"/>
        <v>450222.55151021428</v>
      </c>
      <c r="AB21" s="1">
        <f t="shared" si="38"/>
        <v>569291.9136669084</v>
      </c>
      <c r="AC21" s="1">
        <f t="shared" si="38"/>
        <v>713572.00356286124</v>
      </c>
      <c r="AD21" s="1">
        <f t="shared" si="38"/>
        <v>887936.77209786023</v>
      </c>
    </row>
    <row r="22" spans="2:230 16384:16384">
      <c r="B22" s="1" t="s">
        <v>28</v>
      </c>
      <c r="C22" s="1">
        <v>-11332</v>
      </c>
      <c r="D22" s="1">
        <v>-845</v>
      </c>
      <c r="E22" s="1">
        <v>-169</v>
      </c>
      <c r="F22" s="1">
        <f t="shared" si="23"/>
        <v>-2154</v>
      </c>
      <c r="G22" s="1">
        <v>-5549</v>
      </c>
      <c r="H22" s="1">
        <v>6959</v>
      </c>
      <c r="I22" s="1">
        <v>9191</v>
      </c>
      <c r="J22" s="1">
        <f t="shared" si="24"/>
        <v>-2367</v>
      </c>
      <c r="K22" s="1">
        <v>9153</v>
      </c>
      <c r="L22" s="1">
        <v>10216</v>
      </c>
      <c r="M22" s="1">
        <v>9068</v>
      </c>
      <c r="N22" s="1">
        <f>+N21*(M22/M21)</f>
        <v>8378.4804639504346</v>
      </c>
      <c r="R22" s="1">
        <f>+-37878-67374</f>
        <v>-105252</v>
      </c>
      <c r="S22" s="1">
        <v>-14500</v>
      </c>
      <c r="T22" s="1">
        <v>8234</v>
      </c>
      <c r="U22" s="1">
        <f t="shared" si="27"/>
        <v>36815.480463950436</v>
      </c>
      <c r="V22" s="1">
        <f>+V21*(U22/U21)</f>
        <v>50349.011172012135</v>
      </c>
      <c r="W22" s="1">
        <f t="shared" ref="W22:AD22" si="39">+W21*(V22/V21)</f>
        <v>70211.894246315962</v>
      </c>
      <c r="X22" s="1">
        <f t="shared" si="39"/>
        <v>94745.98308356131</v>
      </c>
      <c r="Y22" s="1">
        <f t="shared" si="39"/>
        <v>124902.19328111298</v>
      </c>
      <c r="Z22" s="1">
        <f t="shared" si="39"/>
        <v>161811.41697963656</v>
      </c>
      <c r="AA22" s="1">
        <f t="shared" si="39"/>
        <v>206817.10389133159</v>
      </c>
      <c r="AB22" s="1">
        <f t="shared" si="39"/>
        <v>261513.56580962558</v>
      </c>
      <c r="AC22" s="1">
        <f t="shared" si="39"/>
        <v>327790.98847841204</v>
      </c>
      <c r="AD22" s="1">
        <f t="shared" si="39"/>
        <v>407888.30108109437</v>
      </c>
    </row>
    <row r="23" spans="2:230 16384:16384" s="3" customFormat="1">
      <c r="B23" s="3" t="s">
        <v>29</v>
      </c>
      <c r="C23" s="3">
        <f>+C21-C22</f>
        <v>-4947</v>
      </c>
      <c r="D23" s="3">
        <f>+D21-D22</f>
        <v>-906</v>
      </c>
      <c r="E23" s="3">
        <f>+E21-E22</f>
        <v>1763</v>
      </c>
      <c r="F23" s="3">
        <f t="shared" si="23"/>
        <v>-663</v>
      </c>
      <c r="G23" s="3">
        <f>+G21-G22</f>
        <v>-3842</v>
      </c>
      <c r="H23" s="3">
        <f>+H21-H22</f>
        <v>2752</v>
      </c>
      <c r="I23" s="3">
        <f>+I21-I22</f>
        <v>4210</v>
      </c>
      <c r="J23" s="3">
        <f t="shared" si="24"/>
        <v>-1402</v>
      </c>
      <c r="K23" s="3">
        <f>+K21-K22</f>
        <v>7062</v>
      </c>
      <c r="L23" s="3">
        <f>+L21-L22</f>
        <v>11940</v>
      </c>
      <c r="M23" s="3">
        <f>+M21-M22</f>
        <v>12644</v>
      </c>
      <c r="N23" s="3">
        <f>+N21-N22</f>
        <v>11682.565834383468</v>
      </c>
      <c r="R23" s="3">
        <f>+R21-R22</f>
        <v>-12679</v>
      </c>
      <c r="S23" s="3">
        <f>+S21-S22</f>
        <v>-4753</v>
      </c>
      <c r="T23" s="3">
        <f>+T21-T22</f>
        <v>1718</v>
      </c>
      <c r="U23" s="3">
        <f t="shared" si="27"/>
        <v>43328.565834383466</v>
      </c>
      <c r="V23" s="3">
        <f>+V21-V22</f>
        <v>59256.335046307533</v>
      </c>
      <c r="W23" s="3">
        <f t="shared" ref="W23:AD23" si="40">+W21-W22</f>
        <v>82633.192447051231</v>
      </c>
      <c r="X23" s="3">
        <f t="shared" si="40"/>
        <v>111507.64607294126</v>
      </c>
      <c r="Y23" s="3">
        <f t="shared" si="40"/>
        <v>146998.83951640496</v>
      </c>
      <c r="Z23" s="3">
        <f t="shared" si="40"/>
        <v>190437.73285051258</v>
      </c>
      <c r="AA23" s="3">
        <f t="shared" si="40"/>
        <v>243405.4476188827</v>
      </c>
      <c r="AB23" s="3">
        <f t="shared" si="40"/>
        <v>307778.34785728285</v>
      </c>
      <c r="AC23" s="3">
        <f t="shared" si="40"/>
        <v>385781.0150844492</v>
      </c>
      <c r="AD23" s="3">
        <f t="shared" si="40"/>
        <v>480048.47101676586</v>
      </c>
      <c r="AE23" s="3">
        <f>+AD23*(1+$AI$28)</f>
        <v>484848.95572693355</v>
      </c>
      <c r="AF23" s="3">
        <f t="shared" ref="AF23:AJ23" si="41">+AE23*(1+$AI$28)</f>
        <v>489697.44528420287</v>
      </c>
      <c r="AG23" s="3">
        <f t="shared" si="41"/>
        <v>494594.4197370449</v>
      </c>
      <c r="AH23" s="3">
        <f t="shared" si="41"/>
        <v>499540.36393441533</v>
      </c>
      <c r="AI23" s="3">
        <f t="shared" si="41"/>
        <v>504535.76757375948</v>
      </c>
      <c r="AJ23" s="3">
        <f t="shared" si="41"/>
        <v>509581.12524949707</v>
      </c>
      <c r="AK23" s="3">
        <f t="shared" ref="AK23:CV23" si="42">+AJ23*(1+$AI$28)</f>
        <v>514676.93650199205</v>
      </c>
      <c r="AL23" s="3">
        <f t="shared" si="42"/>
        <v>519823.70586701197</v>
      </c>
      <c r="AM23" s="3">
        <f t="shared" si="42"/>
        <v>525021.94292568206</v>
      </c>
      <c r="AN23" s="3">
        <f t="shared" si="42"/>
        <v>530272.16235493892</v>
      </c>
      <c r="AO23" s="3">
        <f t="shared" si="42"/>
        <v>535574.88397848827</v>
      </c>
      <c r="AP23" s="3">
        <f t="shared" si="42"/>
        <v>540930.63281827315</v>
      </c>
      <c r="AQ23" s="3">
        <f t="shared" si="42"/>
        <v>546339.93914645584</v>
      </c>
      <c r="AR23" s="3">
        <f t="shared" si="42"/>
        <v>551803.33853792038</v>
      </c>
      <c r="AS23" s="3">
        <f t="shared" si="42"/>
        <v>557321.37192329962</v>
      </c>
      <c r="AT23" s="3">
        <f t="shared" si="42"/>
        <v>562894.58564253268</v>
      </c>
      <c r="AU23" s="3">
        <f t="shared" si="42"/>
        <v>568523.53149895801</v>
      </c>
      <c r="AV23" s="3">
        <f t="shared" si="42"/>
        <v>574208.76681394759</v>
      </c>
      <c r="AW23" s="3">
        <f t="shared" si="42"/>
        <v>579950.85448208707</v>
      </c>
      <c r="AX23" s="3">
        <f t="shared" si="42"/>
        <v>585750.3630269079</v>
      </c>
      <c r="AY23" s="3">
        <f t="shared" si="42"/>
        <v>591607.86665717699</v>
      </c>
      <c r="AZ23" s="3">
        <f t="shared" si="42"/>
        <v>597523.94532374875</v>
      </c>
      <c r="BA23" s="3">
        <f t="shared" si="42"/>
        <v>603499.18477698625</v>
      </c>
      <c r="BB23" s="3">
        <f t="shared" si="42"/>
        <v>609534.17662475607</v>
      </c>
      <c r="BC23" s="3">
        <f t="shared" si="42"/>
        <v>615629.5183910036</v>
      </c>
      <c r="BD23" s="3">
        <f t="shared" si="42"/>
        <v>621785.81357491366</v>
      </c>
      <c r="BE23" s="3">
        <f t="shared" si="42"/>
        <v>628003.67171066278</v>
      </c>
      <c r="BF23" s="3">
        <f t="shared" si="42"/>
        <v>634283.70842776936</v>
      </c>
      <c r="BG23" s="3">
        <f t="shared" si="42"/>
        <v>640626.54551204701</v>
      </c>
      <c r="BH23" s="3">
        <f t="shared" si="42"/>
        <v>647032.81096716749</v>
      </c>
      <c r="BI23" s="3">
        <f t="shared" si="42"/>
        <v>653503.1390768392</v>
      </c>
      <c r="BJ23" s="3">
        <f t="shared" si="42"/>
        <v>660038.17046760756</v>
      </c>
      <c r="BK23" s="3">
        <f t="shared" si="42"/>
        <v>666638.55217228364</v>
      </c>
      <c r="BL23" s="3">
        <f t="shared" si="42"/>
        <v>673304.93769400648</v>
      </c>
      <c r="BM23" s="3">
        <f t="shared" si="42"/>
        <v>680037.9870709466</v>
      </c>
      <c r="BN23" s="3">
        <f t="shared" si="42"/>
        <v>686838.3669416561</v>
      </c>
      <c r="BO23" s="3">
        <f t="shared" si="42"/>
        <v>693706.75061107264</v>
      </c>
      <c r="BP23" s="3">
        <f t="shared" si="42"/>
        <v>700643.8181171834</v>
      </c>
      <c r="BQ23" s="3">
        <f t="shared" si="42"/>
        <v>707650.25629835529</v>
      </c>
      <c r="BR23" s="3">
        <f t="shared" si="42"/>
        <v>714726.75886133884</v>
      </c>
      <c r="BS23" s="3">
        <f t="shared" si="42"/>
        <v>721874.02644995227</v>
      </c>
      <c r="BT23" s="3">
        <f t="shared" si="42"/>
        <v>729092.76671445183</v>
      </c>
      <c r="BU23" s="3">
        <f t="shared" si="42"/>
        <v>736383.6943815964</v>
      </c>
      <c r="BV23" s="3">
        <f t="shared" si="42"/>
        <v>743747.53132541233</v>
      </c>
      <c r="BW23" s="3">
        <f t="shared" si="42"/>
        <v>751185.0066386665</v>
      </c>
      <c r="BX23" s="3">
        <f t="shared" si="42"/>
        <v>758696.85670505313</v>
      </c>
      <c r="BY23" s="3">
        <f t="shared" si="42"/>
        <v>766283.82527210366</v>
      </c>
      <c r="BZ23" s="3">
        <f t="shared" si="42"/>
        <v>773946.66352482466</v>
      </c>
      <c r="CA23" s="3">
        <f t="shared" si="42"/>
        <v>781686.13016007293</v>
      </c>
      <c r="CB23" s="3">
        <f t="shared" si="42"/>
        <v>789502.99146167364</v>
      </c>
      <c r="CC23" s="3">
        <f t="shared" si="42"/>
        <v>797398.02137629036</v>
      </c>
      <c r="CD23" s="3">
        <f t="shared" si="42"/>
        <v>805372.00159005332</v>
      </c>
      <c r="CE23" s="3">
        <f t="shared" si="42"/>
        <v>813425.72160595388</v>
      </c>
      <c r="CF23" s="3">
        <f t="shared" si="42"/>
        <v>821559.97882201348</v>
      </c>
      <c r="CG23" s="3">
        <f t="shared" si="42"/>
        <v>829775.57861023361</v>
      </c>
      <c r="CH23" s="3">
        <f t="shared" si="42"/>
        <v>838073.33439633599</v>
      </c>
      <c r="CI23" s="3">
        <f t="shared" si="42"/>
        <v>846454.06774029939</v>
      </c>
      <c r="CJ23" s="3">
        <f t="shared" si="42"/>
        <v>854918.60841770237</v>
      </c>
      <c r="CK23" s="3">
        <f t="shared" si="42"/>
        <v>863467.79450187937</v>
      </c>
      <c r="CL23" s="3">
        <f t="shared" si="42"/>
        <v>872102.47244689811</v>
      </c>
      <c r="CM23" s="3">
        <f t="shared" si="42"/>
        <v>880823.49717136705</v>
      </c>
      <c r="CN23" s="3">
        <f t="shared" si="42"/>
        <v>889631.73214308068</v>
      </c>
      <c r="CO23" s="3">
        <f t="shared" si="42"/>
        <v>898528.04946451145</v>
      </c>
      <c r="CP23" s="3">
        <f t="shared" si="42"/>
        <v>907513.32995915657</v>
      </c>
      <c r="CQ23" s="3">
        <f t="shared" si="42"/>
        <v>916588.46325874818</v>
      </c>
      <c r="CR23" s="3">
        <f t="shared" si="42"/>
        <v>925754.34789133561</v>
      </c>
      <c r="CS23" s="3">
        <f t="shared" si="42"/>
        <v>935011.89137024898</v>
      </c>
      <c r="CT23" s="3">
        <f t="shared" si="42"/>
        <v>944362.01028395153</v>
      </c>
      <c r="CU23" s="3">
        <f t="shared" si="42"/>
        <v>953805.63038679108</v>
      </c>
      <c r="CV23" s="3">
        <f t="shared" si="42"/>
        <v>963343.68669065903</v>
      </c>
      <c r="CW23" s="3">
        <f t="shared" ref="CW23:EV23" si="43">+CV23*(1+$AI$28)</f>
        <v>972977.12355756562</v>
      </c>
      <c r="CX23" s="3">
        <f t="shared" si="43"/>
        <v>982706.89479314128</v>
      </c>
      <c r="CY23" s="3">
        <f t="shared" si="43"/>
        <v>992533.96374107269</v>
      </c>
      <c r="CZ23" s="3">
        <f t="shared" si="43"/>
        <v>1002459.3033784834</v>
      </c>
      <c r="DA23" s="3">
        <f t="shared" si="43"/>
        <v>1012483.8964122683</v>
      </c>
      <c r="DB23" s="3">
        <f t="shared" si="43"/>
        <v>1022608.735376391</v>
      </c>
      <c r="DC23" s="3">
        <f t="shared" si="43"/>
        <v>1032834.8227301548</v>
      </c>
      <c r="DD23" s="3">
        <f t="shared" si="43"/>
        <v>1043163.1709574565</v>
      </c>
      <c r="DE23" s="3">
        <f t="shared" si="43"/>
        <v>1053594.8026670311</v>
      </c>
      <c r="DF23" s="3">
        <f t="shared" si="43"/>
        <v>1064130.7506937014</v>
      </c>
      <c r="DG23" s="3">
        <f t="shared" si="43"/>
        <v>1074772.0582006385</v>
      </c>
      <c r="DH23" s="3">
        <f t="shared" si="43"/>
        <v>1085519.778782645</v>
      </c>
      <c r="DI23" s="3">
        <f t="shared" si="43"/>
        <v>1096374.9765704714</v>
      </c>
      <c r="DJ23" s="3">
        <f t="shared" si="43"/>
        <v>1107338.726336176</v>
      </c>
      <c r="DK23" s="3">
        <f t="shared" si="43"/>
        <v>1118412.1135995379</v>
      </c>
      <c r="DL23" s="3">
        <f t="shared" si="43"/>
        <v>1129596.2347355334</v>
      </c>
      <c r="DM23" s="3">
        <f t="shared" si="43"/>
        <v>1140892.1970828888</v>
      </c>
      <c r="DN23" s="3">
        <f t="shared" si="43"/>
        <v>1152301.1190537177</v>
      </c>
      <c r="DO23" s="3">
        <f t="shared" si="43"/>
        <v>1163824.1302442548</v>
      </c>
      <c r="DP23" s="3">
        <f t="shared" si="43"/>
        <v>1175462.3715466973</v>
      </c>
      <c r="DQ23" s="3">
        <f t="shared" si="43"/>
        <v>1187216.9952621644</v>
      </c>
      <c r="DR23" s="3">
        <f t="shared" si="43"/>
        <v>1199089.1652147861</v>
      </c>
      <c r="DS23" s="3">
        <f t="shared" si="43"/>
        <v>1211080.0568669341</v>
      </c>
      <c r="DT23" s="3">
        <f t="shared" si="43"/>
        <v>1223190.8574356034</v>
      </c>
      <c r="DU23" s="3">
        <f t="shared" si="43"/>
        <v>1235422.7660099594</v>
      </c>
      <c r="DV23" s="3">
        <f t="shared" si="43"/>
        <v>1247776.9936700589</v>
      </c>
      <c r="DW23" s="3">
        <f t="shared" si="43"/>
        <v>1260254.7636067595</v>
      </c>
      <c r="DX23" s="3">
        <f t="shared" si="43"/>
        <v>1272857.311242827</v>
      </c>
      <c r="DY23" s="3">
        <f t="shared" si="43"/>
        <v>1285585.8843552552</v>
      </c>
      <c r="DZ23" s="3">
        <f t="shared" si="43"/>
        <v>1298441.7431988078</v>
      </c>
      <c r="EA23" s="3">
        <f t="shared" si="43"/>
        <v>1311426.1606307959</v>
      </c>
      <c r="EB23" s="3">
        <f t="shared" si="43"/>
        <v>1324540.4222371038</v>
      </c>
      <c r="EC23" s="3">
        <f t="shared" si="43"/>
        <v>1337785.8264594749</v>
      </c>
      <c r="ED23" s="3">
        <f t="shared" si="43"/>
        <v>1351163.6847240697</v>
      </c>
      <c r="EE23" s="3">
        <f t="shared" si="43"/>
        <v>1364675.3215713103</v>
      </c>
      <c r="EF23" s="3">
        <f t="shared" si="43"/>
        <v>1378322.0747870235</v>
      </c>
      <c r="EG23" s="3">
        <f t="shared" si="43"/>
        <v>1392105.2955348936</v>
      </c>
      <c r="EH23" s="3">
        <f t="shared" si="43"/>
        <v>1406026.3484902426</v>
      </c>
      <c r="EI23" s="3">
        <f t="shared" si="43"/>
        <v>1420086.6119751451</v>
      </c>
      <c r="EJ23" s="3">
        <f t="shared" si="43"/>
        <v>1434287.4780948965</v>
      </c>
      <c r="EK23" s="3">
        <f t="shared" si="43"/>
        <v>1448630.3528758455</v>
      </c>
      <c r="EL23" s="3">
        <f t="shared" si="43"/>
        <v>1463116.656404604</v>
      </c>
      <c r="EM23" s="3">
        <f t="shared" si="43"/>
        <v>1477747.8229686499</v>
      </c>
      <c r="EN23" s="3">
        <f t="shared" si="43"/>
        <v>1492525.3011983365</v>
      </c>
      <c r="EO23" s="3">
        <f t="shared" si="43"/>
        <v>1507450.5542103199</v>
      </c>
      <c r="EP23" s="3">
        <f t="shared" si="43"/>
        <v>1522525.0597524231</v>
      </c>
      <c r="EQ23" s="3">
        <f t="shared" si="43"/>
        <v>1537750.3103499473</v>
      </c>
      <c r="ER23" s="3">
        <f t="shared" si="43"/>
        <v>1553127.8134534468</v>
      </c>
      <c r="ES23" s="3">
        <f t="shared" si="43"/>
        <v>1568659.0915879812</v>
      </c>
      <c r="ET23" s="3">
        <f t="shared" si="43"/>
        <v>1584345.6825038611</v>
      </c>
      <c r="EU23" s="3">
        <f t="shared" si="43"/>
        <v>1600189.1393288998</v>
      </c>
      <c r="EV23" s="3">
        <f t="shared" si="43"/>
        <v>1616191.0307221888</v>
      </c>
      <c r="EW23" s="3">
        <f t="shared" ref="EW23:GB23" si="44">+EV23*(1+$AI$28)</f>
        <v>1632352.9410294106</v>
      </c>
      <c r="EX23" s="3">
        <f t="shared" si="44"/>
        <v>1648676.4704397046</v>
      </c>
      <c r="EY23" s="3">
        <f t="shared" si="44"/>
        <v>1665163.2351441015</v>
      </c>
      <c r="EZ23" s="3">
        <f t="shared" si="44"/>
        <v>1681814.8674955426</v>
      </c>
      <c r="FA23" s="3">
        <f t="shared" si="44"/>
        <v>1698633.016170498</v>
      </c>
      <c r="FB23" s="3">
        <f t="shared" si="44"/>
        <v>1715619.3463322029</v>
      </c>
      <c r="FC23" s="3">
        <f t="shared" si="44"/>
        <v>1732775.5397955249</v>
      </c>
      <c r="FD23" s="3">
        <f t="shared" si="44"/>
        <v>1750103.2951934801</v>
      </c>
      <c r="FE23" s="3">
        <f t="shared" si="44"/>
        <v>1767604.3281454148</v>
      </c>
      <c r="FF23" s="3">
        <f t="shared" si="44"/>
        <v>1785280.371426869</v>
      </c>
      <c r="FG23" s="3">
        <f t="shared" si="44"/>
        <v>1803133.1751411376</v>
      </c>
      <c r="FH23" s="3">
        <f t="shared" si="44"/>
        <v>1821164.5068925489</v>
      </c>
      <c r="FI23" s="3">
        <f t="shared" si="44"/>
        <v>1839376.1519614744</v>
      </c>
      <c r="FJ23" s="3">
        <f t="shared" si="44"/>
        <v>1857769.9134810893</v>
      </c>
      <c r="FK23" s="3">
        <f t="shared" si="44"/>
        <v>1876347.6126159001</v>
      </c>
      <c r="FL23" s="3">
        <f t="shared" si="44"/>
        <v>1895111.0887420592</v>
      </c>
      <c r="FM23" s="3">
        <f t="shared" si="44"/>
        <v>1914062.1996294798</v>
      </c>
      <c r="FN23" s="3">
        <f t="shared" si="44"/>
        <v>1933202.8216257745</v>
      </c>
      <c r="FO23" s="3">
        <f t="shared" si="44"/>
        <v>1952534.8498420322</v>
      </c>
      <c r="FP23" s="3">
        <f t="shared" si="44"/>
        <v>1972060.1983404525</v>
      </c>
      <c r="FQ23" s="3">
        <f t="shared" si="44"/>
        <v>1991780.800323857</v>
      </c>
      <c r="FR23" s="3">
        <f t="shared" si="44"/>
        <v>2011698.6083270956</v>
      </c>
      <c r="FS23" s="3">
        <f t="shared" si="44"/>
        <v>2031815.5944103666</v>
      </c>
      <c r="FT23" s="3">
        <f t="shared" si="44"/>
        <v>2052133.7503544702</v>
      </c>
      <c r="FU23" s="3">
        <f t="shared" si="44"/>
        <v>2072655.087858015</v>
      </c>
      <c r="FV23" s="3">
        <f t="shared" si="44"/>
        <v>2093381.6387365952</v>
      </c>
      <c r="FW23" s="3">
        <f t="shared" si="44"/>
        <v>2114315.455123961</v>
      </c>
      <c r="FX23" s="3">
        <f t="shared" si="44"/>
        <v>2135458.6096752007</v>
      </c>
      <c r="FY23" s="3">
        <f t="shared" si="44"/>
        <v>2156813.1957719526</v>
      </c>
      <c r="FZ23" s="3">
        <f t="shared" si="44"/>
        <v>2178381.3277296722</v>
      </c>
      <c r="GA23" s="3">
        <f t="shared" si="44"/>
        <v>2200165.1410069689</v>
      </c>
      <c r="GB23" s="3">
        <f t="shared" si="44"/>
        <v>2222166.7924170387</v>
      </c>
      <c r="GC23" s="3">
        <f t="shared" ref="GC23:GP23" si="45">+GB23*(1+$AI$28)</f>
        <v>2244388.4603412091</v>
      </c>
      <c r="GD23" s="3">
        <f t="shared" si="45"/>
        <v>2266832.344944621</v>
      </c>
      <c r="GE23" s="3">
        <f t="shared" si="45"/>
        <v>2289500.6683940673</v>
      </c>
      <c r="GF23" s="3">
        <f t="shared" si="45"/>
        <v>2312395.6750780079</v>
      </c>
      <c r="GG23" s="3">
        <f t="shared" si="45"/>
        <v>2335519.6318287877</v>
      </c>
      <c r="GH23" s="3">
        <f t="shared" si="45"/>
        <v>2358874.8281470756</v>
      </c>
      <c r="GI23" s="3">
        <f t="shared" si="45"/>
        <v>2382463.5764285466</v>
      </c>
      <c r="GJ23" s="3">
        <f t="shared" si="45"/>
        <v>2406288.212192832</v>
      </c>
      <c r="GK23" s="3">
        <f t="shared" si="45"/>
        <v>2430351.0943147605</v>
      </c>
      <c r="GL23" s="3">
        <f t="shared" si="45"/>
        <v>2454654.6052579083</v>
      </c>
      <c r="GM23" s="3">
        <f t="shared" si="45"/>
        <v>2479201.1513104877</v>
      </c>
      <c r="GN23" s="3">
        <f t="shared" si="45"/>
        <v>2503993.1628235928</v>
      </c>
      <c r="GO23" s="3">
        <f t="shared" si="45"/>
        <v>2529033.0944518289</v>
      </c>
      <c r="GP23" s="3">
        <f t="shared" si="45"/>
        <v>2554323.425396347</v>
      </c>
      <c r="GQ23" s="3">
        <f t="shared" ref="GQ23:HD23" si="46">+GP23*(1+$AI$28)</f>
        <v>2579866.6596503104</v>
      </c>
      <c r="GR23" s="3">
        <f t="shared" si="46"/>
        <v>2605665.3262468134</v>
      </c>
      <c r="GS23" s="3">
        <f t="shared" si="46"/>
        <v>2631721.9795092815</v>
      </c>
      <c r="GT23" s="3">
        <f t="shared" si="46"/>
        <v>2658039.1993043744</v>
      </c>
      <c r="GU23" s="3">
        <f t="shared" si="46"/>
        <v>2684619.5912974183</v>
      </c>
      <c r="GV23" s="3">
        <f t="shared" si="46"/>
        <v>2711465.7872103928</v>
      </c>
      <c r="GW23" s="3">
        <f t="shared" si="46"/>
        <v>2738580.4450824969</v>
      </c>
      <c r="GX23" s="3">
        <f t="shared" si="46"/>
        <v>2765966.2495333217</v>
      </c>
      <c r="GY23" s="3">
        <f t="shared" si="46"/>
        <v>2793625.9120286549</v>
      </c>
      <c r="GZ23" s="3">
        <f t="shared" si="46"/>
        <v>2821562.1711489414</v>
      </c>
      <c r="HA23" s="3">
        <f t="shared" si="46"/>
        <v>2849777.7928604307</v>
      </c>
      <c r="HB23" s="3">
        <f t="shared" si="46"/>
        <v>2878275.5707890349</v>
      </c>
      <c r="HC23" s="3">
        <f t="shared" si="46"/>
        <v>2907058.3264969252</v>
      </c>
      <c r="HD23" s="3">
        <f t="shared" si="46"/>
        <v>2936128.9097618945</v>
      </c>
      <c r="HE23" s="3">
        <f t="shared" ref="HE23:HR23" si="47">+HD23*(1+$AI$28)</f>
        <v>2965490.1988595133</v>
      </c>
      <c r="HF23" s="3">
        <f t="shared" si="47"/>
        <v>2995145.1008481085</v>
      </c>
      <c r="HG23" s="3">
        <f t="shared" si="47"/>
        <v>3025096.5518565895</v>
      </c>
      <c r="HH23" s="3">
        <f t="shared" si="47"/>
        <v>3055347.5173751554</v>
      </c>
      <c r="HI23" s="3">
        <f t="shared" si="47"/>
        <v>3085900.9925489067</v>
      </c>
      <c r="HJ23" s="3">
        <f t="shared" si="47"/>
        <v>3116760.002474396</v>
      </c>
      <c r="HK23" s="3">
        <f t="shared" si="47"/>
        <v>3147927.60249914</v>
      </c>
      <c r="HL23" s="3">
        <f t="shared" si="47"/>
        <v>3179406.8785241316</v>
      </c>
      <c r="HM23" s="3">
        <f t="shared" si="47"/>
        <v>3211200.9473093729</v>
      </c>
      <c r="HN23" s="3">
        <f t="shared" si="47"/>
        <v>3243312.9567824667</v>
      </c>
      <c r="HO23" s="3">
        <f t="shared" si="47"/>
        <v>3275746.0863502915</v>
      </c>
      <c r="HP23" s="3">
        <f t="shared" si="47"/>
        <v>3308503.5472137947</v>
      </c>
      <c r="HQ23" s="3">
        <f t="shared" si="47"/>
        <v>3341588.5826859325</v>
      </c>
      <c r="HR23" s="3">
        <f t="shared" si="47"/>
        <v>3375004.4685127917</v>
      </c>
      <c r="HS23" s="3">
        <f t="shared" ref="HS23:HV23" si="48">+HR23*(1+$AI$28)</f>
        <v>3408754.5131979198</v>
      </c>
      <c r="HT23" s="3">
        <f t="shared" si="48"/>
        <v>3442842.0583298989</v>
      </c>
      <c r="HU23" s="3">
        <f t="shared" si="48"/>
        <v>3477270.4789131978</v>
      </c>
      <c r="HV23" s="3">
        <f t="shared" si="48"/>
        <v>3512043.1837023296</v>
      </c>
    </row>
    <row r="24" spans="2:230 16384:16384">
      <c r="B24" s="1" t="s">
        <v>30</v>
      </c>
      <c r="C24" s="1">
        <v>48059</v>
      </c>
      <c r="D24" s="1">
        <v>50926</v>
      </c>
      <c r="E24" s="1">
        <v>54418</v>
      </c>
      <c r="F24" s="1">
        <f>+F23/F25</f>
        <v>200785.1924537998</v>
      </c>
      <c r="G24" s="1">
        <v>56664</v>
      </c>
      <c r="H24" s="1">
        <v>57428</v>
      </c>
      <c r="I24" s="1">
        <v>60214</v>
      </c>
      <c r="J24" s="1">
        <f>+J23/J25</f>
        <v>62705.921326106029</v>
      </c>
      <c r="K24" s="1">
        <v>83410</v>
      </c>
      <c r="L24" s="1">
        <v>102356</v>
      </c>
      <c r="M24" s="1">
        <v>114252</v>
      </c>
      <c r="N24" s="1">
        <f>+M24</f>
        <v>114252</v>
      </c>
      <c r="R24" s="1">
        <v>51871</v>
      </c>
      <c r="S24" s="1">
        <v>51871</v>
      </c>
      <c r="T24" s="1">
        <v>62074</v>
      </c>
      <c r="U24" s="1">
        <f>+U23/U25</f>
        <v>104598.22608948388</v>
      </c>
      <c r="V24" s="1">
        <f>+U24</f>
        <v>104598.22608948388</v>
      </c>
      <c r="W24" s="1">
        <f t="shared" ref="W24:AD24" si="49">+V24</f>
        <v>104598.22608948388</v>
      </c>
      <c r="X24" s="1">
        <f t="shared" si="49"/>
        <v>104598.22608948388</v>
      </c>
      <c r="Y24" s="1">
        <f t="shared" si="49"/>
        <v>104598.22608948388</v>
      </c>
      <c r="Z24" s="1">
        <f t="shared" si="49"/>
        <v>104598.22608948388</v>
      </c>
      <c r="AA24" s="1">
        <f t="shared" si="49"/>
        <v>104598.22608948388</v>
      </c>
      <c r="AB24" s="1">
        <f t="shared" si="49"/>
        <v>104598.22608948388</v>
      </c>
      <c r="AC24" s="1">
        <f t="shared" si="49"/>
        <v>104598.22608948388</v>
      </c>
      <c r="AD24" s="1">
        <f t="shared" si="49"/>
        <v>104598.22608948388</v>
      </c>
    </row>
    <row r="25" spans="2:230 16384:16384" s="12" customFormat="1">
      <c r="B25" s="12" t="s">
        <v>31</v>
      </c>
      <c r="C25" s="12">
        <f>+C23/C24</f>
        <v>-0.10293597453130528</v>
      </c>
      <c r="D25" s="12">
        <f>+D23/D24</f>
        <v>-1.779051957742607E-2</v>
      </c>
      <c r="E25" s="12">
        <f>+E23/E24</f>
        <v>3.2397368517769858E-2</v>
      </c>
      <c r="F25" s="12">
        <f t="shared" si="23"/>
        <v>-3.3020363299577221E-3</v>
      </c>
      <c r="G25" s="12">
        <f>+G23/G24</f>
        <v>-6.7803190738387684E-2</v>
      </c>
      <c r="H25" s="12">
        <f>+H23/H24</f>
        <v>4.7920874834575466E-2</v>
      </c>
      <c r="I25" s="12">
        <f>+I23/I24</f>
        <v>6.9917294981233599E-2</v>
      </c>
      <c r="J25" s="12">
        <f t="shared" si="24"/>
        <v>-2.235833507187961E-2</v>
      </c>
      <c r="K25" s="12">
        <f>+K23/K24</f>
        <v>8.4666107181393113E-2</v>
      </c>
      <c r="L25" s="12">
        <f>+L23/L24</f>
        <v>0.11665168627144476</v>
      </c>
      <c r="M25" s="12">
        <f>+M23/M24</f>
        <v>0.11066764695585198</v>
      </c>
      <c r="N25" s="12">
        <f>+N23/N24</f>
        <v>0.10225261557244922</v>
      </c>
      <c r="R25" s="12">
        <f>+R23/R24</f>
        <v>-0.24443330570068053</v>
      </c>
      <c r="S25" s="12">
        <f>+S23/S24</f>
        <v>-9.1631161920919205E-2</v>
      </c>
      <c r="T25" s="12">
        <f>+T23/T24</f>
        <v>2.7676644005541772E-2</v>
      </c>
      <c r="U25" s="12">
        <f t="shared" si="27"/>
        <v>0.41423805598113905</v>
      </c>
      <c r="V25" s="12">
        <f>+V23/V24</f>
        <v>0.56651376664470088</v>
      </c>
      <c r="W25" s="12">
        <f t="shared" ref="W25:AD25" si="50">+W23/W24</f>
        <v>0.79000567730812621</v>
      </c>
      <c r="X25" s="12">
        <f t="shared" si="50"/>
        <v>1.0660567606332669</v>
      </c>
      <c r="Y25" s="12">
        <f t="shared" si="50"/>
        <v>1.4053664675980959</v>
      </c>
      <c r="Z25" s="12">
        <f t="shared" si="50"/>
        <v>1.820659297678652</v>
      </c>
      <c r="AA25" s="12">
        <f t="shared" si="50"/>
        <v>2.3270513919676716</v>
      </c>
      <c r="AB25" s="12">
        <f t="shared" si="50"/>
        <v>2.9424815253939216</v>
      </c>
      <c r="AC25" s="12">
        <f t="shared" si="50"/>
        <v>3.6882175683783887</v>
      </c>
      <c r="AD25" s="12">
        <f t="shared" si="50"/>
        <v>4.5894513603517897</v>
      </c>
    </row>
    <row r="26" spans="2:230 16384:16384">
      <c r="S26" s="4"/>
      <c r="T26" s="4"/>
      <c r="U26" s="4"/>
    </row>
    <row r="27" spans="2:230 16384:16384">
      <c r="AH27" s="1" t="s">
        <v>83</v>
      </c>
      <c r="AI27" s="4">
        <v>0.03</v>
      </c>
    </row>
    <row r="28" spans="2:230 16384:16384" s="4" customFormat="1">
      <c r="B28" s="1" t="s">
        <v>32</v>
      </c>
      <c r="G28" s="4">
        <f t="shared" ref="G28:N30" si="51">+G11/C11-1</f>
        <v>0.33011744644242502</v>
      </c>
      <c r="H28" s="4">
        <f t="shared" si="51"/>
        <v>0.37654505582137165</v>
      </c>
      <c r="I28" s="4">
        <f t="shared" si="51"/>
        <v>0.36294315306540015</v>
      </c>
      <c r="J28" s="4">
        <f t="shared" si="51"/>
        <v>0.29537348299242216</v>
      </c>
      <c r="K28" s="4">
        <f t="shared" si="51"/>
        <v>0.43265921323138756</v>
      </c>
      <c r="L28" s="4">
        <f t="shared" si="51"/>
        <v>0.33634454542163006</v>
      </c>
      <c r="M28" s="4">
        <f t="shared" si="51"/>
        <v>0.30372729118035124</v>
      </c>
      <c r="N28" s="4">
        <f t="shared" si="51"/>
        <v>0.26276752767527678</v>
      </c>
      <c r="S28" s="4">
        <f t="shared" ref="S28:T30" si="52">+S11/R11-1</f>
        <v>0.58443674983776939</v>
      </c>
      <c r="T28" s="4">
        <f t="shared" si="52"/>
        <v>0.34113739038001589</v>
      </c>
      <c r="U28" s="4">
        <f t="shared" ref="U28:AD28" si="53">+U11/T11-1</f>
        <v>0.32729653295222838</v>
      </c>
      <c r="V28" s="4">
        <f t="shared" si="53"/>
        <v>0.37280178837555855</v>
      </c>
      <c r="W28" s="4">
        <f t="shared" si="53"/>
        <v>0.33664169787765297</v>
      </c>
      <c r="X28" s="4">
        <f t="shared" si="53"/>
        <v>0.31058002148227715</v>
      </c>
      <c r="Y28" s="4">
        <f t="shared" si="53"/>
        <v>0.29090480678605068</v>
      </c>
      <c r="Z28" s="4">
        <f t="shared" si="53"/>
        <v>0.27552476910159518</v>
      </c>
      <c r="AA28" s="4">
        <f t="shared" si="53"/>
        <v>0.26317183951551848</v>
      </c>
      <c r="AB28" s="4">
        <f t="shared" si="53"/>
        <v>0.25303239145416945</v>
      </c>
      <c r="AC28" s="4">
        <f t="shared" si="53"/>
        <v>0.24456040480708396</v>
      </c>
      <c r="AD28" s="4">
        <f t="shared" si="53"/>
        <v>0.23737580362361199</v>
      </c>
      <c r="AH28" s="4" t="s">
        <v>75</v>
      </c>
      <c r="AI28" s="4">
        <v>0.01</v>
      </c>
    </row>
    <row r="29" spans="2:230 16384:16384" s="4" customFormat="1">
      <c r="B29" s="1" t="s">
        <v>33</v>
      </c>
      <c r="G29" s="4">
        <f t="shared" si="51"/>
        <v>9.7136874687059116E-2</v>
      </c>
      <c r="H29" s="4">
        <f t="shared" si="51"/>
        <v>0.1182109861223859</v>
      </c>
      <c r="I29" s="4">
        <f t="shared" si="51"/>
        <v>0.11484471308704824</v>
      </c>
      <c r="J29" s="4">
        <f t="shared" si="51"/>
        <v>1.7289204696584015E-2</v>
      </c>
      <c r="K29" s="4">
        <f t="shared" si="51"/>
        <v>0.12077334771605197</v>
      </c>
      <c r="L29" s="4">
        <f t="shared" si="51"/>
        <v>2.4993950288657585E-2</v>
      </c>
      <c r="M29" s="4">
        <f t="shared" si="51"/>
        <v>6.713037274835032E-2</v>
      </c>
      <c r="N29" s="4">
        <f t="shared" si="51"/>
        <v>0.14715064429928026</v>
      </c>
      <c r="S29" s="4">
        <f t="shared" si="52"/>
        <v>5.4945288430893413E-2</v>
      </c>
      <c r="T29" s="4">
        <f t="shared" si="52"/>
        <v>8.5949930514994666E-2</v>
      </c>
      <c r="U29" s="4">
        <f t="shared" ref="U29:AD29" si="54">+U12/T12-1</f>
        <v>8.7683420803437828E-2</v>
      </c>
      <c r="V29" s="4">
        <f t="shared" si="54"/>
        <v>0.19225806451612915</v>
      </c>
      <c r="W29" s="4">
        <f t="shared" si="54"/>
        <v>0.18787878787878798</v>
      </c>
      <c r="X29" s="4">
        <f t="shared" si="54"/>
        <v>0.18400000000000016</v>
      </c>
      <c r="Y29" s="4">
        <f t="shared" si="54"/>
        <v>0.18054054054054069</v>
      </c>
      <c r="Z29" s="4">
        <f t="shared" si="54"/>
        <v>0.1774358974358976</v>
      </c>
      <c r="AA29" s="4">
        <f t="shared" si="54"/>
        <v>0.17463414634146335</v>
      </c>
      <c r="AB29" s="4">
        <f t="shared" si="54"/>
        <v>0.17209302325581399</v>
      </c>
      <c r="AC29" s="4">
        <f t="shared" si="54"/>
        <v>0.16977777777777803</v>
      </c>
      <c r="AD29" s="4">
        <f t="shared" si="54"/>
        <v>0.1676595744680851</v>
      </c>
      <c r="AH29" s="4" t="s">
        <v>76</v>
      </c>
      <c r="AI29" s="4">
        <v>0.06</v>
      </c>
    </row>
    <row r="30" spans="2:230 16384:16384" s="3" customFormat="1">
      <c r="B30" s="3" t="s">
        <v>35</v>
      </c>
      <c r="F30" s="6"/>
      <c r="G30" s="6">
        <f t="shared" si="51"/>
        <v>0.29647861405399722</v>
      </c>
      <c r="H30" s="6">
        <f t="shared" si="51"/>
        <v>0.34068923334460055</v>
      </c>
      <c r="I30" s="6">
        <f t="shared" si="51"/>
        <v>0.33153618460794965</v>
      </c>
      <c r="J30" s="6">
        <f t="shared" si="51"/>
        <v>0.25911300272015136</v>
      </c>
      <c r="K30" s="6">
        <f t="shared" si="51"/>
        <v>0.39455154688822769</v>
      </c>
      <c r="L30" s="6">
        <f t="shared" si="51"/>
        <v>0.30030134585139212</v>
      </c>
      <c r="M30" s="6">
        <f t="shared" si="51"/>
        <v>0.27865047049794534</v>
      </c>
      <c r="N30" s="6">
        <f t="shared" si="51"/>
        <v>0.25058722442943848</v>
      </c>
      <c r="S30" s="6">
        <f t="shared" si="52"/>
        <v>0.4843294314246922</v>
      </c>
      <c r="T30" s="6">
        <f t="shared" si="52"/>
        <v>0.30684752074391208</v>
      </c>
      <c r="U30" s="6">
        <f t="shared" ref="U30:AD30" si="55">+U13/T13-1</f>
        <v>0.3005417169547413</v>
      </c>
      <c r="V30" s="6">
        <f t="shared" si="55"/>
        <v>0.3559420043949435</v>
      </c>
      <c r="W30" s="6">
        <f t="shared" si="55"/>
        <v>0.32442669905968891</v>
      </c>
      <c r="X30" s="6">
        <f t="shared" si="55"/>
        <v>0.3012580422893143</v>
      </c>
      <c r="Y30" s="6">
        <f t="shared" si="55"/>
        <v>0.28350943997071076</v>
      </c>
      <c r="Z30" s="6">
        <f t="shared" si="55"/>
        <v>0.26947926086518104</v>
      </c>
      <c r="AA30" s="6">
        <f t="shared" si="55"/>
        <v>0.25811064600161537</v>
      </c>
      <c r="AB30" s="6">
        <f t="shared" si="55"/>
        <v>0.24871254475858784</v>
      </c>
      <c r="AC30" s="6">
        <f t="shared" si="55"/>
        <v>0.24081405049764393</v>
      </c>
      <c r="AD30" s="6">
        <f t="shared" si="55"/>
        <v>0.23408320582301512</v>
      </c>
      <c r="AH30" s="3" t="s">
        <v>77</v>
      </c>
      <c r="AI30" s="3">
        <f>NPV(AI29,U23:HV23)</f>
        <v>6761196.6356809773</v>
      </c>
    </row>
    <row r="31" spans="2:230 16384:16384" s="3" customFormat="1">
      <c r="F31" s="6"/>
      <c r="G31" s="6"/>
      <c r="H31" s="6"/>
      <c r="I31" s="6"/>
      <c r="J31" s="6"/>
      <c r="K31" s="6"/>
      <c r="L31" s="6"/>
      <c r="M31" s="6"/>
      <c r="N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H31" s="1" t="s">
        <v>73</v>
      </c>
      <c r="AI31" s="1">
        <f>+L45</f>
        <v>17774</v>
      </c>
    </row>
    <row r="32" spans="2:230 16384:16384" s="3" customFormat="1">
      <c r="B32" s="3" t="s">
        <v>87</v>
      </c>
      <c r="E32" s="6">
        <f t="shared" ref="E32:K32" si="56">(E13-E14)/E13</f>
        <v>0.25450042285852364</v>
      </c>
      <c r="F32" s="6">
        <f t="shared" si="56"/>
        <v>0.26933958291011612</v>
      </c>
      <c r="G32" s="6">
        <f t="shared" si="56"/>
        <v>0.23188875990408939</v>
      </c>
      <c r="H32" s="6">
        <f t="shared" si="56"/>
        <v>0.28510999323672659</v>
      </c>
      <c r="I32" s="6">
        <f t="shared" si="56"/>
        <v>0.28424200493748747</v>
      </c>
      <c r="J32" s="6">
        <f t="shared" si="56"/>
        <v>0.23266292307268527</v>
      </c>
      <c r="K32" s="6">
        <f t="shared" si="56"/>
        <v>0.26089880370339408</v>
      </c>
      <c r="L32" s="6">
        <f t="shared" ref="L32:N32" si="57">(L13-L14)/L13</f>
        <v>0.27785779796748716</v>
      </c>
      <c r="M32" s="6">
        <f t="shared" si="57"/>
        <v>0.26625607607063023</v>
      </c>
      <c r="N32" s="6">
        <f t="shared" si="57"/>
        <v>0.26625607607063023</v>
      </c>
      <c r="R32" s="6">
        <f>(R13-R14)/R13</f>
        <v>0.30791401875165703</v>
      </c>
      <c r="S32" s="6">
        <f t="shared" ref="S32:AD32" si="58">(S13-S14)/S13</f>
        <v>0.24480793275346002</v>
      </c>
      <c r="T32" s="6">
        <f t="shared" si="58"/>
        <v>0.26020112324182831</v>
      </c>
      <c r="U32" s="6">
        <f t="shared" si="58"/>
        <v>0.26808391807301707</v>
      </c>
      <c r="V32" s="6">
        <f t="shared" si="58"/>
        <v>0.26808391807301718</v>
      </c>
      <c r="W32" s="6">
        <f t="shared" si="58"/>
        <v>0.26808391807301712</v>
      </c>
      <c r="X32" s="6">
        <f t="shared" si="58"/>
        <v>0.26808391807301718</v>
      </c>
      <c r="Y32" s="6">
        <f t="shared" si="58"/>
        <v>0.26808391807301724</v>
      </c>
      <c r="Z32" s="6">
        <f t="shared" si="58"/>
        <v>0.26808391807301718</v>
      </c>
      <c r="AA32" s="6">
        <f t="shared" si="58"/>
        <v>0.26808391807301718</v>
      </c>
      <c r="AB32" s="6">
        <f t="shared" si="58"/>
        <v>0.26808391807301712</v>
      </c>
      <c r="AC32" s="6">
        <f t="shared" si="58"/>
        <v>0.26808391807301712</v>
      </c>
      <c r="AD32" s="6">
        <f t="shared" si="58"/>
        <v>0.26808391807301712</v>
      </c>
      <c r="AH32" s="3" t="s">
        <v>78</v>
      </c>
      <c r="AI32" s="3">
        <f>+SUM(AI30:AI31)</f>
        <v>6778970.6356809773</v>
      </c>
      <c r="XFD32" s="6"/>
    </row>
    <row r="33" spans="2:35 16384:16384" s="3" customFormat="1">
      <c r="E33" s="6"/>
      <c r="F33" s="6"/>
      <c r="G33" s="6"/>
      <c r="H33" s="6"/>
      <c r="I33" s="6"/>
      <c r="J33" s="6"/>
      <c r="K33" s="6"/>
      <c r="L33" s="6"/>
      <c r="M33" s="6"/>
      <c r="N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H33" s="3" t="s">
        <v>79</v>
      </c>
      <c r="AI33" s="3">
        <f>+main!F5*1000</f>
        <v>154188.10100000002</v>
      </c>
      <c r="XFD33" s="6"/>
    </row>
    <row r="34" spans="2:35 16384:16384" s="3" customFormat="1">
      <c r="B34" s="3" t="s">
        <v>96</v>
      </c>
      <c r="E34" s="6"/>
      <c r="F34" s="6"/>
      <c r="G34" s="6"/>
      <c r="H34" s="6"/>
      <c r="I34" s="6"/>
      <c r="J34" s="6"/>
      <c r="K34" s="6"/>
      <c r="L34" s="6"/>
      <c r="M34" s="6"/>
      <c r="N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H34" s="3" t="s">
        <v>80</v>
      </c>
      <c r="AI34" s="1">
        <f>+AI32/AI33</f>
        <v>43.96558873035849</v>
      </c>
      <c r="XFD34" s="6"/>
    </row>
    <row r="35" spans="2:35 16384:16384" s="3" customFormat="1">
      <c r="B35" s="1" t="s">
        <v>20</v>
      </c>
      <c r="C35" s="16">
        <f>+C14/C$13</f>
        <v>0.79633402560529987</v>
      </c>
      <c r="D35" s="16">
        <f t="shared" ref="D35:N35" si="59">+D14/D$13</f>
        <v>0.75850006170156825</v>
      </c>
      <c r="E35" s="16">
        <f t="shared" si="59"/>
        <v>0.74549957714147641</v>
      </c>
      <c r="F35" s="16">
        <f t="shared" si="59"/>
        <v>0.73066041708988394</v>
      </c>
      <c r="G35" s="16">
        <f t="shared" si="59"/>
        <v>0.76811124009591059</v>
      </c>
      <c r="H35" s="16">
        <f t="shared" si="59"/>
        <v>0.71489000676327341</v>
      </c>
      <c r="I35" s="16">
        <f t="shared" si="59"/>
        <v>0.71575799506251248</v>
      </c>
      <c r="J35" s="16">
        <f t="shared" si="59"/>
        <v>0.76733707692731468</v>
      </c>
      <c r="K35" s="16">
        <f t="shared" si="59"/>
        <v>0.73910119629660598</v>
      </c>
      <c r="L35" s="16">
        <f t="shared" si="59"/>
        <v>0.72214220203251278</v>
      </c>
      <c r="M35" s="16">
        <f t="shared" si="59"/>
        <v>0.73374392392936971</v>
      </c>
      <c r="N35" s="16">
        <f t="shared" si="59"/>
        <v>0.73374392392936971</v>
      </c>
      <c r="R35" s="16">
        <f t="shared" ref="R35:X35" si="60">+R15/R$13</f>
        <v>0.53131502623143112</v>
      </c>
      <c r="S35" s="16">
        <f t="shared" si="60"/>
        <v>0.24834238144982762</v>
      </c>
      <c r="T35" s="16">
        <f t="shared" si="60"/>
        <v>0.21234116399662034</v>
      </c>
      <c r="U35" s="16">
        <f t="shared" si="60"/>
        <v>0.17188340639539412</v>
      </c>
      <c r="V35" s="16">
        <f t="shared" si="60"/>
        <v>0.17188340639539412</v>
      </c>
      <c r="W35" s="16">
        <f t="shared" si="60"/>
        <v>0.17188340639539412</v>
      </c>
      <c r="X35" s="16">
        <f t="shared" si="60"/>
        <v>0.17188340639539412</v>
      </c>
      <c r="Y35" s="16">
        <f t="shared" ref="Y35:AD35" si="61">+Y15/Y$13</f>
        <v>0.17188340639539412</v>
      </c>
      <c r="Z35" s="16">
        <f t="shared" si="61"/>
        <v>0.17188340639539412</v>
      </c>
      <c r="AA35" s="16">
        <f t="shared" si="61"/>
        <v>0.17188340639539412</v>
      </c>
      <c r="AB35" s="16">
        <f t="shared" si="61"/>
        <v>0.17188340639539415</v>
      </c>
      <c r="AC35" s="16">
        <f t="shared" si="61"/>
        <v>0.17188340639539415</v>
      </c>
      <c r="AD35" s="16">
        <f t="shared" si="61"/>
        <v>0.17188340639539415</v>
      </c>
      <c r="AH35" s="1" t="s">
        <v>81</v>
      </c>
      <c r="AI35" s="1">
        <f>+main!F4</f>
        <v>51.2</v>
      </c>
      <c r="XFD35" s="6"/>
    </row>
    <row r="36" spans="2:35 16384:16384" s="3" customFormat="1">
      <c r="B36" s="1" t="s">
        <v>21</v>
      </c>
      <c r="C36" s="16">
        <f>+C15/C$13</f>
        <v>0.29715555088198953</v>
      </c>
      <c r="D36" s="16">
        <f t="shared" ref="D36:N36" si="62">+D15/D$13</f>
        <v>0.22717980910071306</v>
      </c>
      <c r="E36" s="16">
        <f t="shared" si="62"/>
        <v>0.22843421529539687</v>
      </c>
      <c r="F36" s="16">
        <f t="shared" si="62"/>
        <v>0.25068003785420184</v>
      </c>
      <c r="G36" s="16">
        <f t="shared" si="62"/>
        <v>0.23306483091444591</v>
      </c>
      <c r="H36" s="16">
        <f t="shared" si="62"/>
        <v>0.20674806606397497</v>
      </c>
      <c r="I36" s="16">
        <f t="shared" si="62"/>
        <v>0.19088341707402828</v>
      </c>
      <c r="J36" s="16">
        <f t="shared" si="62"/>
        <v>0.22408833517627291</v>
      </c>
      <c r="K36" s="16">
        <f t="shared" si="62"/>
        <v>0.16791773143486527</v>
      </c>
      <c r="L36" s="16">
        <f t="shared" si="62"/>
        <v>0.17880511390566234</v>
      </c>
      <c r="M36" s="16">
        <f t="shared" si="62"/>
        <v>0.17011815074568615</v>
      </c>
      <c r="N36" s="16">
        <f t="shared" si="62"/>
        <v>0.17011815074568615</v>
      </c>
      <c r="R36" s="16">
        <f t="shared" ref="R36:X36" si="63">+R16/R$13</f>
        <v>-0.22340100747977409</v>
      </c>
      <c r="S36" s="16">
        <f t="shared" si="63"/>
        <v>-3.5344486963675825E-3</v>
      </c>
      <c r="T36" s="16">
        <f t="shared" si="63"/>
        <v>4.7859959245208E-2</v>
      </c>
      <c r="U36" s="16">
        <f t="shared" si="63"/>
        <v>9.6200511677622932E-2</v>
      </c>
      <c r="V36" s="16">
        <f t="shared" si="63"/>
        <v>9.6200511677622988E-2</v>
      </c>
      <c r="W36" s="16">
        <f t="shared" si="63"/>
        <v>9.6200511677623002E-2</v>
      </c>
      <c r="X36" s="16">
        <f t="shared" si="63"/>
        <v>9.6200511677623127E-2</v>
      </c>
      <c r="Y36" s="16">
        <f t="shared" ref="Y36:AD36" si="64">+Y16/Y$13</f>
        <v>9.6200511677623127E-2</v>
      </c>
      <c r="Z36" s="16">
        <f t="shared" si="64"/>
        <v>9.6200511677622974E-2</v>
      </c>
      <c r="AA36" s="16">
        <f t="shared" si="64"/>
        <v>9.6200511677622974E-2</v>
      </c>
      <c r="AB36" s="16">
        <f t="shared" si="64"/>
        <v>9.620051167762303E-2</v>
      </c>
      <c r="AC36" s="16">
        <f t="shared" si="64"/>
        <v>9.6200511677623016E-2</v>
      </c>
      <c r="AD36" s="16">
        <f t="shared" si="64"/>
        <v>9.6200511677623043E-2</v>
      </c>
      <c r="AH36" s="1" t="s">
        <v>82</v>
      </c>
      <c r="AI36" s="4">
        <f>+AI34/AI35-1</f>
        <v>-0.14129709511018573</v>
      </c>
      <c r="XFD36" s="6"/>
    </row>
    <row r="37" spans="2:35 16384:16384" s="3" customFormat="1">
      <c r="E37" s="6"/>
      <c r="F37" s="6"/>
      <c r="G37" s="6"/>
      <c r="H37" s="6"/>
      <c r="I37" s="6"/>
      <c r="J37" s="6"/>
      <c r="K37" s="6"/>
      <c r="L37" s="6"/>
      <c r="M37" s="6"/>
      <c r="N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H37" s="1"/>
      <c r="AI37" s="1"/>
      <c r="XFD37" s="6"/>
    </row>
    <row r="38" spans="2:35 16384:16384" s="3" customFormat="1">
      <c r="E38" s="6"/>
      <c r="F38" s="6"/>
      <c r="G38" s="6"/>
      <c r="H38" s="6"/>
      <c r="I38" s="6"/>
      <c r="J38" s="6"/>
      <c r="K38" s="6"/>
      <c r="L38" s="6"/>
      <c r="M38" s="6"/>
      <c r="N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H38" s="3">
        <f>+main!F9*1000</f>
        <v>7676656.7712000003</v>
      </c>
      <c r="XFD38" s="6"/>
    </row>
    <row r="39" spans="2:35 16384:16384" s="3" customFormat="1">
      <c r="E39" s="6"/>
      <c r="F39" s="6"/>
      <c r="G39" s="6"/>
      <c r="H39" s="6"/>
      <c r="I39" s="6"/>
      <c r="J39" s="6"/>
      <c r="K39" s="6"/>
      <c r="L39" s="6"/>
      <c r="M39" s="6"/>
      <c r="N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H39" s="1">
        <f>+AH38/AD23</f>
        <v>15.991420105849874</v>
      </c>
      <c r="AI39" s="1"/>
      <c r="XFD39" s="6"/>
    </row>
    <row r="40" spans="2:35 16384:16384" s="3" customFormat="1">
      <c r="E40" s="6"/>
      <c r="F40" s="6"/>
      <c r="G40" s="6"/>
      <c r="H40" s="6"/>
      <c r="I40" s="6"/>
      <c r="J40" s="6"/>
      <c r="K40" s="6"/>
      <c r="L40" s="6"/>
      <c r="M40" s="6"/>
      <c r="N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XFD40" s="6"/>
    </row>
    <row r="41" spans="2:35 16384:16384" s="3" customFormat="1">
      <c r="E41" s="6"/>
      <c r="F41" s="6"/>
      <c r="G41" s="6"/>
      <c r="H41" s="6"/>
      <c r="I41" s="6"/>
      <c r="J41" s="6"/>
      <c r="K41" s="6"/>
      <c r="L41" s="6"/>
      <c r="M41" s="6"/>
      <c r="N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XFD41" s="6"/>
    </row>
    <row r="42" spans="2:35 16384:16384" s="3" customFormat="1">
      <c r="B42" s="3" t="s">
        <v>92</v>
      </c>
      <c r="E42" s="6"/>
      <c r="F42" s="6"/>
      <c r="G42" s="6"/>
      <c r="H42" s="6"/>
      <c r="I42" s="6"/>
      <c r="J42" s="6"/>
      <c r="K42" s="6"/>
      <c r="L42" s="6">
        <v>0.23699999999999999</v>
      </c>
      <c r="M42" s="6"/>
      <c r="N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XFD42" s="6"/>
    </row>
    <row r="45" spans="2:35 16384:16384" s="3" customFormat="1">
      <c r="B45" s="3" t="s">
        <v>73</v>
      </c>
      <c r="J45" s="3">
        <f>+J46-J67-J72</f>
        <v>35879</v>
      </c>
      <c r="K45" s="3">
        <f>+K46-K67-K72</f>
        <v>16530</v>
      </c>
      <c r="L45" s="3">
        <f>+L46-L67-L72</f>
        <v>17774</v>
      </c>
      <c r="M45" s="3">
        <f>+M46-M67-M72</f>
        <v>41027</v>
      </c>
      <c r="T45" s="3">
        <f>+M45</f>
        <v>41027</v>
      </c>
      <c r="U45" s="3">
        <f>+T45+U23</f>
        <v>84355.565834383466</v>
      </c>
      <c r="V45" s="3">
        <f t="shared" ref="V45:AD45" si="65">+U45+V23</f>
        <v>143611.90088069101</v>
      </c>
      <c r="W45" s="3">
        <f t="shared" si="65"/>
        <v>226245.09332774224</v>
      </c>
      <c r="X45" s="3">
        <f t="shared" si="65"/>
        <v>337752.73940068349</v>
      </c>
      <c r="Y45" s="3">
        <f t="shared" si="65"/>
        <v>484751.57891708845</v>
      </c>
      <c r="Z45" s="3">
        <f t="shared" si="65"/>
        <v>675189.31176760106</v>
      </c>
      <c r="AA45" s="3">
        <f t="shared" si="65"/>
        <v>918594.75938648381</v>
      </c>
      <c r="AB45" s="3">
        <f t="shared" si="65"/>
        <v>1226373.1072437665</v>
      </c>
      <c r="AC45" s="3">
        <f t="shared" si="65"/>
        <v>1612154.1223282157</v>
      </c>
      <c r="AD45" s="3">
        <f t="shared" si="65"/>
        <v>2092202.5933449815</v>
      </c>
    </row>
    <row r="46" spans="2:35 16384:16384">
      <c r="B46" s="1" t="s">
        <v>36</v>
      </c>
      <c r="J46" s="1">
        <v>133545</v>
      </c>
      <c r="K46" s="1">
        <v>262719</v>
      </c>
      <c r="L46" s="1">
        <v>260922</v>
      </c>
      <c r="M46" s="1">
        <v>281134</v>
      </c>
    </row>
    <row r="47" spans="2:35 16384:16384">
      <c r="B47" s="1" t="s">
        <v>37</v>
      </c>
      <c r="J47" s="1">
        <v>9124</v>
      </c>
      <c r="K47" s="1">
        <v>11659</v>
      </c>
      <c r="L47" s="1">
        <v>12338</v>
      </c>
      <c r="M47" s="1">
        <v>10362</v>
      </c>
    </row>
    <row r="48" spans="2:35 16384:16384">
      <c r="B48" s="1" t="s">
        <v>38</v>
      </c>
      <c r="J48" s="1">
        <v>46953</v>
      </c>
      <c r="K48" s="1">
        <v>45393</v>
      </c>
      <c r="L48" s="1">
        <v>46651</v>
      </c>
      <c r="M48" s="1">
        <v>38381</v>
      </c>
    </row>
    <row r="49" spans="2:13">
      <c r="B49" s="1" t="s">
        <v>39</v>
      </c>
      <c r="J49" s="1">
        <v>15637</v>
      </c>
      <c r="K49" s="1">
        <v>15308</v>
      </c>
      <c r="L49" s="1">
        <v>14700</v>
      </c>
      <c r="M49" s="1">
        <v>12168</v>
      </c>
    </row>
    <row r="50" spans="2:13" s="3" customFormat="1">
      <c r="B50" s="3" t="s">
        <v>72</v>
      </c>
      <c r="J50" s="3">
        <f>+SUM(J46:J49)</f>
        <v>205259</v>
      </c>
      <c r="K50" s="3">
        <f>+SUM(K46:K49)</f>
        <v>335079</v>
      </c>
      <c r="L50" s="3">
        <f>+SUM(L46:L49)</f>
        <v>334611</v>
      </c>
      <c r="M50" s="3">
        <f>+SUM(M46:M49)</f>
        <v>342045</v>
      </c>
    </row>
    <row r="51" spans="2:13">
      <c r="B51" s="1" t="s">
        <v>40</v>
      </c>
      <c r="J51" s="1">
        <v>542440</v>
      </c>
      <c r="K51" s="1">
        <v>585271</v>
      </c>
      <c r="L51" s="1">
        <v>627500</v>
      </c>
      <c r="M51" s="1">
        <v>662759</v>
      </c>
    </row>
    <row r="52" spans="2:13">
      <c r="B52" s="1" t="s">
        <v>41</v>
      </c>
      <c r="J52" s="1">
        <v>382734</v>
      </c>
      <c r="K52" s="1">
        <v>380932</v>
      </c>
      <c r="L52" s="1">
        <v>380999</v>
      </c>
      <c r="M52" s="1">
        <v>377561</v>
      </c>
    </row>
    <row r="53" spans="2:13">
      <c r="B53" s="1" t="s">
        <v>42</v>
      </c>
      <c r="J53" s="1">
        <v>199673</v>
      </c>
      <c r="K53" s="1">
        <v>234352</v>
      </c>
      <c r="L53" s="1">
        <v>282838</v>
      </c>
      <c r="M53" s="1">
        <v>301896</v>
      </c>
    </row>
    <row r="54" spans="2:13">
      <c r="B54" s="1" t="s">
        <v>43</v>
      </c>
      <c r="J54" s="1">
        <v>5415</v>
      </c>
      <c r="K54" s="1">
        <v>4615</v>
      </c>
      <c r="L54" s="1">
        <v>3963</v>
      </c>
      <c r="M54" s="1">
        <v>3455</v>
      </c>
    </row>
    <row r="55" spans="2:13">
      <c r="B55" s="1" t="s">
        <v>44</v>
      </c>
      <c r="J55" s="1">
        <v>21629</v>
      </c>
      <c r="K55" s="1">
        <v>21629</v>
      </c>
      <c r="L55" s="1">
        <v>21629</v>
      </c>
      <c r="M55" s="1">
        <v>21629</v>
      </c>
    </row>
    <row r="56" spans="2:13">
      <c r="B56" s="1" t="s">
        <v>45</v>
      </c>
      <c r="J56" s="1">
        <v>402995</v>
      </c>
      <c r="K56" s="1">
        <v>507357</v>
      </c>
      <c r="L56" s="1">
        <v>721691</v>
      </c>
      <c r="M56" s="1">
        <v>718543</v>
      </c>
    </row>
    <row r="57" spans="2:13">
      <c r="B57" s="1" t="s">
        <v>46</v>
      </c>
      <c r="J57" s="1">
        <v>3865</v>
      </c>
      <c r="K57" s="1">
        <v>4080</v>
      </c>
      <c r="L57" s="1">
        <v>4055</v>
      </c>
      <c r="M57" s="1">
        <v>3628</v>
      </c>
    </row>
    <row r="58" spans="2:13" s="3" customFormat="1">
      <c r="B58" s="3" t="s">
        <v>71</v>
      </c>
      <c r="J58" s="3">
        <f>+SUM(J50:J57)</f>
        <v>1764010</v>
      </c>
      <c r="K58" s="3">
        <f>+SUM(K50:K57)</f>
        <v>2073315</v>
      </c>
      <c r="L58" s="3">
        <f>+SUM(L50:L57)</f>
        <v>2377286</v>
      </c>
      <c r="M58" s="3">
        <f>+SUM(M50:M57)</f>
        <v>2431516</v>
      </c>
    </row>
    <row r="59" spans="2:13" s="3" customFormat="1"/>
    <row r="60" spans="2:13">
      <c r="B60" s="1" t="s">
        <v>54</v>
      </c>
      <c r="J60" s="1">
        <v>29957</v>
      </c>
      <c r="K60" s="1">
        <v>38763</v>
      </c>
      <c r="L60" s="1">
        <v>36092</v>
      </c>
      <c r="M60" s="1">
        <v>31880</v>
      </c>
    </row>
    <row r="61" spans="2:13">
      <c r="B61" s="1" t="s">
        <v>55</v>
      </c>
      <c r="J61" s="1">
        <v>31405</v>
      </c>
      <c r="K61" s="1">
        <v>23061</v>
      </c>
      <c r="L61" s="1">
        <v>31842</v>
      </c>
      <c r="M61" s="1">
        <v>39106</v>
      </c>
    </row>
    <row r="62" spans="2:13">
      <c r="B62" s="1" t="s">
        <v>56</v>
      </c>
      <c r="J62" s="1">
        <v>15770</v>
      </c>
      <c r="K62" s="1">
        <v>17281</v>
      </c>
      <c r="L62" s="1">
        <v>19293</v>
      </c>
      <c r="M62" s="1">
        <v>26162</v>
      </c>
    </row>
    <row r="63" spans="2:13">
      <c r="B63" s="1" t="s">
        <v>57</v>
      </c>
      <c r="J63" s="1">
        <v>6423</v>
      </c>
      <c r="K63" s="1">
        <v>5613</v>
      </c>
      <c r="L63" s="1">
        <v>5873</v>
      </c>
      <c r="M63" s="1">
        <v>5962</v>
      </c>
    </row>
    <row r="64" spans="2:13">
      <c r="B64" s="1" t="s">
        <v>58</v>
      </c>
      <c r="J64" s="1">
        <v>30349</v>
      </c>
      <c r="K64" s="1">
        <v>29110</v>
      </c>
      <c r="L64" s="1">
        <v>31405</v>
      </c>
      <c r="M64" s="1">
        <v>35738</v>
      </c>
    </row>
    <row r="65" spans="2:13">
      <c r="B65" s="1" t="s">
        <v>59</v>
      </c>
      <c r="J65" s="1">
        <v>9482</v>
      </c>
      <c r="K65" s="1">
        <v>10681</v>
      </c>
      <c r="L65" s="1">
        <v>11927</v>
      </c>
      <c r="M65" s="1">
        <v>12845</v>
      </c>
    </row>
    <row r="66" spans="2:13">
      <c r="B66" s="1" t="s">
        <v>60</v>
      </c>
      <c r="J66" s="1">
        <v>10239</v>
      </c>
      <c r="K66" s="1">
        <v>9417</v>
      </c>
      <c r="L66" s="1">
        <v>2483</v>
      </c>
      <c r="M66" s="1">
        <v>12987</v>
      </c>
    </row>
    <row r="67" spans="2:13">
      <c r="B67" s="1" t="s">
        <v>61</v>
      </c>
      <c r="J67" s="1">
        <v>4491</v>
      </c>
      <c r="K67" s="1">
        <v>12618</v>
      </c>
      <c r="L67" s="1">
        <v>14182</v>
      </c>
      <c r="M67" s="1">
        <v>15746</v>
      </c>
    </row>
    <row r="68" spans="2:13" s="3" customFormat="1">
      <c r="B68" s="3" t="s">
        <v>70</v>
      </c>
      <c r="J68" s="3">
        <f>SUM(J60:J67)</f>
        <v>138116</v>
      </c>
      <c r="K68" s="3">
        <f>SUM(K60:K67)</f>
        <v>146544</v>
      </c>
      <c r="L68" s="3">
        <f>SUM(L60:L67)</f>
        <v>153097</v>
      </c>
      <c r="M68" s="3">
        <f>SUM(M60:M67)</f>
        <v>180426</v>
      </c>
    </row>
    <row r="69" spans="2:13">
      <c r="B69" s="1" t="s">
        <v>58</v>
      </c>
      <c r="J69" s="1">
        <v>6676</v>
      </c>
      <c r="K69" s="1">
        <v>6313</v>
      </c>
      <c r="L69" s="1">
        <v>7115</v>
      </c>
      <c r="M69" s="1">
        <v>6367</v>
      </c>
    </row>
    <row r="70" spans="2:13">
      <c r="B70" s="1" t="s">
        <v>62</v>
      </c>
      <c r="J70" s="1">
        <v>367775</v>
      </c>
      <c r="K70" s="1">
        <v>368198</v>
      </c>
      <c r="L70" s="1">
        <v>370412</v>
      </c>
      <c r="M70" s="1">
        <v>369206</v>
      </c>
    </row>
    <row r="71" spans="2:13">
      <c r="B71" s="1" t="s">
        <v>63</v>
      </c>
      <c r="J71" s="1">
        <v>191419</v>
      </c>
      <c r="K71" s="1">
        <v>226877</v>
      </c>
      <c r="L71" s="1">
        <v>282873</v>
      </c>
      <c r="M71" s="1">
        <v>293474</v>
      </c>
    </row>
    <row r="72" spans="2:13">
      <c r="B72" s="1" t="s">
        <v>64</v>
      </c>
      <c r="J72" s="1">
        <v>93175</v>
      </c>
      <c r="K72" s="1">
        <v>233571</v>
      </c>
      <c r="L72" s="1">
        <v>228966</v>
      </c>
      <c r="M72" s="1">
        <v>224361</v>
      </c>
    </row>
    <row r="73" spans="2:13">
      <c r="B73" s="1" t="s">
        <v>65</v>
      </c>
      <c r="J73" s="1">
        <v>290920</v>
      </c>
      <c r="K73" s="1">
        <v>395841</v>
      </c>
      <c r="L73" s="1">
        <v>605003</v>
      </c>
      <c r="M73" s="1">
        <v>605003</v>
      </c>
    </row>
    <row r="74" spans="2:13">
      <c r="B74" s="1" t="s">
        <v>66</v>
      </c>
      <c r="J74" s="1">
        <v>8</v>
      </c>
      <c r="K74" s="1">
        <v>8</v>
      </c>
      <c r="L74" s="1">
        <v>8</v>
      </c>
      <c r="M74" s="1">
        <v>8</v>
      </c>
    </row>
    <row r="75" spans="2:13" s="3" customFormat="1">
      <c r="B75" s="3" t="s">
        <v>69</v>
      </c>
      <c r="J75" s="3">
        <f>SUM(J68:J74)</f>
        <v>1088089</v>
      </c>
      <c r="K75" s="3">
        <f>SUM(K68:K74)</f>
        <v>1377352</v>
      </c>
      <c r="L75" s="3">
        <f>SUM(L68:L74)</f>
        <v>1647474</v>
      </c>
      <c r="M75" s="3">
        <f>SUM(M68:M74)</f>
        <v>1678845</v>
      </c>
    </row>
    <row r="76" spans="2:13">
      <c r="B76" s="1" t="s">
        <v>67</v>
      </c>
      <c r="J76" s="1">
        <v>675921</v>
      </c>
      <c r="K76" s="1">
        <v>695963</v>
      </c>
      <c r="L76" s="1">
        <v>729812</v>
      </c>
      <c r="M76" s="1">
        <v>752671</v>
      </c>
    </row>
    <row r="77" spans="2:13" s="3" customFormat="1">
      <c r="B77" s="3" t="s">
        <v>68</v>
      </c>
      <c r="J77" s="3">
        <f>+SUM(J75:J76)</f>
        <v>1764010</v>
      </c>
      <c r="K77" s="3">
        <f>+SUM(K75:K76)</f>
        <v>2073315</v>
      </c>
      <c r="L77" s="3">
        <f>+SUM(L75:L76)</f>
        <v>2377286</v>
      </c>
      <c r="M77" s="3">
        <f>+SUM(M75:M76)</f>
        <v>2431516</v>
      </c>
    </row>
    <row r="81" spans="2:13">
      <c r="B81" s="1" t="s">
        <v>84</v>
      </c>
      <c r="G81" s="1">
        <v>3077</v>
      </c>
      <c r="H81" s="1">
        <f>45843-G81</f>
        <v>42766</v>
      </c>
      <c r="I81" s="1">
        <f>94906-SUM(G81:H81)</f>
        <v>49063</v>
      </c>
      <c r="J81" s="1">
        <f>139915-SUM(G81:I81)</f>
        <v>45009</v>
      </c>
      <c r="K81" s="1">
        <v>41193</v>
      </c>
      <c r="L81" s="1">
        <f>100729-K81</f>
        <v>59536</v>
      </c>
      <c r="M81" s="1">
        <f>184195-SUM(K81:L81)</f>
        <v>83466</v>
      </c>
    </row>
    <row r="82" spans="2:13">
      <c r="B82" s="1" t="s">
        <v>85</v>
      </c>
      <c r="G82" s="1">
        <v>-43283</v>
      </c>
      <c r="H82" s="1">
        <f>+-102307-G82</f>
        <v>-59024</v>
      </c>
      <c r="I82" s="1">
        <f>+-167732-SUM(G82:H82)</f>
        <v>-65425</v>
      </c>
      <c r="J82" s="1">
        <f>+-228457-SUM(G82:I82)</f>
        <v>-60725</v>
      </c>
      <c r="K82" s="1">
        <v>-57462</v>
      </c>
      <c r="L82" s="1">
        <f>+-121910-K82</f>
        <v>-64448</v>
      </c>
      <c r="M82" s="1">
        <f>+-178969-SUM(K82:L82)</f>
        <v>-57059</v>
      </c>
    </row>
    <row r="83" spans="2:13" s="3" customFormat="1">
      <c r="B83" s="3" t="s">
        <v>86</v>
      </c>
      <c r="G83" s="3">
        <f t="shared" ref="G83:M83" si="66">+SUM(G81:G82)</f>
        <v>-40206</v>
      </c>
      <c r="H83" s="3">
        <f t="shared" si="66"/>
        <v>-16258</v>
      </c>
      <c r="I83" s="3">
        <f t="shared" si="66"/>
        <v>-16362</v>
      </c>
      <c r="J83" s="3">
        <f t="shared" si="66"/>
        <v>-15716</v>
      </c>
      <c r="K83" s="3">
        <f t="shared" si="66"/>
        <v>-16269</v>
      </c>
      <c r="L83" s="3">
        <f t="shared" si="66"/>
        <v>-4912</v>
      </c>
      <c r="M83" s="3">
        <f t="shared" si="66"/>
        <v>26407</v>
      </c>
    </row>
    <row r="84" spans="2:13">
      <c r="B84" s="1" t="s">
        <v>93</v>
      </c>
      <c r="J84" s="1">
        <f t="shared" ref="J84:L84" si="67">SUM(G83:J83)</f>
        <v>-88542</v>
      </c>
      <c r="K84" s="1">
        <f t="shared" si="67"/>
        <v>-64605</v>
      </c>
      <c r="L84" s="1">
        <f t="shared" si="67"/>
        <v>-53259</v>
      </c>
      <c r="M84" s="1">
        <f>SUM(J83:M83)</f>
        <v>-10490</v>
      </c>
    </row>
    <row r="85" spans="2:13">
      <c r="B85" s="1" t="s">
        <v>94</v>
      </c>
      <c r="J85" s="1">
        <f t="shared" ref="J85:L85" si="68">+SUM(J23)</f>
        <v>-1402</v>
      </c>
      <c r="K85" s="1">
        <f t="shared" si="68"/>
        <v>7062</v>
      </c>
      <c r="L85" s="1">
        <f t="shared" si="68"/>
        <v>11940</v>
      </c>
      <c r="M85" s="1">
        <f>+SUM(M23)</f>
        <v>12644</v>
      </c>
    </row>
  </sheetData>
  <pageMargins left="0.7" right="0.7" top="0.75" bottom="0.75" header="0.3" footer="0.3"/>
  <ignoredErrors>
    <ignoredError sqref="E13:J23 R22 E25:J26 E24 G24:J24 K16:L16 S14:T16 K22:L22 V16:AD16 S23:U25 S17:T17 V19:AD21 S18:T18 V22:AE22 K19:L19 K17:L17 K18:L18 K21:L21 K20:L20 S13:T13 S19:T22 U19:U22 U14:U16 U13 U17:U18" formula="1"/>
    <ignoredError sqref="N20 M21:N21 N18 M19:N19 M16:N16" formula="1" formulaRange="1"/>
    <ignoredError sqref="M13:O15 M17:O17 O16 M20 O19 M18 O18 M22:O26 O21 O20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2024-06-19T22:16:26Z</dcterms:created>
  <dcterms:modified xsi:type="dcterms:W3CDTF">2024-11-29T02:45:33Z</dcterms:modified>
</cp:coreProperties>
</file>