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13_ncr:1_{85B3EDE1-DA05-B54D-80BA-5F84196FCF0A}" xr6:coauthVersionLast="47" xr6:coauthVersionMax="47" xr10:uidLastSave="{00000000-0000-0000-0000-000000000000}"/>
  <bookViews>
    <workbookView xWindow="0" yWindow="500" windowWidth="51200" windowHeight="28300" xr2:uid="{878FD0CC-54A2-6941-9F93-001B82566C7E}"/>
  </bookViews>
  <sheets>
    <sheet name="Model" sheetId="1" r:id="rId1"/>
    <sheet name="CMG baseline" sheetId="3" r:id="rId2"/>
    <sheet name="Mai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8" i="1" l="1"/>
  <c r="AD8" i="1"/>
  <c r="AE8" i="1" s="1"/>
  <c r="AF8" i="1" s="1"/>
  <c r="AG8" i="1" s="1"/>
  <c r="AH8" i="1" s="1"/>
  <c r="AI8" i="1" s="1"/>
  <c r="AJ8" i="1" s="1"/>
  <c r="AK8" i="1" s="1"/>
  <c r="AB13" i="1"/>
  <c r="S13" i="1"/>
  <c r="R13" i="1"/>
  <c r="P39" i="1"/>
  <c r="P27" i="1"/>
  <c r="P29" i="1" s="1"/>
  <c r="P21" i="1"/>
  <c r="P22" i="1" s="1"/>
  <c r="P25" i="1" s="1"/>
  <c r="AC13" i="1" l="1"/>
  <c r="AO37" i="1" l="1"/>
  <c r="N10" i="1" l="1"/>
  <c r="O36" i="1"/>
  <c r="O21" i="1"/>
  <c r="O22" i="1" s="1"/>
  <c r="O25" i="1" s="1"/>
  <c r="O27" i="1" s="1"/>
  <c r="O29" i="1" s="1"/>
  <c r="M69" i="1"/>
  <c r="L69" i="1"/>
  <c r="K69" i="1"/>
  <c r="J69" i="1"/>
  <c r="N69" i="1"/>
  <c r="N66" i="1"/>
  <c r="N56" i="1"/>
  <c r="AL2" i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CQ2" i="1" s="1"/>
  <c r="CR2" i="1" s="1"/>
  <c r="CS2" i="1" s="1"/>
  <c r="CT2" i="1" s="1"/>
  <c r="CU2" i="1" s="1"/>
  <c r="CV2" i="1" s="1"/>
  <c r="CW2" i="1" s="1"/>
  <c r="CX2" i="1" s="1"/>
  <c r="CY2" i="1" s="1"/>
  <c r="CZ2" i="1" s="1"/>
  <c r="DA2" i="1" s="1"/>
  <c r="DB2" i="1" s="1"/>
  <c r="DC2" i="1" s="1"/>
  <c r="DD2" i="1" s="1"/>
  <c r="DE2" i="1" s="1"/>
  <c r="DF2" i="1" s="1"/>
  <c r="DG2" i="1" s="1"/>
  <c r="DH2" i="1" s="1"/>
  <c r="DI2" i="1" s="1"/>
  <c r="DJ2" i="1" s="1"/>
  <c r="DK2" i="1" s="1"/>
  <c r="DL2" i="1" s="1"/>
  <c r="DM2" i="1" s="1"/>
  <c r="DN2" i="1" s="1"/>
  <c r="DO2" i="1" s="1"/>
  <c r="DP2" i="1" s="1"/>
  <c r="DQ2" i="1" s="1"/>
  <c r="DR2" i="1" s="1"/>
  <c r="DS2" i="1" s="1"/>
  <c r="DT2" i="1" s="1"/>
  <c r="DU2" i="1" s="1"/>
  <c r="DV2" i="1" s="1"/>
  <c r="DW2" i="1" s="1"/>
  <c r="DX2" i="1" s="1"/>
  <c r="DY2" i="1" s="1"/>
  <c r="DZ2" i="1" s="1"/>
  <c r="EA2" i="1" s="1"/>
  <c r="EB2" i="1" s="1"/>
  <c r="EC2" i="1" s="1"/>
  <c r="ED2" i="1" s="1"/>
  <c r="EE2" i="1" s="1"/>
  <c r="EF2" i="1" s="1"/>
  <c r="EG2" i="1" s="1"/>
  <c r="EH2" i="1" s="1"/>
  <c r="EI2" i="1" s="1"/>
  <c r="EJ2" i="1" s="1"/>
  <c r="EK2" i="1" s="1"/>
  <c r="EL2" i="1" s="1"/>
  <c r="EM2" i="1" s="1"/>
  <c r="EN2" i="1" s="1"/>
  <c r="EO2" i="1" s="1"/>
  <c r="EP2" i="1" s="1"/>
  <c r="EQ2" i="1" s="1"/>
  <c r="ER2" i="1" s="1"/>
  <c r="ES2" i="1" s="1"/>
  <c r="ET2" i="1" s="1"/>
  <c r="EU2" i="1" s="1"/>
  <c r="EV2" i="1" s="1"/>
  <c r="EW2" i="1" s="1"/>
  <c r="EX2" i="1" s="1"/>
  <c r="EY2" i="1" s="1"/>
  <c r="EZ2" i="1" s="1"/>
  <c r="FA2" i="1" s="1"/>
  <c r="FB2" i="1" s="1"/>
  <c r="FC2" i="1" s="1"/>
  <c r="FD2" i="1" s="1"/>
  <c r="FE2" i="1" s="1"/>
  <c r="FF2" i="1" s="1"/>
  <c r="FG2" i="1" s="1"/>
  <c r="FH2" i="1" s="1"/>
  <c r="FI2" i="1" s="1"/>
  <c r="FJ2" i="1" s="1"/>
  <c r="FK2" i="1" s="1"/>
  <c r="FL2" i="1" s="1"/>
  <c r="FM2" i="1" s="1"/>
  <c r="FN2" i="1" s="1"/>
  <c r="FO2" i="1" s="1"/>
  <c r="FP2" i="1" s="1"/>
  <c r="FQ2" i="1" s="1"/>
  <c r="FR2" i="1" s="1"/>
  <c r="FS2" i="1" s="1"/>
  <c r="FT2" i="1" s="1"/>
  <c r="FU2" i="1" s="1"/>
  <c r="FV2" i="1" s="1"/>
  <c r="FW2" i="1" s="1"/>
  <c r="FX2" i="1" s="1"/>
  <c r="FY2" i="1" s="1"/>
  <c r="FZ2" i="1" s="1"/>
  <c r="GA2" i="1" s="1"/>
  <c r="GB2" i="1" s="1"/>
  <c r="GC2" i="1" s="1"/>
  <c r="GD2" i="1" s="1"/>
  <c r="GE2" i="1" s="1"/>
  <c r="GF2" i="1" s="1"/>
  <c r="GG2" i="1" s="1"/>
  <c r="GH2" i="1" s="1"/>
  <c r="GI2" i="1" s="1"/>
  <c r="GJ2" i="1" s="1"/>
  <c r="GK2" i="1" s="1"/>
  <c r="GL2" i="1" s="1"/>
  <c r="GM2" i="1" s="1"/>
  <c r="GN2" i="1" s="1"/>
  <c r="GO2" i="1" s="1"/>
  <c r="GP2" i="1" s="1"/>
  <c r="GQ2" i="1" s="1"/>
  <c r="GR2" i="1" s="1"/>
  <c r="GS2" i="1" s="1"/>
  <c r="GT2" i="1" s="1"/>
  <c r="GU2" i="1" s="1"/>
  <c r="GV2" i="1" s="1"/>
  <c r="GW2" i="1" s="1"/>
  <c r="GX2" i="1" s="1"/>
  <c r="GY2" i="1" s="1"/>
  <c r="GZ2" i="1" s="1"/>
  <c r="HA2" i="1" s="1"/>
  <c r="HB2" i="1" s="1"/>
  <c r="HC2" i="1" s="1"/>
  <c r="HD2" i="1" s="1"/>
  <c r="HE2" i="1" s="1"/>
  <c r="HF2" i="1" s="1"/>
  <c r="HG2" i="1" s="1"/>
  <c r="HH2" i="1" s="1"/>
  <c r="HI2" i="1" s="1"/>
  <c r="HJ2" i="1" s="1"/>
  <c r="HK2" i="1" s="1"/>
  <c r="HL2" i="1" s="1"/>
  <c r="HM2" i="1" s="1"/>
  <c r="HN2" i="1" s="1"/>
  <c r="HO2" i="1" s="1"/>
  <c r="HP2" i="1" s="1"/>
  <c r="HQ2" i="1" s="1"/>
  <c r="HR2" i="1" s="1"/>
  <c r="HS2" i="1" s="1"/>
  <c r="AO35" i="1"/>
  <c r="AB28" i="1"/>
  <c r="AC28" i="1" s="1"/>
  <c r="AD28" i="1" s="1"/>
  <c r="N26" i="1"/>
  <c r="N23" i="1"/>
  <c r="N24" i="1"/>
  <c r="N20" i="1"/>
  <c r="N19" i="1"/>
  <c r="N18" i="1"/>
  <c r="N17" i="1"/>
  <c r="N16" i="1"/>
  <c r="N15" i="1"/>
  <c r="N14" i="1"/>
  <c r="AA33" i="1"/>
  <c r="Z36" i="1"/>
  <c r="AA36" i="1"/>
  <c r="AA21" i="1"/>
  <c r="AA22" i="1" s="1"/>
  <c r="AA25" i="1" s="1"/>
  <c r="AA27" i="1" s="1"/>
  <c r="K36" i="1"/>
  <c r="N21" i="1" l="1"/>
  <c r="AA38" i="1"/>
  <c r="AE28" i="1"/>
  <c r="AA29" i="1"/>
  <c r="C4" i="2"/>
  <c r="J26" i="1"/>
  <c r="J24" i="1"/>
  <c r="J23" i="1"/>
  <c r="J20" i="1"/>
  <c r="J19" i="1"/>
  <c r="J18" i="1"/>
  <c r="J17" i="1"/>
  <c r="J16" i="1"/>
  <c r="J15" i="1"/>
  <c r="J14" i="1"/>
  <c r="Y21" i="1"/>
  <c r="Y22" i="1" s="1"/>
  <c r="Y25" i="1" s="1"/>
  <c r="Y27" i="1" s="1"/>
  <c r="Y29" i="1" s="1"/>
  <c r="Z21" i="1"/>
  <c r="G21" i="1"/>
  <c r="G22" i="1" s="1"/>
  <c r="G25" i="1" s="1"/>
  <c r="G27" i="1" s="1"/>
  <c r="K21" i="1"/>
  <c r="K22" i="1" s="1"/>
  <c r="K25" i="1" s="1"/>
  <c r="L66" i="1"/>
  <c r="L56" i="1"/>
  <c r="H8" i="1"/>
  <c r="L35" i="1"/>
  <c r="L34" i="1"/>
  <c r="L33" i="1"/>
  <c r="H21" i="1"/>
  <c r="H13" i="1"/>
  <c r="L21" i="1"/>
  <c r="L13" i="1"/>
  <c r="P36" i="1" s="1"/>
  <c r="AF28" i="1" l="1"/>
  <c r="K27" i="1"/>
  <c r="L36" i="1"/>
  <c r="Z22" i="1"/>
  <c r="H22" i="1"/>
  <c r="H25" i="1" s="1"/>
  <c r="H27" i="1" s="1"/>
  <c r="H29" i="1" s="1"/>
  <c r="L22" i="1"/>
  <c r="L25" i="1" s="1"/>
  <c r="L27" i="1" s="1"/>
  <c r="L29" i="1" s="1"/>
  <c r="J66" i="1"/>
  <c r="J56" i="1"/>
  <c r="M66" i="1"/>
  <c r="M56" i="1"/>
  <c r="M7" i="1"/>
  <c r="I7" i="1"/>
  <c r="M35" i="1"/>
  <c r="M34" i="1"/>
  <c r="M33" i="1"/>
  <c r="M13" i="1"/>
  <c r="I13" i="1"/>
  <c r="J13" i="1" s="1"/>
  <c r="I21" i="1"/>
  <c r="J21" i="1" s="1"/>
  <c r="M21" i="1"/>
  <c r="AB3" i="1"/>
  <c r="AC3" i="1" s="1"/>
  <c r="AD3" i="1" s="1"/>
  <c r="AE3" i="1" s="1"/>
  <c r="AF3" i="1" s="1"/>
  <c r="AG3" i="1" s="1"/>
  <c r="AH3" i="1" s="1"/>
  <c r="AI3" i="1" s="1"/>
  <c r="AJ3" i="1" s="1"/>
  <c r="AK3" i="1" s="1"/>
  <c r="L7" i="2"/>
  <c r="L8" i="2" s="1"/>
  <c r="K6" i="2"/>
  <c r="K9" i="2" s="1"/>
  <c r="AO45" i="1" s="1"/>
  <c r="N13" i="1" l="1"/>
  <c r="M8" i="1"/>
  <c r="AG28" i="1"/>
  <c r="N5" i="1"/>
  <c r="N7" i="1" s="1"/>
  <c r="Z25" i="1"/>
  <c r="I8" i="1"/>
  <c r="J5" i="1"/>
  <c r="J7" i="1" s="1"/>
  <c r="K5" i="1" s="1"/>
  <c r="K7" i="1" s="1"/>
  <c r="K8" i="1" s="1"/>
  <c r="M36" i="1"/>
  <c r="M22" i="1"/>
  <c r="I22" i="1"/>
  <c r="I25" i="1" s="1"/>
  <c r="I27" i="1" s="1"/>
  <c r="I29" i="1" s="1"/>
  <c r="AA7" i="1" l="1"/>
  <c r="O5" i="1"/>
  <c r="O7" i="1" s="1"/>
  <c r="P5" i="1" s="1"/>
  <c r="P7" i="1" s="1"/>
  <c r="N8" i="1"/>
  <c r="N36" i="1"/>
  <c r="N22" i="1"/>
  <c r="J8" i="1"/>
  <c r="AH28" i="1"/>
  <c r="M25" i="1"/>
  <c r="L5" i="1"/>
  <c r="L7" i="1" s="1"/>
  <c r="L8" i="1" s="1"/>
  <c r="J22" i="1"/>
  <c r="J25" i="1"/>
  <c r="Z27" i="1"/>
  <c r="AA8" i="1" l="1"/>
  <c r="AB7" i="1"/>
  <c r="AI28" i="1"/>
  <c r="J27" i="1"/>
  <c r="Z29" i="1"/>
  <c r="M27" i="1"/>
  <c r="N25" i="1"/>
  <c r="AC7" i="1" l="1"/>
  <c r="AD7" i="1" s="1"/>
  <c r="AE7" i="1" s="1"/>
  <c r="AF7" i="1" s="1"/>
  <c r="AG7" i="1" s="1"/>
  <c r="AH7" i="1" s="1"/>
  <c r="AI7" i="1" s="1"/>
  <c r="AJ7" i="1" s="1"/>
  <c r="AK7" i="1" s="1"/>
  <c r="AJ28" i="1"/>
  <c r="AK28" i="1" s="1"/>
  <c r="M29" i="1"/>
  <c r="N29" i="1" s="1"/>
  <c r="N27" i="1"/>
  <c r="N28" i="1" l="1"/>
  <c r="AB15" i="1"/>
  <c r="AB14" i="1"/>
  <c r="AB18" i="1"/>
  <c r="AB19" i="1"/>
  <c r="AB17" i="1"/>
  <c r="AB16" i="1"/>
  <c r="AB36" i="1"/>
  <c r="AB20" i="1"/>
  <c r="AB8" i="1"/>
  <c r="AB21" i="1" l="1"/>
  <c r="AB22" i="1" s="1"/>
  <c r="AD13" i="1" l="1"/>
  <c r="AC17" i="1"/>
  <c r="AC16" i="1"/>
  <c r="AC14" i="1"/>
  <c r="AC19" i="1"/>
  <c r="AC18" i="1"/>
  <c r="AC15" i="1"/>
  <c r="AC20" i="1"/>
  <c r="AC36" i="1"/>
  <c r="AB23" i="1"/>
  <c r="AB24" i="1"/>
  <c r="AB25" i="1" l="1"/>
  <c r="AB26" i="1" s="1"/>
  <c r="AB27" i="1" s="1"/>
  <c r="AC21" i="1"/>
  <c r="AC22" i="1" s="1"/>
  <c r="AO46" i="1"/>
  <c r="AB29" i="1"/>
  <c r="AD16" i="1"/>
  <c r="AD15" i="1"/>
  <c r="AD19" i="1"/>
  <c r="AD18" i="1"/>
  <c r="AD17" i="1"/>
  <c r="AD14" i="1"/>
  <c r="AD36" i="1"/>
  <c r="AD20" i="1"/>
  <c r="AE13" i="1"/>
  <c r="AE15" i="1" l="1"/>
  <c r="AE14" i="1"/>
  <c r="AE18" i="1"/>
  <c r="AE19" i="1"/>
  <c r="AE17" i="1"/>
  <c r="AE16" i="1"/>
  <c r="AE36" i="1"/>
  <c r="AF13" i="1"/>
  <c r="AE20" i="1"/>
  <c r="AD21" i="1"/>
  <c r="AD22" i="1" s="1"/>
  <c r="AC23" i="1"/>
  <c r="AC24" i="1"/>
  <c r="AC25" i="1"/>
  <c r="AF20" i="1" l="1"/>
  <c r="AD24" i="1"/>
  <c r="AC26" i="1"/>
  <c r="AC27" i="1"/>
  <c r="AG13" i="1"/>
  <c r="AD23" i="1"/>
  <c r="AD25" i="1" s="1"/>
  <c r="AE21" i="1"/>
  <c r="AE22" i="1" s="1"/>
  <c r="AF14" i="1"/>
  <c r="AF17" i="1"/>
  <c r="AF19" i="1"/>
  <c r="AF18" i="1"/>
  <c r="AF16" i="1"/>
  <c r="AF15" i="1"/>
  <c r="AF36" i="1"/>
  <c r="AE24" i="1" l="1"/>
  <c r="AE23" i="1"/>
  <c r="AE25" i="1"/>
  <c r="AH13" i="1"/>
  <c r="AO47" i="1"/>
  <c r="AC29" i="1"/>
  <c r="AG19" i="1"/>
  <c r="AG18" i="1"/>
  <c r="AG16" i="1"/>
  <c r="AG17" i="1"/>
  <c r="AG15" i="1"/>
  <c r="AG14" i="1"/>
  <c r="AG36" i="1"/>
  <c r="AG20" i="1"/>
  <c r="AF21" i="1"/>
  <c r="AF22" i="1" s="1"/>
  <c r="AD26" i="1"/>
  <c r="AD27" i="1" s="1"/>
  <c r="AD29" i="1" s="1"/>
  <c r="AG21" i="1" l="1"/>
  <c r="AG22" i="1" s="1"/>
  <c r="AH19" i="1"/>
  <c r="AH17" i="1"/>
  <c r="AH15" i="1"/>
  <c r="AH16" i="1"/>
  <c r="AH14" i="1"/>
  <c r="AH18" i="1"/>
  <c r="AH20" i="1"/>
  <c r="AI20" i="1" s="1"/>
  <c r="AH36" i="1"/>
  <c r="AI13" i="1"/>
  <c r="AE26" i="1"/>
  <c r="AE27" i="1"/>
  <c r="AF24" i="1"/>
  <c r="AF23" i="1"/>
  <c r="AF25" i="1"/>
  <c r="AF26" i="1" s="1"/>
  <c r="AF27" i="1" s="1"/>
  <c r="AF29" i="1" s="1"/>
  <c r="AH21" i="1" l="1"/>
  <c r="AH22" i="1" s="1"/>
  <c r="AI19" i="1"/>
  <c r="AI18" i="1"/>
  <c r="AI16" i="1"/>
  <c r="AI14" i="1"/>
  <c r="AI15" i="1"/>
  <c r="AI17" i="1"/>
  <c r="AI36" i="1"/>
  <c r="AE29" i="1"/>
  <c r="AJ13" i="1"/>
  <c r="AK13" i="1"/>
  <c r="AG24" i="1"/>
  <c r="AG23" i="1"/>
  <c r="AK17" i="1" l="1"/>
  <c r="AK16" i="1"/>
  <c r="AK14" i="1"/>
  <c r="AK19" i="1"/>
  <c r="AK18" i="1"/>
  <c r="AK15" i="1"/>
  <c r="AK36" i="1"/>
  <c r="AJ19" i="1"/>
  <c r="AJ18" i="1"/>
  <c r="AJ17" i="1"/>
  <c r="AJ15" i="1"/>
  <c r="AJ14" i="1"/>
  <c r="AJ16" i="1"/>
  <c r="AJ36" i="1"/>
  <c r="AJ20" i="1"/>
  <c r="AK20" i="1" s="1"/>
  <c r="AG25" i="1"/>
  <c r="AI21" i="1"/>
  <c r="AI22" i="1" s="1"/>
  <c r="AH23" i="1"/>
  <c r="AH24" i="1"/>
  <c r="AH25" i="1"/>
  <c r="AI23" i="1" l="1"/>
  <c r="AI24" i="1"/>
  <c r="AI25" i="1" s="1"/>
  <c r="AJ21" i="1"/>
  <c r="AJ22" i="1" s="1"/>
  <c r="AK21" i="1"/>
  <c r="AK22" i="1" s="1"/>
  <c r="AG26" i="1"/>
  <c r="AH26" i="1" s="1"/>
  <c r="AH27" i="1" s="1"/>
  <c r="AH29" i="1" s="1"/>
  <c r="AG27" i="1"/>
  <c r="AG29" i="1" l="1"/>
  <c r="AJ24" i="1"/>
  <c r="AK24" i="1"/>
  <c r="AI26" i="1"/>
  <c r="AJ23" i="1"/>
  <c r="AK23" i="1" s="1"/>
  <c r="AK25" i="1" s="1"/>
  <c r="AJ25" i="1" l="1"/>
  <c r="AJ26" i="1" s="1"/>
  <c r="AI27" i="1"/>
  <c r="AJ27" i="1" l="1"/>
  <c r="AJ29" i="1" s="1"/>
  <c r="AK26" i="1"/>
  <c r="AK27" i="1" s="1"/>
  <c r="AI29" i="1"/>
  <c r="AK29" i="1"/>
  <c r="AL27" i="1"/>
  <c r="AM27" i="1" s="1"/>
  <c r="AN27" i="1" s="1"/>
  <c r="AO27" i="1" s="1"/>
  <c r="AP27" i="1" s="1"/>
  <c r="AQ27" i="1" s="1"/>
  <c r="AR27" i="1" s="1"/>
  <c r="AS27" i="1" s="1"/>
  <c r="AT27" i="1" s="1"/>
  <c r="AU27" i="1" s="1"/>
  <c r="AV27" i="1" s="1"/>
  <c r="AW27" i="1" s="1"/>
  <c r="AX27" i="1" s="1"/>
  <c r="AY27" i="1" s="1"/>
  <c r="AZ27" i="1" s="1"/>
  <c r="BA27" i="1" s="1"/>
  <c r="BB27" i="1" s="1"/>
  <c r="BC27" i="1" s="1"/>
  <c r="BD27" i="1" s="1"/>
  <c r="BE27" i="1" s="1"/>
  <c r="BF27" i="1" s="1"/>
  <c r="BG27" i="1" s="1"/>
  <c r="BH27" i="1" s="1"/>
  <c r="BI27" i="1" s="1"/>
  <c r="BJ27" i="1" s="1"/>
  <c r="BK27" i="1" s="1"/>
  <c r="BL27" i="1" s="1"/>
  <c r="BM27" i="1" s="1"/>
  <c r="BN27" i="1" s="1"/>
  <c r="BO27" i="1" s="1"/>
  <c r="BP27" i="1" s="1"/>
  <c r="BQ27" i="1" s="1"/>
  <c r="BR27" i="1" s="1"/>
  <c r="BS27" i="1" s="1"/>
  <c r="BT27" i="1" s="1"/>
  <c r="BU27" i="1" s="1"/>
  <c r="BV27" i="1" s="1"/>
  <c r="BW27" i="1" s="1"/>
  <c r="BX27" i="1" s="1"/>
  <c r="BY27" i="1" s="1"/>
  <c r="BZ27" i="1" s="1"/>
  <c r="CA27" i="1" s="1"/>
  <c r="CB27" i="1" s="1"/>
  <c r="CC27" i="1" s="1"/>
  <c r="CD27" i="1" s="1"/>
  <c r="CE27" i="1" s="1"/>
  <c r="CF27" i="1" s="1"/>
  <c r="CG27" i="1" s="1"/>
  <c r="CH27" i="1" s="1"/>
  <c r="CI27" i="1" s="1"/>
  <c r="CJ27" i="1" s="1"/>
  <c r="CK27" i="1" s="1"/>
  <c r="CL27" i="1" s="1"/>
  <c r="CM27" i="1" s="1"/>
  <c r="CN27" i="1" s="1"/>
  <c r="CO27" i="1" s="1"/>
  <c r="CP27" i="1" s="1"/>
  <c r="CQ27" i="1" s="1"/>
  <c r="CR27" i="1" s="1"/>
  <c r="CS27" i="1" s="1"/>
  <c r="CT27" i="1" s="1"/>
  <c r="CU27" i="1" s="1"/>
  <c r="CV27" i="1" s="1"/>
  <c r="CW27" i="1" s="1"/>
  <c r="CX27" i="1" s="1"/>
  <c r="CY27" i="1" s="1"/>
  <c r="CZ27" i="1" s="1"/>
  <c r="DA27" i="1" s="1"/>
  <c r="DB27" i="1" s="1"/>
  <c r="DC27" i="1" s="1"/>
  <c r="DD27" i="1" s="1"/>
  <c r="DE27" i="1" s="1"/>
  <c r="DF27" i="1" s="1"/>
  <c r="DG27" i="1" s="1"/>
  <c r="DH27" i="1" s="1"/>
  <c r="DI27" i="1" s="1"/>
  <c r="DJ27" i="1" s="1"/>
  <c r="DK27" i="1" s="1"/>
  <c r="DL27" i="1" s="1"/>
  <c r="DM27" i="1" s="1"/>
  <c r="DN27" i="1" s="1"/>
  <c r="DO27" i="1" s="1"/>
  <c r="DP27" i="1" s="1"/>
  <c r="DQ27" i="1" s="1"/>
  <c r="DR27" i="1" s="1"/>
  <c r="DS27" i="1" s="1"/>
  <c r="DT27" i="1" s="1"/>
  <c r="DU27" i="1" s="1"/>
  <c r="DV27" i="1" s="1"/>
  <c r="DW27" i="1" s="1"/>
  <c r="DX27" i="1" s="1"/>
  <c r="DY27" i="1" s="1"/>
  <c r="DZ27" i="1" s="1"/>
  <c r="EA27" i="1" s="1"/>
  <c r="EB27" i="1" s="1"/>
  <c r="EC27" i="1" s="1"/>
  <c r="ED27" i="1" s="1"/>
  <c r="EE27" i="1" s="1"/>
  <c r="EF27" i="1" s="1"/>
  <c r="EG27" i="1" s="1"/>
  <c r="EH27" i="1" s="1"/>
  <c r="EI27" i="1" s="1"/>
  <c r="EJ27" i="1" s="1"/>
  <c r="EK27" i="1" s="1"/>
  <c r="EL27" i="1" s="1"/>
  <c r="EM27" i="1" s="1"/>
  <c r="EN27" i="1" s="1"/>
  <c r="EO27" i="1" s="1"/>
  <c r="EP27" i="1" s="1"/>
  <c r="EQ27" i="1" s="1"/>
  <c r="ER27" i="1" s="1"/>
  <c r="ES27" i="1" s="1"/>
  <c r="ET27" i="1" s="1"/>
  <c r="EU27" i="1" s="1"/>
  <c r="EV27" i="1" s="1"/>
  <c r="EW27" i="1" s="1"/>
  <c r="EX27" i="1" s="1"/>
  <c r="EY27" i="1" s="1"/>
  <c r="EZ27" i="1" s="1"/>
  <c r="FA27" i="1" s="1"/>
  <c r="FB27" i="1" s="1"/>
  <c r="FC27" i="1" s="1"/>
  <c r="FD27" i="1" s="1"/>
  <c r="FE27" i="1" s="1"/>
  <c r="FF27" i="1" s="1"/>
  <c r="FG27" i="1" s="1"/>
  <c r="FH27" i="1" s="1"/>
  <c r="FI27" i="1" s="1"/>
  <c r="FJ27" i="1" s="1"/>
  <c r="FK27" i="1" s="1"/>
  <c r="FL27" i="1" s="1"/>
  <c r="FM27" i="1" s="1"/>
  <c r="FN27" i="1" s="1"/>
  <c r="FO27" i="1" s="1"/>
  <c r="FP27" i="1" s="1"/>
  <c r="FQ27" i="1" s="1"/>
  <c r="FR27" i="1" s="1"/>
  <c r="FS27" i="1" s="1"/>
  <c r="FT27" i="1" s="1"/>
  <c r="FU27" i="1" s="1"/>
  <c r="FV27" i="1" s="1"/>
  <c r="FW27" i="1" s="1"/>
  <c r="FX27" i="1" s="1"/>
  <c r="FY27" i="1" s="1"/>
  <c r="FZ27" i="1" s="1"/>
  <c r="GA27" i="1" s="1"/>
  <c r="GB27" i="1" s="1"/>
  <c r="GC27" i="1" s="1"/>
  <c r="GD27" i="1" s="1"/>
  <c r="GE27" i="1" s="1"/>
  <c r="GF27" i="1" s="1"/>
  <c r="GG27" i="1" s="1"/>
  <c r="GH27" i="1" s="1"/>
  <c r="GI27" i="1" s="1"/>
  <c r="GJ27" i="1" s="1"/>
  <c r="GK27" i="1" s="1"/>
  <c r="GL27" i="1" s="1"/>
  <c r="GM27" i="1" s="1"/>
  <c r="GN27" i="1" s="1"/>
  <c r="GO27" i="1" s="1"/>
  <c r="GP27" i="1" s="1"/>
  <c r="GQ27" i="1" s="1"/>
  <c r="GR27" i="1" s="1"/>
  <c r="GS27" i="1" s="1"/>
  <c r="GT27" i="1" s="1"/>
  <c r="GU27" i="1" s="1"/>
  <c r="GV27" i="1" s="1"/>
  <c r="GW27" i="1" s="1"/>
  <c r="GX27" i="1" s="1"/>
  <c r="GY27" i="1" s="1"/>
  <c r="GZ27" i="1" s="1"/>
  <c r="HA27" i="1" s="1"/>
  <c r="HB27" i="1" s="1"/>
  <c r="HC27" i="1" s="1"/>
  <c r="HD27" i="1" s="1"/>
  <c r="HE27" i="1" s="1"/>
  <c r="HF27" i="1" s="1"/>
  <c r="HG27" i="1" s="1"/>
  <c r="HH27" i="1" s="1"/>
  <c r="HI27" i="1" s="1"/>
  <c r="HJ27" i="1" s="1"/>
  <c r="HK27" i="1" s="1"/>
  <c r="HL27" i="1" s="1"/>
  <c r="HM27" i="1" s="1"/>
  <c r="HN27" i="1" s="1"/>
  <c r="HO27" i="1" s="1"/>
  <c r="HP27" i="1" s="1"/>
  <c r="HQ27" i="1" s="1"/>
  <c r="HR27" i="1" s="1"/>
  <c r="HS27" i="1" s="1"/>
  <c r="AO34" i="1" l="1"/>
  <c r="AO36" i="1" s="1"/>
  <c r="AO3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tc={5B148B8B-1C7E-C34B-ADAB-3DE6D4BECBF6}</author>
    <author>tc={EA3921EB-6ECE-CB4B-A448-F6CFBB4F3446}</author>
    <author>tc={2B8F2534-1559-DB4D-BF6B-8A105400B28F}</author>
  </authors>
  <commentList>
    <comment ref="N6" authorId="0" shapeId="0" xr:uid="{5B148B8B-1C7E-C34B-ADAB-3DE6D4BECBF6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</t>
      </text>
    </comment>
    <comment ref="O6" authorId="1" shapeId="0" xr:uid="{EA3921EB-6ECE-CB4B-A448-F6CFBB4F3446}">
      <text>
        <t>[Threaded comment]
Your version of Excel allows you to read this threaded comment; however, any edits to it will get removed if the file is opened in a newer version of Excel. Learn more: https://go.microsoft.com/fwlink/?linkid=870924
Comment:
    OPENED 15, 1 CLOSED</t>
      </text>
    </comment>
    <comment ref="AB13" authorId="2" shapeId="0" xr:uid="{2B8F2534-1559-DB4D-BF6B-8A105400B28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Guidance was sss growth of 3-5%, additional growth assumes new stores could get 2000 per unit </t>
      </text>
    </comment>
  </commentList>
</comments>
</file>

<file path=xl/sharedStrings.xml><?xml version="1.0" encoding="utf-8"?>
<sst xmlns="http://schemas.openxmlformats.org/spreadsheetml/2006/main" count="133" uniqueCount="118">
  <si>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</si>
  <si>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</si>
  <si>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</si>
  <si>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</si>
  <si>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</si>
  <si>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</si>
  <si>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</si>
  <si>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</si>
  <si>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</si>
  <si>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</si>
  <si>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</si>
  <si>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</si>
  <si>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</si>
  <si>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</si>
  <si>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</si>
  <si>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</si>
  <si>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Price</t>
  </si>
  <si>
    <t>Shares</t>
  </si>
  <si>
    <t>MC</t>
  </si>
  <si>
    <t>Cash</t>
  </si>
  <si>
    <t>Debt</t>
  </si>
  <si>
    <t>EV</t>
  </si>
  <si>
    <t>Q3'23</t>
  </si>
  <si>
    <t>Press releases</t>
  </si>
  <si>
    <t>Founded</t>
  </si>
  <si>
    <t>Openings</t>
  </si>
  <si>
    <t>Revenue</t>
  </si>
  <si>
    <t>Food, Beverage, Packaging</t>
  </si>
  <si>
    <t>Labor</t>
  </si>
  <si>
    <t>Occupancy</t>
  </si>
  <si>
    <t>Other Opex</t>
  </si>
  <si>
    <t>G&amp;A</t>
  </si>
  <si>
    <t>D&amp;A</t>
  </si>
  <si>
    <t>Pre-opening vosts</t>
  </si>
  <si>
    <t>Total Opex</t>
  </si>
  <si>
    <t>Operating Income</t>
  </si>
  <si>
    <t>Other income</t>
  </si>
  <si>
    <t>EBT</t>
  </si>
  <si>
    <t>Taxes</t>
  </si>
  <si>
    <t>Net Income</t>
  </si>
  <si>
    <t>Diluted</t>
  </si>
  <si>
    <t>EPS</t>
  </si>
  <si>
    <t>$K</t>
  </si>
  <si>
    <t>Interest (Income)</t>
  </si>
  <si>
    <t>Zoes Kitchen</t>
  </si>
  <si>
    <t>Other</t>
  </si>
  <si>
    <t>CAVA</t>
  </si>
  <si>
    <t>Margins</t>
  </si>
  <si>
    <t>RPU</t>
  </si>
  <si>
    <t>Growth Analysis</t>
  </si>
  <si>
    <t>Beginning</t>
  </si>
  <si>
    <t>Net CAVA Units</t>
  </si>
  <si>
    <t>TL + E</t>
  </si>
  <si>
    <t>A/P</t>
  </si>
  <si>
    <t>Accrued E</t>
  </si>
  <si>
    <t>Op lease</t>
  </si>
  <si>
    <t>Deferred I/T</t>
  </si>
  <si>
    <t>Op Lease</t>
  </si>
  <si>
    <t>OLTL</t>
  </si>
  <si>
    <t>E</t>
  </si>
  <si>
    <t>TA</t>
  </si>
  <si>
    <t>Trade A/R</t>
  </si>
  <si>
    <t>OCR</t>
  </si>
  <si>
    <t>Inventories</t>
  </si>
  <si>
    <t>Prepaid E</t>
  </si>
  <si>
    <t>PPE</t>
  </si>
  <si>
    <t>Goodwill</t>
  </si>
  <si>
    <t>Intangibles</t>
  </si>
  <si>
    <t>OLTA</t>
  </si>
  <si>
    <t>Preferred Stock</t>
  </si>
  <si>
    <t xml:space="preserve"> </t>
  </si>
  <si>
    <t>Q2'23</t>
  </si>
  <si>
    <t>S1 Filing</t>
  </si>
  <si>
    <t>About</t>
  </si>
  <si>
    <t>Founders</t>
  </si>
  <si>
    <t>Ted Xenohristos, Ike Grigoropoulos, Dimitri Moshovitis</t>
  </si>
  <si>
    <t xml:space="preserve">2018 Cava group acquires Zoes  Kitchen $300m cash deal </t>
  </si>
  <si>
    <t>2021 series F funding round $190m led by T. Rowe Price - $1.3B valuation</t>
  </si>
  <si>
    <t>Dec 2022 company reduced the number of Zoe's kitchen locations</t>
  </si>
  <si>
    <t>As of May 2023 all Zoe's kitchen units have been closed, many replaced by cava</t>
  </si>
  <si>
    <t>IPO Date</t>
  </si>
  <si>
    <t>IPO Price</t>
  </si>
  <si>
    <t xml:space="preserve">Years Ago </t>
  </si>
  <si>
    <t>IPO Shares (k)</t>
  </si>
  <si>
    <t xml:space="preserve">Chipotle growth </t>
  </si>
  <si>
    <t>Food type | Mediterranean</t>
  </si>
  <si>
    <t>Chipotle</t>
  </si>
  <si>
    <t>Ingredients</t>
  </si>
  <si>
    <t>Units</t>
  </si>
  <si>
    <t xml:space="preserve">Terminal </t>
  </si>
  <si>
    <t>Discount</t>
  </si>
  <si>
    <t>NPV</t>
  </si>
  <si>
    <t>Estimate</t>
  </si>
  <si>
    <t>Upside</t>
  </si>
  <si>
    <t>Current</t>
  </si>
  <si>
    <t xml:space="preserve">Cash </t>
  </si>
  <si>
    <t>Total Debt</t>
  </si>
  <si>
    <t>CR</t>
  </si>
  <si>
    <t xml:space="preserve">Total Revenue </t>
  </si>
  <si>
    <t xml:space="preserve">Food, beverage, packaging </t>
  </si>
  <si>
    <t>Other op costs</t>
  </si>
  <si>
    <t>Pre-opening costs</t>
  </si>
  <si>
    <t>MODELING AFTER CHIPOTLE  -- SAME APPROAH FOR SWEETGREENS</t>
  </si>
  <si>
    <t>modeled to mimic CMG --- this is best case scenario modeling</t>
  </si>
  <si>
    <t>Pess Releases</t>
  </si>
  <si>
    <t xml:space="preserve">CEO </t>
  </si>
  <si>
    <t>Brett Schulman</t>
  </si>
  <si>
    <t>EV/24E</t>
  </si>
  <si>
    <t>EV/25E</t>
  </si>
  <si>
    <t xml:space="preserve">Q2 Results </t>
  </si>
  <si>
    <t>AUV</t>
  </si>
  <si>
    <t xml:space="preserve">All Filings </t>
  </si>
  <si>
    <t>S-1</t>
  </si>
  <si>
    <t>Notes</t>
  </si>
  <si>
    <t>source 85% (based on 2022 spend) of ingredients directly from growers, ranchers, and producers</t>
  </si>
  <si>
    <t xml:space="preserve">80% of guest op for custom meal option </t>
  </si>
  <si>
    <t>customers: 55% female, 45% male (2022)</t>
  </si>
  <si>
    <t xml:space="preserve">Menu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</si>
</sst>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7">
    <font>
      <sz val="10"/>
      <color theme="1"/>
      <name val="ArialMT"/>
      <family val="2"/>
    </font>
    <font>
      <u/>
      <sz val="10"/>
      <color theme="10"/>
      <name val="ArialMT"/>
      <family val="2"/>
    </font>
    <font>
      <b/>
      <sz val="10"/>
      <color theme="1"/>
      <name val="ArialMT"/>
    </font>
    <font>
      <b/>
      <u/>
      <sz val="10"/>
      <color theme="1"/>
      <name val="ArialMT"/>
    </font>
    <font>
      <sz val="10"/>
      <color theme="1"/>
      <name val="ArialMT"/>
    </font>
    <font>
      <b/>
      <sz val="10"/>
      <color theme="1"/>
      <name val="Intel Clear"/>
      <family val="2"/>
    </font>
    <font>
      <i/>
      <sz val="10"/>
      <color theme="1"/>
      <name val="Arial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3" fontId="0" fillId="0" borderId="0" xfId="0" applyNumberFormat="1"/>
    <xf numFmtId="3" fontId="1" fillId="0" borderId="0" xfId="1" applyNumberFormat="1"/>
    <xf numFmtId="1" fontId="0" fillId="0" borderId="0" xfId="0" applyNumberFormat="1"/>
    <xf numFmtId="3" fontId="2" fillId="0" borderId="0" xfId="0" applyNumberFormat="1" applyFont="1"/>
    <xf numFmtId="9" fontId="0" fillId="0" borderId="0" xfId="0" applyNumberFormat="1"/>
    <xf numFmtId="14" fontId="0" fillId="0" borderId="0" xfId="0" applyNumberFormat="1"/>
    <xf numFmtId="3" fontId="3" fillId="0" borderId="0" xfId="0" applyNumberFormat="1" applyFont="1"/>
    <xf numFmtId="3" fontId="4" fillId="0" borderId="0" xfId="0" applyNumberFormat="1" applyFont="1"/>
    <xf numFmtId="8" fontId="0" fillId="0" borderId="0" xfId="0" applyNumberFormat="1"/>
    <xf numFmtId="9" fontId="2" fillId="0" borderId="0" xfId="0" applyNumberFormat="1" applyFont="1"/>
    <xf numFmtId="1" fontId="2" fillId="0" borderId="0" xfId="0" applyNumberFormat="1" applyFont="1"/>
    <xf numFmtId="2" fontId="0" fillId="0" borderId="0" xfId="0" applyNumberFormat="1"/>
    <xf numFmtId="2" fontId="4" fillId="0" borderId="0" xfId="0" applyNumberFormat="1" applyFont="1"/>
    <xf numFmtId="1" fontId="5" fillId="0" borderId="0" xfId="0" applyNumberFormat="1" applyFont="1" applyAlignment="1">
      <alignment horizontal="left"/>
    </xf>
    <xf numFmtId="10" fontId="0" fillId="0" borderId="0" xfId="0" applyNumberFormat="1"/>
    <xf numFmtId="14" fontId="1" fillId="0" borderId="0" xfId="1" applyNumberFormat="1"/>
    <xf numFmtId="3" fontId="6" fillId="0" borderId="0" xfId="0" applyNumberFormat="1" applyFont="1" applyAlignment="1">
      <alignment horizontal="center"/>
    </xf>
    <xf numFmtId="3" fontId="0" fillId="0" borderId="0" xfId="0" applyNumberFormat="1" applyAlignment="1">
      <alignment horizontal="left" indent="2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15583</xdr:colOff>
      <xdr:row>0</xdr:row>
      <xdr:rowOff>0</xdr:rowOff>
    </xdr:from>
    <xdr:to>
      <xdr:col>15</xdr:col>
      <xdr:colOff>66383</xdr:colOff>
      <xdr:row>98</xdr:row>
      <xdr:rowOff>50800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90A3B41-1D02-33C8-8271-1D1014BFE8FD}"/>
            </a:ext>
          </a:extLst>
        </xdr:cNvPr>
        <xdr:cNvCxnSpPr/>
      </xdr:nvCxnSpPr>
      <xdr:spPr>
        <a:xfrm>
          <a:off x="9022454" y="0"/>
          <a:ext cx="50800" cy="1526742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60960</xdr:colOff>
      <xdr:row>0</xdr:row>
      <xdr:rowOff>0</xdr:rowOff>
    </xdr:from>
    <xdr:to>
      <xdr:col>27</xdr:col>
      <xdr:colOff>81280</xdr:colOff>
      <xdr:row>79</xdr:row>
      <xdr:rowOff>101600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A113C29-7241-5C4F-B755-C51914577D7E}"/>
            </a:ext>
          </a:extLst>
        </xdr:cNvPr>
        <xdr:cNvCxnSpPr/>
      </xdr:nvCxnSpPr>
      <xdr:spPr>
        <a:xfrm>
          <a:off x="15494000" y="0"/>
          <a:ext cx="20320" cy="1245616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ameel" id="{BF0B73FB-DEEF-BF4D-99B2-F243EF92EA4B}" userId="jameel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6" dT="2024-02-17T03:26:34.29" personId="{BF0B73FB-DEEF-BF4D-99B2-F243EF92EA4B}" id="{5B148B8B-1C7E-C34B-ADAB-3DE6D4BECBF6}">
    <text>Guidance</text>
  </threadedComment>
  <threadedComment ref="O6" dT="2024-08-19T00:51:22.44" personId="{BF0B73FB-DEEF-BF4D-99B2-F243EF92EA4B}" id="{EA3921EB-6ECE-CB4B-A448-F6CFBB4F3446}">
    <text>OPENED 15, 1 CLOSED</text>
  </threadedComment>
  <threadedComment ref="AB13" dT="2024-04-10T01:56:32.24" personId="{BF0B73FB-DEEF-BF4D-99B2-F243EF92EA4B}" id="{2B8F2534-1559-DB4D-BF6B-8A105400B28F}">
    <text xml:space="preserve">Guidance was sss growth of 3-5%, additional growth assumes new stores could get 2000 per unit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c.gov/Archives/edgar/data/1639438/000162828023018945/cava-sx1.htm" TargetMode="External"/><Relationship Id="rId2" Type="http://schemas.openxmlformats.org/officeDocument/2006/relationships/hyperlink" Target="https://s202.q4cdn.com/514401993/files/doc_events/CAVA-Group-Reports-Second-Quarter-2023-Results.pdf" TargetMode="External"/><Relationship Id="rId1" Type="http://schemas.openxmlformats.org/officeDocument/2006/relationships/hyperlink" Target="https://s202.q4cdn.com/514401993/files/doc_news/2023/CAVA-Group-Reports-Third-Quarter-2023-Results.pdf" TargetMode="External"/><Relationship Id="rId6" Type="http://schemas.openxmlformats.org/officeDocument/2006/relationships/hyperlink" Target="https://www.sec.gov/Archives/edgar/data/1639438/000162828023018945/cava-sx1.htm" TargetMode="External"/><Relationship Id="rId5" Type="http://schemas.openxmlformats.org/officeDocument/2006/relationships/hyperlink" Target="https://investor.cava.com/news/news-details/2024/CAVA-Group-Reports-Second-Quarter-2024-Results/default.aspx" TargetMode="External"/><Relationship Id="rId4" Type="http://schemas.openxmlformats.org/officeDocument/2006/relationships/hyperlink" Target="https://investor.cava.com/news/news-details/2024/CAVA-Debuts-Mediterranean-Inspired-Grilled-Steak/default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7C40D-95F0-884D-B037-235F465D5282}">
  <dimension ref="A2:HS71"/>
  <sheetViews>
    <sheetView tabSelected="1" zoomScale="163" zoomScaleNormal="80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L17" sqref="L14:L17"/>
    </sheetView>
  </sheetViews>
  <sheetFormatPr baseColWidth="10" defaultRowHeight="13"/>
  <cols>
    <col min="1" max="1" width="3.33203125" style="1" bestFit="1" customWidth="1"/>
    <col min="2" max="2" width="23.1640625" style="1" bestFit="1" customWidth="1"/>
    <col min="3" max="6" width="5.5" style="1" bestFit="1" customWidth="1"/>
    <col min="7" max="9" width="7.6640625" style="1" bestFit="1" customWidth="1"/>
    <col min="10" max="10" width="8.1640625" style="1" bestFit="1" customWidth="1"/>
    <col min="11" max="16" width="7.6640625" style="1" bestFit="1" customWidth="1"/>
    <col min="17" max="18" width="5.5" style="1" bestFit="1" customWidth="1"/>
    <col min="19" max="19" width="10.83203125" style="1"/>
    <col min="20" max="21" width="6.6640625" style="1" bestFit="1" customWidth="1"/>
    <col min="22" max="28" width="7.6640625" style="1" bestFit="1" customWidth="1"/>
    <col min="29" max="36" width="9.1640625" style="1" bestFit="1" customWidth="1"/>
    <col min="37" max="37" width="10.1640625" style="1" bestFit="1" customWidth="1"/>
    <col min="38" max="38" width="9.1640625" style="1" bestFit="1" customWidth="1"/>
    <col min="39" max="39" width="13.1640625" style="1" bestFit="1" customWidth="1"/>
    <col min="40" max="40" width="7.6640625" style="1" bestFit="1" customWidth="1"/>
    <col min="41" max="41" width="14.1640625" style="1" bestFit="1" customWidth="1"/>
    <col min="42" max="169" width="7.6640625" style="1" bestFit="1" customWidth="1"/>
    <col min="170" max="226" width="9.1640625" style="1" bestFit="1" customWidth="1"/>
    <col min="227" max="16384" width="10.83203125" style="1"/>
  </cols>
  <sheetData>
    <row r="2" spans="1:227" s="6" customFormat="1">
      <c r="G2" s="6">
        <v>44752</v>
      </c>
      <c r="H2" s="6">
        <v>44836</v>
      </c>
      <c r="I2" s="6">
        <v>44836</v>
      </c>
      <c r="J2" s="6">
        <v>44920</v>
      </c>
      <c r="K2" s="6">
        <v>45032</v>
      </c>
      <c r="L2" s="6">
        <v>45116</v>
      </c>
      <c r="M2" s="6">
        <v>45200</v>
      </c>
      <c r="N2" s="6">
        <v>45349</v>
      </c>
      <c r="AK2" s="6">
        <v>10</v>
      </c>
      <c r="AL2" s="6">
        <f>+AK2+1</f>
        <v>11</v>
      </c>
      <c r="AM2" s="6">
        <f t="shared" ref="AM2:CX2" si="0">+AL2+1</f>
        <v>12</v>
      </c>
      <c r="AN2" s="6">
        <f t="shared" si="0"/>
        <v>13</v>
      </c>
      <c r="AO2" s="6">
        <f t="shared" si="0"/>
        <v>14</v>
      </c>
      <c r="AP2" s="6">
        <f t="shared" si="0"/>
        <v>15</v>
      </c>
      <c r="AQ2" s="6">
        <f t="shared" si="0"/>
        <v>16</v>
      </c>
      <c r="AR2" s="6">
        <f t="shared" si="0"/>
        <v>17</v>
      </c>
      <c r="AS2" s="6">
        <f t="shared" si="0"/>
        <v>18</v>
      </c>
      <c r="AT2" s="6">
        <f t="shared" si="0"/>
        <v>19</v>
      </c>
      <c r="AU2" s="6">
        <f t="shared" si="0"/>
        <v>20</v>
      </c>
      <c r="AV2" s="6">
        <f t="shared" si="0"/>
        <v>21</v>
      </c>
      <c r="AW2" s="6">
        <f t="shared" si="0"/>
        <v>22</v>
      </c>
      <c r="AX2" s="6">
        <f t="shared" si="0"/>
        <v>23</v>
      </c>
      <c r="AY2" s="6">
        <f t="shared" si="0"/>
        <v>24</v>
      </c>
      <c r="AZ2" s="6">
        <f t="shared" si="0"/>
        <v>25</v>
      </c>
      <c r="BA2" s="6">
        <f t="shared" si="0"/>
        <v>26</v>
      </c>
      <c r="BB2" s="6">
        <f t="shared" si="0"/>
        <v>27</v>
      </c>
      <c r="BC2" s="6">
        <f t="shared" si="0"/>
        <v>28</v>
      </c>
      <c r="BD2" s="6">
        <f t="shared" si="0"/>
        <v>29</v>
      </c>
      <c r="BE2" s="6">
        <f t="shared" si="0"/>
        <v>30</v>
      </c>
      <c r="BF2" s="6">
        <f t="shared" si="0"/>
        <v>31</v>
      </c>
      <c r="BG2" s="6">
        <f t="shared" si="0"/>
        <v>32</v>
      </c>
      <c r="BH2" s="6">
        <f t="shared" si="0"/>
        <v>33</v>
      </c>
      <c r="BI2" s="6">
        <f t="shared" si="0"/>
        <v>34</v>
      </c>
      <c r="BJ2" s="6">
        <f t="shared" si="0"/>
        <v>35</v>
      </c>
      <c r="BK2" s="6">
        <f t="shared" si="0"/>
        <v>36</v>
      </c>
      <c r="BL2" s="6">
        <f t="shared" si="0"/>
        <v>37</v>
      </c>
      <c r="BM2" s="6">
        <f t="shared" si="0"/>
        <v>38</v>
      </c>
      <c r="BN2" s="6">
        <f t="shared" si="0"/>
        <v>39</v>
      </c>
      <c r="BO2" s="6">
        <f t="shared" si="0"/>
        <v>40</v>
      </c>
      <c r="BP2" s="6">
        <f t="shared" si="0"/>
        <v>41</v>
      </c>
      <c r="BQ2" s="6">
        <f t="shared" si="0"/>
        <v>42</v>
      </c>
      <c r="BR2" s="6">
        <f t="shared" si="0"/>
        <v>43</v>
      </c>
      <c r="BS2" s="6">
        <f t="shared" si="0"/>
        <v>44</v>
      </c>
      <c r="BT2" s="6">
        <f t="shared" si="0"/>
        <v>45</v>
      </c>
      <c r="BU2" s="6">
        <f t="shared" si="0"/>
        <v>46</v>
      </c>
      <c r="BV2" s="6">
        <f t="shared" si="0"/>
        <v>47</v>
      </c>
      <c r="BW2" s="6">
        <f t="shared" si="0"/>
        <v>48</v>
      </c>
      <c r="BX2" s="6">
        <f t="shared" si="0"/>
        <v>49</v>
      </c>
      <c r="BY2" s="6">
        <f t="shared" si="0"/>
        <v>50</v>
      </c>
      <c r="BZ2" s="6">
        <f t="shared" si="0"/>
        <v>51</v>
      </c>
      <c r="CA2" s="6">
        <f t="shared" si="0"/>
        <v>52</v>
      </c>
      <c r="CB2" s="6">
        <f t="shared" si="0"/>
        <v>53</v>
      </c>
      <c r="CC2" s="6">
        <f t="shared" si="0"/>
        <v>54</v>
      </c>
      <c r="CD2" s="6">
        <f t="shared" si="0"/>
        <v>55</v>
      </c>
      <c r="CE2" s="6">
        <f t="shared" si="0"/>
        <v>56</v>
      </c>
      <c r="CF2" s="6">
        <f t="shared" si="0"/>
        <v>57</v>
      </c>
      <c r="CG2" s="6">
        <f t="shared" si="0"/>
        <v>58</v>
      </c>
      <c r="CH2" s="6">
        <f t="shared" si="0"/>
        <v>59</v>
      </c>
      <c r="CI2" s="6">
        <f t="shared" si="0"/>
        <v>60</v>
      </c>
      <c r="CJ2" s="6">
        <f t="shared" si="0"/>
        <v>61</v>
      </c>
      <c r="CK2" s="6">
        <f t="shared" si="0"/>
        <v>62</v>
      </c>
      <c r="CL2" s="6">
        <f t="shared" si="0"/>
        <v>63</v>
      </c>
      <c r="CM2" s="6">
        <f t="shared" si="0"/>
        <v>64</v>
      </c>
      <c r="CN2" s="6">
        <f t="shared" si="0"/>
        <v>65</v>
      </c>
      <c r="CO2" s="6">
        <f t="shared" si="0"/>
        <v>66</v>
      </c>
      <c r="CP2" s="6">
        <f t="shared" si="0"/>
        <v>67</v>
      </c>
      <c r="CQ2" s="6">
        <f t="shared" si="0"/>
        <v>68</v>
      </c>
      <c r="CR2" s="6">
        <f t="shared" si="0"/>
        <v>69</v>
      </c>
      <c r="CS2" s="6">
        <f t="shared" si="0"/>
        <v>70</v>
      </c>
      <c r="CT2" s="6">
        <f t="shared" si="0"/>
        <v>71</v>
      </c>
      <c r="CU2" s="6">
        <f t="shared" si="0"/>
        <v>72</v>
      </c>
      <c r="CV2" s="6">
        <f t="shared" si="0"/>
        <v>73</v>
      </c>
      <c r="CW2" s="6">
        <f t="shared" si="0"/>
        <v>74</v>
      </c>
      <c r="CX2" s="6">
        <f t="shared" si="0"/>
        <v>75</v>
      </c>
      <c r="CY2" s="6">
        <f t="shared" ref="CY2:FJ2" si="1">+CX2+1</f>
        <v>76</v>
      </c>
      <c r="CZ2" s="6">
        <f t="shared" si="1"/>
        <v>77</v>
      </c>
      <c r="DA2" s="6">
        <f t="shared" si="1"/>
        <v>78</v>
      </c>
      <c r="DB2" s="6">
        <f t="shared" si="1"/>
        <v>79</v>
      </c>
      <c r="DC2" s="6">
        <f t="shared" si="1"/>
        <v>80</v>
      </c>
      <c r="DD2" s="6">
        <f t="shared" si="1"/>
        <v>81</v>
      </c>
      <c r="DE2" s="6">
        <f t="shared" si="1"/>
        <v>82</v>
      </c>
      <c r="DF2" s="6">
        <f t="shared" si="1"/>
        <v>83</v>
      </c>
      <c r="DG2" s="6">
        <f t="shared" si="1"/>
        <v>84</v>
      </c>
      <c r="DH2" s="6">
        <f t="shared" si="1"/>
        <v>85</v>
      </c>
      <c r="DI2" s="6">
        <f t="shared" si="1"/>
        <v>86</v>
      </c>
      <c r="DJ2" s="6">
        <f t="shared" si="1"/>
        <v>87</v>
      </c>
      <c r="DK2" s="6">
        <f t="shared" si="1"/>
        <v>88</v>
      </c>
      <c r="DL2" s="6">
        <f t="shared" si="1"/>
        <v>89</v>
      </c>
      <c r="DM2" s="6">
        <f t="shared" si="1"/>
        <v>90</v>
      </c>
      <c r="DN2" s="6">
        <f t="shared" si="1"/>
        <v>91</v>
      </c>
      <c r="DO2" s="6">
        <f t="shared" si="1"/>
        <v>92</v>
      </c>
      <c r="DP2" s="6">
        <f t="shared" si="1"/>
        <v>93</v>
      </c>
      <c r="DQ2" s="6">
        <f t="shared" si="1"/>
        <v>94</v>
      </c>
      <c r="DR2" s="6">
        <f t="shared" si="1"/>
        <v>95</v>
      </c>
      <c r="DS2" s="6">
        <f t="shared" si="1"/>
        <v>96</v>
      </c>
      <c r="DT2" s="6">
        <f t="shared" si="1"/>
        <v>97</v>
      </c>
      <c r="DU2" s="6">
        <f t="shared" si="1"/>
        <v>98</v>
      </c>
      <c r="DV2" s="6">
        <f t="shared" si="1"/>
        <v>99</v>
      </c>
      <c r="DW2" s="6">
        <f t="shared" si="1"/>
        <v>100</v>
      </c>
      <c r="DX2" s="6">
        <f t="shared" si="1"/>
        <v>101</v>
      </c>
      <c r="DY2" s="6">
        <f t="shared" si="1"/>
        <v>102</v>
      </c>
      <c r="DZ2" s="6">
        <f t="shared" si="1"/>
        <v>103</v>
      </c>
      <c r="EA2" s="6">
        <f t="shared" si="1"/>
        <v>104</v>
      </c>
      <c r="EB2" s="6">
        <f t="shared" si="1"/>
        <v>105</v>
      </c>
      <c r="EC2" s="6">
        <f t="shared" si="1"/>
        <v>106</v>
      </c>
      <c r="ED2" s="6">
        <f t="shared" si="1"/>
        <v>107</v>
      </c>
      <c r="EE2" s="6">
        <f t="shared" si="1"/>
        <v>108</v>
      </c>
      <c r="EF2" s="6">
        <f t="shared" si="1"/>
        <v>109</v>
      </c>
      <c r="EG2" s="6">
        <f t="shared" si="1"/>
        <v>110</v>
      </c>
      <c r="EH2" s="6">
        <f t="shared" si="1"/>
        <v>111</v>
      </c>
      <c r="EI2" s="6">
        <f t="shared" si="1"/>
        <v>112</v>
      </c>
      <c r="EJ2" s="6">
        <f t="shared" si="1"/>
        <v>113</v>
      </c>
      <c r="EK2" s="6">
        <f t="shared" si="1"/>
        <v>114</v>
      </c>
      <c r="EL2" s="6">
        <f t="shared" si="1"/>
        <v>115</v>
      </c>
      <c r="EM2" s="6">
        <f t="shared" si="1"/>
        <v>116</v>
      </c>
      <c r="EN2" s="6">
        <f t="shared" si="1"/>
        <v>117</v>
      </c>
      <c r="EO2" s="6">
        <f t="shared" si="1"/>
        <v>118</v>
      </c>
      <c r="EP2" s="6">
        <f t="shared" si="1"/>
        <v>119</v>
      </c>
      <c r="EQ2" s="6">
        <f t="shared" si="1"/>
        <v>120</v>
      </c>
      <c r="ER2" s="6">
        <f t="shared" si="1"/>
        <v>121</v>
      </c>
      <c r="ES2" s="6">
        <f t="shared" si="1"/>
        <v>122</v>
      </c>
      <c r="ET2" s="6">
        <f t="shared" si="1"/>
        <v>123</v>
      </c>
      <c r="EU2" s="6">
        <f t="shared" si="1"/>
        <v>124</v>
      </c>
      <c r="EV2" s="6">
        <f t="shared" si="1"/>
        <v>125</v>
      </c>
      <c r="EW2" s="6">
        <f t="shared" si="1"/>
        <v>126</v>
      </c>
      <c r="EX2" s="6">
        <f t="shared" si="1"/>
        <v>127</v>
      </c>
      <c r="EY2" s="6">
        <f t="shared" si="1"/>
        <v>128</v>
      </c>
      <c r="EZ2" s="6">
        <f t="shared" si="1"/>
        <v>129</v>
      </c>
      <c r="FA2" s="6">
        <f t="shared" si="1"/>
        <v>130</v>
      </c>
      <c r="FB2" s="6">
        <f t="shared" si="1"/>
        <v>131</v>
      </c>
      <c r="FC2" s="6">
        <f t="shared" si="1"/>
        <v>132</v>
      </c>
      <c r="FD2" s="6">
        <f t="shared" si="1"/>
        <v>133</v>
      </c>
      <c r="FE2" s="6">
        <f t="shared" si="1"/>
        <v>134</v>
      </c>
      <c r="FF2" s="6">
        <f t="shared" si="1"/>
        <v>135</v>
      </c>
      <c r="FG2" s="6">
        <f t="shared" si="1"/>
        <v>136</v>
      </c>
      <c r="FH2" s="6">
        <f t="shared" si="1"/>
        <v>137</v>
      </c>
      <c r="FI2" s="6">
        <f t="shared" si="1"/>
        <v>138</v>
      </c>
      <c r="FJ2" s="6">
        <f t="shared" si="1"/>
        <v>139</v>
      </c>
      <c r="FK2" s="6">
        <f t="shared" ref="FK2:HP2" si="2">+FJ2+1</f>
        <v>140</v>
      </c>
      <c r="FL2" s="6">
        <f t="shared" si="2"/>
        <v>141</v>
      </c>
      <c r="FM2" s="6">
        <f t="shared" si="2"/>
        <v>142</v>
      </c>
      <c r="FN2" s="6">
        <f t="shared" si="2"/>
        <v>143</v>
      </c>
      <c r="FO2" s="6">
        <f t="shared" si="2"/>
        <v>144</v>
      </c>
      <c r="FP2" s="6">
        <f t="shared" si="2"/>
        <v>145</v>
      </c>
      <c r="FQ2" s="6">
        <f t="shared" si="2"/>
        <v>146</v>
      </c>
      <c r="FR2" s="6">
        <f t="shared" si="2"/>
        <v>147</v>
      </c>
      <c r="FS2" s="6">
        <f t="shared" si="2"/>
        <v>148</v>
      </c>
      <c r="FT2" s="6">
        <f t="shared" si="2"/>
        <v>149</v>
      </c>
      <c r="FU2" s="6">
        <f t="shared" si="2"/>
        <v>150</v>
      </c>
      <c r="FV2" s="6">
        <f t="shared" si="2"/>
        <v>151</v>
      </c>
      <c r="FW2" s="6">
        <f t="shared" si="2"/>
        <v>152</v>
      </c>
      <c r="FX2" s="6">
        <f t="shared" si="2"/>
        <v>153</v>
      </c>
      <c r="FY2" s="6">
        <f t="shared" si="2"/>
        <v>154</v>
      </c>
      <c r="FZ2" s="6">
        <f t="shared" si="2"/>
        <v>155</v>
      </c>
      <c r="GA2" s="6">
        <f t="shared" si="2"/>
        <v>156</v>
      </c>
      <c r="GB2" s="6">
        <f t="shared" si="2"/>
        <v>157</v>
      </c>
      <c r="GC2" s="6">
        <f t="shared" si="2"/>
        <v>158</v>
      </c>
      <c r="GD2" s="6">
        <f t="shared" si="2"/>
        <v>159</v>
      </c>
      <c r="GE2" s="6">
        <f t="shared" si="2"/>
        <v>160</v>
      </c>
      <c r="GF2" s="6">
        <f t="shared" si="2"/>
        <v>161</v>
      </c>
      <c r="GG2" s="6">
        <f t="shared" si="2"/>
        <v>162</v>
      </c>
      <c r="GH2" s="6">
        <f t="shared" si="2"/>
        <v>163</v>
      </c>
      <c r="GI2" s="6">
        <f t="shared" si="2"/>
        <v>164</v>
      </c>
      <c r="GJ2" s="6">
        <f t="shared" si="2"/>
        <v>165</v>
      </c>
      <c r="GK2" s="6">
        <f t="shared" si="2"/>
        <v>166</v>
      </c>
      <c r="GL2" s="6">
        <f t="shared" si="2"/>
        <v>167</v>
      </c>
      <c r="GM2" s="6">
        <f t="shared" si="2"/>
        <v>168</v>
      </c>
      <c r="GN2" s="6">
        <f t="shared" si="2"/>
        <v>169</v>
      </c>
      <c r="GO2" s="6">
        <f t="shared" si="2"/>
        <v>170</v>
      </c>
      <c r="GP2" s="6">
        <f t="shared" si="2"/>
        <v>171</v>
      </c>
      <c r="GQ2" s="6">
        <f t="shared" si="2"/>
        <v>172</v>
      </c>
      <c r="GR2" s="6">
        <f t="shared" si="2"/>
        <v>173</v>
      </c>
      <c r="GS2" s="6">
        <f t="shared" si="2"/>
        <v>174</v>
      </c>
      <c r="GT2" s="6">
        <f t="shared" si="2"/>
        <v>175</v>
      </c>
      <c r="GU2" s="6">
        <f t="shared" si="2"/>
        <v>176</v>
      </c>
      <c r="GV2" s="6">
        <f t="shared" si="2"/>
        <v>177</v>
      </c>
      <c r="GW2" s="6">
        <f t="shared" si="2"/>
        <v>178</v>
      </c>
      <c r="GX2" s="6">
        <f t="shared" si="2"/>
        <v>179</v>
      </c>
      <c r="GY2" s="6">
        <f t="shared" si="2"/>
        <v>180</v>
      </c>
      <c r="GZ2" s="6">
        <f t="shared" si="2"/>
        <v>181</v>
      </c>
      <c r="HA2" s="6">
        <f t="shared" si="2"/>
        <v>182</v>
      </c>
      <c r="HB2" s="6">
        <f t="shared" si="2"/>
        <v>183</v>
      </c>
      <c r="HC2" s="6">
        <f t="shared" si="2"/>
        <v>184</v>
      </c>
      <c r="HD2" s="6">
        <f t="shared" si="2"/>
        <v>185</v>
      </c>
      <c r="HE2" s="6">
        <f t="shared" si="2"/>
        <v>186</v>
      </c>
      <c r="HF2" s="6">
        <f t="shared" si="2"/>
        <v>187</v>
      </c>
      <c r="HG2" s="6">
        <f t="shared" si="2"/>
        <v>188</v>
      </c>
      <c r="HH2" s="6">
        <f t="shared" si="2"/>
        <v>189</v>
      </c>
      <c r="HI2" s="6">
        <f t="shared" si="2"/>
        <v>190</v>
      </c>
      <c r="HJ2" s="6">
        <f t="shared" si="2"/>
        <v>191</v>
      </c>
      <c r="HK2" s="6">
        <f t="shared" si="2"/>
        <v>192</v>
      </c>
      <c r="HL2" s="6">
        <f t="shared" si="2"/>
        <v>193</v>
      </c>
      <c r="HM2" s="6">
        <f t="shared" si="2"/>
        <v>194</v>
      </c>
      <c r="HN2" s="6">
        <f t="shared" si="2"/>
        <v>195</v>
      </c>
      <c r="HO2" s="6">
        <f t="shared" si="2"/>
        <v>196</v>
      </c>
      <c r="HP2" s="6">
        <f t="shared" si="2"/>
        <v>197</v>
      </c>
      <c r="HQ2" s="6">
        <f t="shared" ref="HQ2:HR2" si="3">+HP2+1</f>
        <v>198</v>
      </c>
      <c r="HR2" s="6">
        <f t="shared" si="3"/>
        <v>199</v>
      </c>
      <c r="HS2" s="6">
        <f t="shared" ref="HS2" si="4">+HR2+1</f>
        <v>200</v>
      </c>
    </row>
    <row r="3" spans="1:227">
      <c r="A3" s="1" t="s">
        <v>42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T3" s="3">
        <v>2016</v>
      </c>
      <c r="U3" s="3">
        <v>2017</v>
      </c>
      <c r="V3" s="3">
        <v>2018</v>
      </c>
      <c r="W3" s="3">
        <v>2019</v>
      </c>
      <c r="X3" s="3">
        <v>2020</v>
      </c>
      <c r="Y3" s="3">
        <v>2021</v>
      </c>
      <c r="Z3" s="3">
        <v>2022</v>
      </c>
      <c r="AA3" s="3">
        <v>2023</v>
      </c>
      <c r="AB3" s="3">
        <f>+AA3+1</f>
        <v>2024</v>
      </c>
      <c r="AC3" s="3">
        <f t="shared" ref="AC3:AK3" si="5">+AB3+1</f>
        <v>2025</v>
      </c>
      <c r="AD3" s="3">
        <f t="shared" si="5"/>
        <v>2026</v>
      </c>
      <c r="AE3" s="3">
        <f t="shared" si="5"/>
        <v>2027</v>
      </c>
      <c r="AF3" s="3">
        <f t="shared" si="5"/>
        <v>2028</v>
      </c>
      <c r="AG3" s="3">
        <f t="shared" si="5"/>
        <v>2029</v>
      </c>
      <c r="AH3" s="3">
        <f t="shared" si="5"/>
        <v>2030</v>
      </c>
      <c r="AI3" s="3">
        <f t="shared" si="5"/>
        <v>2031</v>
      </c>
      <c r="AJ3" s="3">
        <f t="shared" si="5"/>
        <v>2032</v>
      </c>
      <c r="AK3" s="3">
        <f t="shared" si="5"/>
        <v>2033</v>
      </c>
    </row>
    <row r="4" spans="1:227">
      <c r="B4" s="1" t="s">
        <v>110</v>
      </c>
      <c r="L4" s="1">
        <v>2608</v>
      </c>
      <c r="P4" s="1">
        <v>2689</v>
      </c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</row>
    <row r="5" spans="1:227">
      <c r="B5" s="1" t="s">
        <v>50</v>
      </c>
      <c r="H5" s="1">
        <v>26</v>
      </c>
      <c r="I5" s="1">
        <v>195</v>
      </c>
      <c r="J5" s="1">
        <f>+I7</f>
        <v>214</v>
      </c>
      <c r="K5" s="1">
        <f>+J7</f>
        <v>237</v>
      </c>
      <c r="L5" s="1">
        <f>+K7</f>
        <v>263</v>
      </c>
      <c r="M5" s="1">
        <v>279</v>
      </c>
      <c r="N5" s="1">
        <f>+M7</f>
        <v>290</v>
      </c>
      <c r="O5" s="1">
        <f>+N7</f>
        <v>309</v>
      </c>
      <c r="P5" s="1">
        <f>+O7</f>
        <v>323</v>
      </c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</row>
    <row r="6" spans="1:227">
      <c r="B6" s="1" t="s">
        <v>25</v>
      </c>
      <c r="G6" s="1">
        <v>18</v>
      </c>
      <c r="H6" s="1">
        <v>26</v>
      </c>
      <c r="I6" s="1">
        <v>19</v>
      </c>
      <c r="J6" s="1">
        <v>23</v>
      </c>
      <c r="K6" s="1">
        <v>26</v>
      </c>
      <c r="L6" s="1">
        <v>16</v>
      </c>
      <c r="M6" s="1">
        <v>11</v>
      </c>
      <c r="N6" s="1">
        <v>19</v>
      </c>
      <c r="O6" s="1">
        <v>14</v>
      </c>
      <c r="P6" s="1">
        <v>18</v>
      </c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</row>
    <row r="7" spans="1:227" s="4" customFormat="1">
      <c r="B7" s="4" t="s">
        <v>51</v>
      </c>
      <c r="G7" s="4">
        <v>195</v>
      </c>
      <c r="H7" s="4">
        <v>263</v>
      </c>
      <c r="I7" s="4">
        <f>SUM(I5:I6)</f>
        <v>214</v>
      </c>
      <c r="J7" s="4">
        <f t="shared" ref="J7:P7" si="6">+SUM(J5:J6)</f>
        <v>237</v>
      </c>
      <c r="K7" s="4">
        <f t="shared" si="6"/>
        <v>263</v>
      </c>
      <c r="L7" s="4">
        <f t="shared" si="6"/>
        <v>279</v>
      </c>
      <c r="M7" s="4">
        <f t="shared" si="6"/>
        <v>290</v>
      </c>
      <c r="N7" s="4">
        <f t="shared" si="6"/>
        <v>309</v>
      </c>
      <c r="O7" s="4">
        <f t="shared" si="6"/>
        <v>323</v>
      </c>
      <c r="P7" s="4">
        <f t="shared" si="6"/>
        <v>341</v>
      </c>
      <c r="T7" s="4">
        <v>22</v>
      </c>
      <c r="U7" s="4">
        <v>43</v>
      </c>
      <c r="V7" s="4">
        <v>72</v>
      </c>
      <c r="W7" s="4">
        <v>89</v>
      </c>
      <c r="X7" s="4">
        <v>104</v>
      </c>
      <c r="Y7" s="4">
        <v>164</v>
      </c>
      <c r="Z7" s="4">
        <v>237</v>
      </c>
      <c r="AA7" s="4">
        <f>+N7</f>
        <v>309</v>
      </c>
      <c r="AB7" s="4">
        <f>+AA7+AVERAGE(48,52)</f>
        <v>359</v>
      </c>
      <c r="AC7" s="4">
        <f>+AB7+50</f>
        <v>409</v>
      </c>
      <c r="AD7" s="4">
        <f t="shared" ref="AD7:AJ7" si="7">+AC7+50</f>
        <v>459</v>
      </c>
      <c r="AE7" s="4">
        <f t="shared" si="7"/>
        <v>509</v>
      </c>
      <c r="AF7" s="4">
        <f t="shared" si="7"/>
        <v>559</v>
      </c>
      <c r="AG7" s="4">
        <f t="shared" si="7"/>
        <v>609</v>
      </c>
      <c r="AH7" s="4">
        <f t="shared" si="7"/>
        <v>659</v>
      </c>
      <c r="AI7" s="4">
        <f t="shared" si="7"/>
        <v>709</v>
      </c>
      <c r="AJ7" s="4">
        <f t="shared" si="7"/>
        <v>759</v>
      </c>
      <c r="AK7" s="4">
        <f t="shared" ref="AK7" si="8">+AJ7+50</f>
        <v>809</v>
      </c>
    </row>
    <row r="8" spans="1:227">
      <c r="B8" s="1" t="s">
        <v>48</v>
      </c>
      <c r="H8" s="1">
        <f>+H10/H7</f>
        <v>400.4828897338403</v>
      </c>
      <c r="I8" s="1">
        <f>+I10/I7</f>
        <v>543.05140186915889</v>
      </c>
      <c r="J8" s="1">
        <f>+J13/J7</f>
        <v>548.24894514767936</v>
      </c>
      <c r="K8" s="1">
        <f>+K13/K7</f>
        <v>772.17870722433463</v>
      </c>
      <c r="L8" s="1">
        <f>+L13/L7</f>
        <v>619.69175627240145</v>
      </c>
      <c r="M8" s="1">
        <f>+M13/M7</f>
        <v>605.35517241379307</v>
      </c>
      <c r="N8" s="1">
        <f>+N13/N7</f>
        <v>573.36569579288027</v>
      </c>
      <c r="AA8" s="1">
        <f>+AA13/AA7</f>
        <v>2358.2524271844659</v>
      </c>
      <c r="AB8" s="1">
        <f>+AB13/AB7</f>
        <v>2638.2097707306621</v>
      </c>
      <c r="AC8" s="1">
        <f>+AB8*1.15</f>
        <v>3033.9412363402612</v>
      </c>
      <c r="AD8" s="1">
        <f t="shared" ref="AD8:AK8" si="9">+AC8*1.15</f>
        <v>3489.0324217913003</v>
      </c>
      <c r="AE8" s="1">
        <f t="shared" si="9"/>
        <v>4012.3872850599951</v>
      </c>
      <c r="AF8" s="1">
        <f t="shared" si="9"/>
        <v>4614.2453778189938</v>
      </c>
      <c r="AG8" s="1">
        <f t="shared" si="9"/>
        <v>5306.3821844918421</v>
      </c>
      <c r="AH8" s="1">
        <f t="shared" si="9"/>
        <v>6102.3395121656176</v>
      </c>
      <c r="AI8" s="1">
        <f t="shared" si="9"/>
        <v>7017.6904389904594</v>
      </c>
      <c r="AJ8" s="1">
        <f t="shared" si="9"/>
        <v>8070.3440048390275</v>
      </c>
      <c r="AK8" s="1">
        <f t="shared" si="9"/>
        <v>9280.8956055648814</v>
      </c>
    </row>
    <row r="10" spans="1:227">
      <c r="B10" s="1" t="s">
        <v>46</v>
      </c>
      <c r="H10" s="1">
        <v>105327</v>
      </c>
      <c r="I10" s="1">
        <v>116213</v>
      </c>
      <c r="L10" s="1">
        <v>171089</v>
      </c>
      <c r="M10" s="1">
        <v>173759</v>
      </c>
      <c r="N10" s="1">
        <f>+AA10-SUM(K10:M10)</f>
        <v>372212</v>
      </c>
      <c r="O10" s="1">
        <v>256290</v>
      </c>
      <c r="P10" s="1">
        <v>231384</v>
      </c>
      <c r="T10" s="4">
        <v>41000</v>
      </c>
      <c r="U10" s="4">
        <v>72000</v>
      </c>
      <c r="V10" s="4">
        <v>118000</v>
      </c>
      <c r="W10" s="4">
        <v>168000</v>
      </c>
      <c r="X10" s="4">
        <v>163000</v>
      </c>
      <c r="Z10" s="1">
        <v>448600</v>
      </c>
      <c r="AA10" s="1">
        <v>717060</v>
      </c>
    </row>
    <row r="11" spans="1:227">
      <c r="B11" s="1" t="s">
        <v>44</v>
      </c>
      <c r="H11" s="1">
        <v>28823</v>
      </c>
      <c r="I11" s="1">
        <v>21432</v>
      </c>
      <c r="L11" s="1">
        <v>0</v>
      </c>
      <c r="M11" s="1">
        <v>0</v>
      </c>
      <c r="AC11" s="17" t="s">
        <v>103</v>
      </c>
      <c r="AD11" s="17"/>
      <c r="AE11" s="17"/>
      <c r="AF11" s="17"/>
      <c r="AG11" s="17"/>
      <c r="AH11" s="17"/>
      <c r="AI11" s="17"/>
      <c r="AJ11" s="17"/>
      <c r="AK11" s="17"/>
      <c r="AL11" s="17"/>
    </row>
    <row r="12" spans="1:227">
      <c r="B12" s="1" t="s">
        <v>45</v>
      </c>
      <c r="H12" s="1">
        <v>1765</v>
      </c>
      <c r="I12" s="1">
        <v>1613</v>
      </c>
      <c r="L12" s="1">
        <v>1805</v>
      </c>
      <c r="M12" s="1">
        <v>1794</v>
      </c>
      <c r="P12" s="1">
        <v>2111</v>
      </c>
    </row>
    <row r="13" spans="1:227" s="4" customFormat="1">
      <c r="B13" s="4" t="s">
        <v>26</v>
      </c>
      <c r="G13" s="4">
        <v>159011</v>
      </c>
      <c r="H13" s="4">
        <f>SUM(H10:H12)</f>
        <v>135915</v>
      </c>
      <c r="I13" s="4">
        <f>SUM(I10:I12)</f>
        <v>139258</v>
      </c>
      <c r="J13" s="4">
        <f>+Z13-SUM(G13:I13)</f>
        <v>129935</v>
      </c>
      <c r="K13" s="4">
        <v>203083</v>
      </c>
      <c r="L13" s="4">
        <f>SUM(L10:L12)</f>
        <v>172894</v>
      </c>
      <c r="M13" s="4">
        <f>SUM(M10:M12)</f>
        <v>175553</v>
      </c>
      <c r="N13" s="4">
        <f t="shared" ref="N13:N20" si="10">+AA13-SUM(K13:M13)</f>
        <v>177170</v>
      </c>
      <c r="O13" s="4">
        <v>259006</v>
      </c>
      <c r="P13" s="4">
        <v>233495</v>
      </c>
      <c r="R13" s="10">
        <f>SUM(K13:L13)/SUM(K13:N13)</f>
        <v>0.51595581171950045</v>
      </c>
      <c r="S13" s="4">
        <f>SUM(O13:P13)/0.52</f>
        <v>947117.30769230763</v>
      </c>
      <c r="Y13" s="4">
        <v>500072</v>
      </c>
      <c r="Z13" s="4">
        <v>564119</v>
      </c>
      <c r="AA13" s="4">
        <v>728700</v>
      </c>
      <c r="AB13" s="4">
        <f>SUM(O13:P13)/0.52</f>
        <v>947117.30769230763</v>
      </c>
      <c r="AC13" s="4">
        <f>+AC8*AC7</f>
        <v>1240881.9656631667</v>
      </c>
      <c r="AD13" s="4">
        <f t="shared" ref="AD13:AJ13" si="11">+AD8*AD7</f>
        <v>1601465.8816022067</v>
      </c>
      <c r="AE13" s="4">
        <f t="shared" si="11"/>
        <v>2042305.1280955374</v>
      </c>
      <c r="AF13" s="4">
        <f t="shared" si="11"/>
        <v>2579363.1662008176</v>
      </c>
      <c r="AG13" s="4">
        <f t="shared" si="11"/>
        <v>3231586.7503555319</v>
      </c>
      <c r="AH13" s="4">
        <f t="shared" si="11"/>
        <v>4021441.7385171419</v>
      </c>
      <c r="AI13" s="4">
        <f t="shared" si="11"/>
        <v>4975542.5212442353</v>
      </c>
      <c r="AJ13" s="4">
        <f t="shared" si="11"/>
        <v>6125391.0996728223</v>
      </c>
      <c r="AK13" s="4">
        <f t="shared" ref="AK13" si="12">+AK8*AK7</f>
        <v>7508244.5449019894</v>
      </c>
    </row>
    <row r="14" spans="1:227">
      <c r="B14" s="1" t="s">
        <v>27</v>
      </c>
      <c r="G14" s="1">
        <v>50904</v>
      </c>
      <c r="H14" s="1">
        <v>43741</v>
      </c>
      <c r="I14" s="1">
        <v>44617</v>
      </c>
      <c r="J14" s="8">
        <f t="shared" ref="J14:J27" si="13">+Z14-SUM(G14:I14)</f>
        <v>40726</v>
      </c>
      <c r="K14" s="1">
        <v>59118</v>
      </c>
      <c r="L14" s="1">
        <v>51000</v>
      </c>
      <c r="M14" s="1">
        <v>51818</v>
      </c>
      <c r="N14" s="8">
        <f t="shared" si="10"/>
        <v>51522</v>
      </c>
      <c r="O14" s="8">
        <v>73947</v>
      </c>
      <c r="P14" s="8">
        <v>68839</v>
      </c>
      <c r="Y14" s="1">
        <v>154772</v>
      </c>
      <c r="Z14" s="1">
        <v>179988</v>
      </c>
      <c r="AA14" s="1">
        <v>213458</v>
      </c>
      <c r="AB14" s="1">
        <f>+AB13*'CMG baseline'!$B$6</f>
        <v>279440.62579226005</v>
      </c>
      <c r="AC14" s="1">
        <f>+AC13*'CMG baseline'!$B$6</f>
        <v>366113.92295651673</v>
      </c>
      <c r="AD14" s="1">
        <f>+AD13*'CMG baseline'!$B$6</f>
        <v>472501.79518972459</v>
      </c>
      <c r="AE14" s="1">
        <f>+AE13*'CMG baseline'!$B$6</f>
        <v>602568.4658263732</v>
      </c>
      <c r="AF14" s="1">
        <f>+AF13*'CMG baseline'!$B$6</f>
        <v>761023.84726224747</v>
      </c>
      <c r="AG14" s="1">
        <f>+AG13*'CMG baseline'!$B$6</f>
        <v>953458.05264779064</v>
      </c>
      <c r="AH14" s="1">
        <f>+AH13*'CMG baseline'!$B$6</f>
        <v>1186499.483085596</v>
      </c>
      <c r="AI14" s="1">
        <f>+AI13*'CMG baseline'!$B$6</f>
        <v>1468000.5364701678</v>
      </c>
      <c r="AJ14" s="1">
        <f>+AJ13*'CMG baseline'!$B$6</f>
        <v>1807255.6675006854</v>
      </c>
      <c r="AK14" s="1">
        <f>+AK13*'CMG baseline'!$B$6</f>
        <v>2215257.3257697793</v>
      </c>
    </row>
    <row r="15" spans="1:227">
      <c r="B15" s="1" t="s">
        <v>28</v>
      </c>
      <c r="G15" s="1">
        <v>47022</v>
      </c>
      <c r="H15" s="1">
        <v>37731</v>
      </c>
      <c r="I15" s="1">
        <v>37193</v>
      </c>
      <c r="J15" s="8">
        <f t="shared" si="13"/>
        <v>35945</v>
      </c>
      <c r="K15" s="1">
        <v>52154</v>
      </c>
      <c r="L15" s="1">
        <v>42417</v>
      </c>
      <c r="M15" s="1">
        <v>43913</v>
      </c>
      <c r="N15" s="8">
        <f t="shared" si="10"/>
        <v>48842</v>
      </c>
      <c r="O15" s="8">
        <v>66513</v>
      </c>
      <c r="P15" s="8">
        <v>58388</v>
      </c>
      <c r="Y15" s="1">
        <v>143395</v>
      </c>
      <c r="Z15" s="1">
        <v>157891</v>
      </c>
      <c r="AA15" s="1">
        <v>187326</v>
      </c>
      <c r="AB15" s="1">
        <f>+AB13*'CMG baseline'!$B$7</f>
        <v>234195.55334325443</v>
      </c>
      <c r="AC15" s="1">
        <f>+AC13*'CMG baseline'!$B$7</f>
        <v>306835.31619777082</v>
      </c>
      <c r="AD15" s="1">
        <f>+AD13*'CMG baseline'!$B$7</f>
        <v>395997.6079584189</v>
      </c>
      <c r="AE15" s="1">
        <f>+AE13*'CMG baseline'!$B$7</f>
        <v>505004.79263281153</v>
      </c>
      <c r="AF15" s="1">
        <f>+AF13*'CMG baseline'!$B$7</f>
        <v>637804.18653045746</v>
      </c>
      <c r="AG15" s="1">
        <f>+AG13*'CMG baseline'!$B$7</f>
        <v>799080.79076315893</v>
      </c>
      <c r="AH15" s="1">
        <f>+AH13*'CMG baseline'!$B$7</f>
        <v>994389.78206873545</v>
      </c>
      <c r="AI15" s="1">
        <f>+AI13*'CMG baseline'!$B$7</f>
        <v>1230312.1529738137</v>
      </c>
      <c r="AJ15" s="1">
        <f>+AJ13*'CMG baseline'!$B$7</f>
        <v>1514637.4650538694</v>
      </c>
      <c r="AK15" s="1">
        <f>+AK13*'CMG baseline'!$B$7</f>
        <v>1856578.3473160306</v>
      </c>
    </row>
    <row r="16" spans="1:227">
      <c r="B16" s="1" t="s">
        <v>29</v>
      </c>
      <c r="G16" s="1">
        <v>16740</v>
      </c>
      <c r="H16" s="1">
        <v>12214</v>
      </c>
      <c r="I16" s="1">
        <v>12302</v>
      </c>
      <c r="J16" s="8">
        <f t="shared" si="13"/>
        <v>12413</v>
      </c>
      <c r="K16" s="1">
        <v>16599</v>
      </c>
      <c r="L16" s="1">
        <v>13400</v>
      </c>
      <c r="M16" s="1">
        <v>13782</v>
      </c>
      <c r="N16" s="8">
        <f t="shared" si="10"/>
        <v>14538</v>
      </c>
      <c r="O16" s="8">
        <v>20422</v>
      </c>
      <c r="P16" s="8">
        <v>15917</v>
      </c>
      <c r="Y16" s="1">
        <v>49299</v>
      </c>
      <c r="Z16" s="1">
        <v>53669</v>
      </c>
      <c r="AA16" s="1">
        <v>58319</v>
      </c>
      <c r="AB16" s="1">
        <f>+AB13*'CMG baseline'!$B$8</f>
        <v>48284.743991450821</v>
      </c>
      <c r="AC16" s="1">
        <f>+AC13*'CMG baseline'!$B$8</f>
        <v>63261.084502448168</v>
      </c>
      <c r="AD16" s="1">
        <f>+AD13*'CMG baseline'!$B$8</f>
        <v>81643.920426937082</v>
      </c>
      <c r="AE16" s="1">
        <f>+AE13*'CMG baseline'!$B$8</f>
        <v>104118.23272746758</v>
      </c>
      <c r="AF16" s="1">
        <f>+AF13*'CMG baseline'!$B$8</f>
        <v>131497.85050855111</v>
      </c>
      <c r="AG16" s="1">
        <f>+AG13*'CMG baseline'!$B$8</f>
        <v>164748.69338759172</v>
      </c>
      <c r="AH16" s="1">
        <f>+AH13*'CMG baseline'!$B$8</f>
        <v>205016.08749390207</v>
      </c>
      <c r="AI16" s="1">
        <f>+AI13*'CMG baseline'!$B$8</f>
        <v>253656.8542308847</v>
      </c>
      <c r="AJ16" s="1">
        <f>+AJ13*'CMG baseline'!$B$8</f>
        <v>312276.9890203494</v>
      </c>
      <c r="AK16" s="1">
        <f>+AK13*'CMG baseline'!$B$8</f>
        <v>382775.88502645859</v>
      </c>
    </row>
    <row r="17" spans="2:227">
      <c r="B17" s="1" t="s">
        <v>30</v>
      </c>
      <c r="G17" s="1">
        <v>22201</v>
      </c>
      <c r="H17" s="1">
        <v>16624</v>
      </c>
      <c r="I17" s="1">
        <v>18738</v>
      </c>
      <c r="J17" s="8">
        <f t="shared" si="13"/>
        <v>17024</v>
      </c>
      <c r="K17" s="1">
        <v>24648</v>
      </c>
      <c r="L17" s="1">
        <v>20646</v>
      </c>
      <c r="M17" s="1">
        <v>21553</v>
      </c>
      <c r="N17" s="8">
        <f t="shared" si="10"/>
        <v>22404</v>
      </c>
      <c r="O17" s="8">
        <v>32758</v>
      </c>
      <c r="P17" s="8">
        <v>27991</v>
      </c>
      <c r="Y17" s="1">
        <v>70453</v>
      </c>
      <c r="Z17" s="1">
        <v>74587</v>
      </c>
      <c r="AA17" s="1">
        <v>89251</v>
      </c>
      <c r="AB17" s="1">
        <f>+AB13*'CMG baseline'!$B$9</f>
        <v>137078.5176836678</v>
      </c>
      <c r="AC17" s="1">
        <f>+AC13*'CMG baseline'!$B$9</f>
        <v>179595.76822427058</v>
      </c>
      <c r="AD17" s="1">
        <f>+AD13*'CMG baseline'!$B$9</f>
        <v>231783.92727917171</v>
      </c>
      <c r="AE17" s="1">
        <f>+AE13*'CMG baseline'!$B$9</f>
        <v>295587.62926549709</v>
      </c>
      <c r="AF17" s="1">
        <f>+AF13*'CMG baseline'!$B$9</f>
        <v>373317.30348393868</v>
      </c>
      <c r="AG17" s="1">
        <f>+AG13*'CMG baseline'!$B$9</f>
        <v>467715.15830943902</v>
      </c>
      <c r="AH17" s="1">
        <f>+AH13*'CMG baseline'!$B$9</f>
        <v>582032.73025420075</v>
      </c>
      <c r="AI17" s="1">
        <f>+AI13*'CMG baseline'!$B$9</f>
        <v>720121.98272042873</v>
      </c>
      <c r="AJ17" s="1">
        <f>+AJ13*'CMG baseline'!$B$9</f>
        <v>886542.27449580573</v>
      </c>
      <c r="AK17" s="1">
        <f>+AK13*'CMG baseline'!$B$9</f>
        <v>1086685.9091925861</v>
      </c>
    </row>
    <row r="18" spans="2:227">
      <c r="B18" s="1" t="s">
        <v>31</v>
      </c>
      <c r="G18" s="1">
        <v>20937</v>
      </c>
      <c r="H18" s="1">
        <v>16284</v>
      </c>
      <c r="I18" s="1">
        <v>16547</v>
      </c>
      <c r="J18" s="8">
        <f t="shared" si="13"/>
        <v>16269</v>
      </c>
      <c r="K18" s="1">
        <v>29024</v>
      </c>
      <c r="L18" s="1">
        <v>23321</v>
      </c>
      <c r="M18" s="1">
        <v>24472</v>
      </c>
      <c r="N18" s="8">
        <f t="shared" si="10"/>
        <v>24674</v>
      </c>
      <c r="O18" s="8">
        <v>33840</v>
      </c>
      <c r="P18" s="8">
        <v>28281</v>
      </c>
      <c r="Y18" s="1">
        <v>64792</v>
      </c>
      <c r="Z18" s="1">
        <v>70037</v>
      </c>
      <c r="AA18" s="1">
        <v>101491</v>
      </c>
      <c r="AB18" s="1">
        <f>+AB13*'CMG baseline'!$B$10</f>
        <v>60788.058031330234</v>
      </c>
      <c r="AC18" s="1">
        <f>+AC13*'CMG baseline'!$B$10</f>
        <v>79642.51558505898</v>
      </c>
      <c r="AD18" s="1">
        <f>+AD13*'CMG baseline'!$B$10</f>
        <v>102785.57909920142</v>
      </c>
      <c r="AE18" s="1">
        <f>+AE13*'CMG baseline'!$B$10</f>
        <v>131079.60506692276</v>
      </c>
      <c r="AF18" s="1">
        <f>+AF13*'CMG baseline'!$B$10</f>
        <v>165549.16329522847</v>
      </c>
      <c r="AG18" s="1">
        <f>+AG13*'CMG baseline'!$B$10</f>
        <v>207410.29787802012</v>
      </c>
      <c r="AH18" s="1">
        <f>+AH13*'CMG baseline'!$B$10</f>
        <v>258104.91666150658</v>
      </c>
      <c r="AI18" s="1">
        <f>+AI13*'CMG baseline'!$B$10</f>
        <v>319341.18937778356</v>
      </c>
      <c r="AJ18" s="1">
        <f>+AJ13*'CMG baseline'!$B$10</f>
        <v>393140.9832840598</v>
      </c>
      <c r="AK18" s="1">
        <f>+AK13*'CMG baseline'!$B$10</f>
        <v>481895.53860121872</v>
      </c>
    </row>
    <row r="19" spans="2:227">
      <c r="B19" s="1" t="s">
        <v>32</v>
      </c>
      <c r="G19" s="1">
        <v>12819</v>
      </c>
      <c r="H19" s="1">
        <v>8946</v>
      </c>
      <c r="I19" s="1">
        <v>10018</v>
      </c>
      <c r="J19" s="8">
        <f t="shared" si="13"/>
        <v>10941</v>
      </c>
      <c r="K19" s="1">
        <v>12859</v>
      </c>
      <c r="L19" s="1">
        <v>10709</v>
      </c>
      <c r="M19" s="1">
        <v>11528</v>
      </c>
      <c r="N19" s="8">
        <f t="shared" si="10"/>
        <v>12337</v>
      </c>
      <c r="O19" s="8">
        <v>17322</v>
      </c>
      <c r="P19" s="8">
        <v>13733</v>
      </c>
      <c r="Y19" s="1">
        <v>44538</v>
      </c>
      <c r="Z19" s="1">
        <v>42724</v>
      </c>
      <c r="AA19" s="1">
        <v>47433</v>
      </c>
      <c r="AB19" s="1">
        <f>+AB13*'CMG baseline'!$B$11</f>
        <v>30643.673146510468</v>
      </c>
      <c r="AC19" s="1">
        <f>+AC13*'CMG baseline'!$B$11</f>
        <v>40148.333327189961</v>
      </c>
      <c r="AD19" s="1">
        <f>+AD13*'CMG baseline'!$B$11</f>
        <v>51814.908916276829</v>
      </c>
      <c r="AE19" s="1">
        <f>+AE13*'CMG baseline'!$B$11</f>
        <v>66078.119682227974</v>
      </c>
      <c r="AF19" s="1">
        <f>+AF13*'CMG baseline'!$B$11</f>
        <v>83454.458227348237</v>
      </c>
      <c r="AG19" s="1">
        <f>+AG13*'CMG baseline'!$B$11</f>
        <v>104556.94064315443</v>
      </c>
      <c r="AH19" s="1">
        <f>+AH13*'CMG baseline'!$B$11</f>
        <v>130112.44247358714</v>
      </c>
      <c r="AI19" s="1">
        <f>+AI13*'CMG baseline'!$B$11</f>
        <v>160982.0636886787</v>
      </c>
      <c r="AJ19" s="1">
        <f>+AJ13*'CMG baseline'!$B$11</f>
        <v>198185.04131264205</v>
      </c>
      <c r="AK19" s="1">
        <f>+AK13*'CMG baseline'!$B$11</f>
        <v>242926.8157907991</v>
      </c>
    </row>
    <row r="20" spans="2:227">
      <c r="B20" s="1" t="s">
        <v>33</v>
      </c>
      <c r="G20" s="1">
        <v>3566</v>
      </c>
      <c r="H20" s="1">
        <v>4484</v>
      </c>
      <c r="I20" s="1">
        <v>6175</v>
      </c>
      <c r="J20" s="8">
        <f t="shared" si="13"/>
        <v>5088</v>
      </c>
      <c r="K20" s="1">
        <v>5999</v>
      </c>
      <c r="L20" s="1">
        <v>3400</v>
      </c>
      <c r="M20" s="1">
        <v>3410</v>
      </c>
      <c r="N20" s="8">
        <f t="shared" si="10"/>
        <v>2909</v>
      </c>
      <c r="O20" s="8">
        <v>3379</v>
      </c>
      <c r="P20" s="8">
        <v>3302</v>
      </c>
      <c r="Y20" s="1">
        <v>8194</v>
      </c>
      <c r="Z20" s="1">
        <v>19313</v>
      </c>
      <c r="AA20" s="1">
        <v>15718</v>
      </c>
      <c r="AB20" s="1">
        <f t="shared" ref="AB20:AJ20" si="14">+AB$13*(AA20/AA$13)</f>
        <v>20429.243642524623</v>
      </c>
      <c r="AC20" s="1">
        <f t="shared" si="14"/>
        <v>26765.723529976203</v>
      </c>
      <c r="AD20" s="1">
        <f t="shared" si="14"/>
        <v>34543.489401706451</v>
      </c>
      <c r="AE20" s="1">
        <f t="shared" si="14"/>
        <v>44052.356255531304</v>
      </c>
      <c r="AF20" s="1">
        <f t="shared" si="14"/>
        <v>55636.654653965226</v>
      </c>
      <c r="AG20" s="1">
        <f t="shared" si="14"/>
        <v>69705.064556179859</v>
      </c>
      <c r="AH20" s="1">
        <f t="shared" si="14"/>
        <v>86742.17269934465</v>
      </c>
      <c r="AI20" s="1">
        <f t="shared" si="14"/>
        <v>107322.04933294484</v>
      </c>
      <c r="AJ20" s="1">
        <f t="shared" si="14"/>
        <v>132124.19007088986</v>
      </c>
      <c r="AK20" s="1">
        <f t="shared" ref="AK20" si="15">+AK$13*(AJ20/AJ$13)</f>
        <v>161952.22692022711</v>
      </c>
    </row>
    <row r="21" spans="2:227">
      <c r="B21" s="1" t="s">
        <v>34</v>
      </c>
      <c r="G21" s="1">
        <f>+SUM(G14:G20)</f>
        <v>174189</v>
      </c>
      <c r="H21" s="1">
        <f>+SUM(H14:H20)</f>
        <v>140024</v>
      </c>
      <c r="I21" s="1">
        <f>+SUM(I14:I20)</f>
        <v>145590</v>
      </c>
      <c r="J21" s="8">
        <f t="shared" si="13"/>
        <v>138406</v>
      </c>
      <c r="K21" s="1">
        <f t="shared" ref="K21:P21" si="16">+SUM(K14:K20)</f>
        <v>200401</v>
      </c>
      <c r="L21" s="1">
        <f t="shared" si="16"/>
        <v>164893</v>
      </c>
      <c r="M21" s="1">
        <f t="shared" si="16"/>
        <v>170476</v>
      </c>
      <c r="N21" s="1">
        <f t="shared" si="16"/>
        <v>177226</v>
      </c>
      <c r="O21" s="1">
        <f t="shared" si="16"/>
        <v>248181</v>
      </c>
      <c r="P21" s="1">
        <f t="shared" si="16"/>
        <v>216451</v>
      </c>
      <c r="Y21" s="1">
        <f>+SUM(Y14:Y20)</f>
        <v>535443</v>
      </c>
      <c r="Z21" s="1">
        <f>+SUM(Z14:Z20)</f>
        <v>598209</v>
      </c>
      <c r="AA21" s="1">
        <f>+SUM(AA14:AA20)</f>
        <v>712996</v>
      </c>
      <c r="AB21" s="1">
        <f>+SUM(AB14:AB20)</f>
        <v>810860.41563099844</v>
      </c>
      <c r="AC21" s="1">
        <f t="shared" ref="AC21:AK21" si="17">+SUM(AC14:AC20)</f>
        <v>1062362.6643232314</v>
      </c>
      <c r="AD21" s="1">
        <f t="shared" si="17"/>
        <v>1371071.2282714371</v>
      </c>
      <c r="AE21" s="1">
        <f t="shared" si="17"/>
        <v>1748489.2014568313</v>
      </c>
      <c r="AF21" s="1">
        <f t="shared" si="17"/>
        <v>2208283.4639617363</v>
      </c>
      <c r="AG21" s="1">
        <f t="shared" si="17"/>
        <v>2766674.9981853352</v>
      </c>
      <c r="AH21" s="1">
        <f t="shared" si="17"/>
        <v>3442897.6147368727</v>
      </c>
      <c r="AI21" s="1">
        <f t="shared" si="17"/>
        <v>4259736.828794701</v>
      </c>
      <c r="AJ21" s="1">
        <f t="shared" si="17"/>
        <v>5244162.6107383026</v>
      </c>
      <c r="AK21" s="1">
        <f t="shared" si="17"/>
        <v>6428072.0486171003</v>
      </c>
    </row>
    <row r="22" spans="2:227">
      <c r="B22" s="1" t="s">
        <v>35</v>
      </c>
      <c r="G22" s="1">
        <f>+G13-G21</f>
        <v>-15178</v>
      </c>
      <c r="H22" s="1">
        <f>+H13-H21</f>
        <v>-4109</v>
      </c>
      <c r="I22" s="1">
        <f>+I13-I21</f>
        <v>-6332</v>
      </c>
      <c r="J22" s="8">
        <f t="shared" si="13"/>
        <v>-8471</v>
      </c>
      <c r="K22" s="1">
        <f t="shared" ref="K22:P22" si="18">+K13-K21</f>
        <v>2682</v>
      </c>
      <c r="L22" s="1">
        <f t="shared" si="18"/>
        <v>8001</v>
      </c>
      <c r="M22" s="1">
        <f t="shared" si="18"/>
        <v>5077</v>
      </c>
      <c r="N22" s="1">
        <f t="shared" si="18"/>
        <v>-56</v>
      </c>
      <c r="O22" s="1">
        <f t="shared" si="18"/>
        <v>10825</v>
      </c>
      <c r="P22" s="1">
        <f t="shared" si="18"/>
        <v>17044</v>
      </c>
      <c r="Y22" s="1">
        <f>+Y13-Y21</f>
        <v>-35371</v>
      </c>
      <c r="Z22" s="1">
        <f>+Z13-Z21</f>
        <v>-34090</v>
      </c>
      <c r="AA22" s="1">
        <f>+AA13-AA21</f>
        <v>15704</v>
      </c>
      <c r="AB22" s="1">
        <f>+AB13-AB21</f>
        <v>136256.89206130919</v>
      </c>
      <c r="AC22" s="1">
        <f t="shared" ref="AC22:AK22" si="19">+AC13-AC21</f>
        <v>178519.30133993528</v>
      </c>
      <c r="AD22" s="1">
        <f t="shared" si="19"/>
        <v>230394.65333076962</v>
      </c>
      <c r="AE22" s="1">
        <f t="shared" si="19"/>
        <v>293815.92663870612</v>
      </c>
      <c r="AF22" s="1">
        <f t="shared" si="19"/>
        <v>371079.70223908126</v>
      </c>
      <c r="AG22" s="1">
        <f t="shared" si="19"/>
        <v>464911.75217019673</v>
      </c>
      <c r="AH22" s="1">
        <f t="shared" si="19"/>
        <v>578544.12378026918</v>
      </c>
      <c r="AI22" s="1">
        <f t="shared" si="19"/>
        <v>715805.69244953431</v>
      </c>
      <c r="AJ22" s="1">
        <f t="shared" si="19"/>
        <v>881228.4889345197</v>
      </c>
      <c r="AK22" s="1">
        <f t="shared" si="19"/>
        <v>1080172.4962848891</v>
      </c>
    </row>
    <row r="23" spans="2:227">
      <c r="B23" s="1" t="s">
        <v>43</v>
      </c>
      <c r="G23" s="1">
        <v>343</v>
      </c>
      <c r="H23" s="1">
        <v>34</v>
      </c>
      <c r="I23" s="1">
        <v>-115</v>
      </c>
      <c r="J23" s="8">
        <f t="shared" si="13"/>
        <v>-215</v>
      </c>
      <c r="K23" s="1">
        <v>25</v>
      </c>
      <c r="L23" s="1">
        <v>-699</v>
      </c>
      <c r="M23" s="1">
        <v>-3956</v>
      </c>
      <c r="N23" s="8">
        <f>+AA23-SUM(K23:M23)</f>
        <v>-4222</v>
      </c>
      <c r="O23" s="8">
        <v>-4914</v>
      </c>
      <c r="P23" s="8">
        <v>-3824</v>
      </c>
      <c r="Y23" s="1">
        <v>4810</v>
      </c>
      <c r="Z23" s="1">
        <v>47</v>
      </c>
      <c r="AA23" s="1">
        <v>-8852</v>
      </c>
      <c r="AB23" s="1">
        <f>+AB$22*(AA23/AA$22)</f>
        <v>-76805.018372816412</v>
      </c>
      <c r="AC23" s="1">
        <f t="shared" ref="AC23:AJ24" si="20">+AC$22*(AB23/AB$22)</f>
        <v>-100627.41056171084</v>
      </c>
      <c r="AD23" s="1">
        <f t="shared" si="20"/>
        <v>-129868.40749388517</v>
      </c>
      <c r="AE23" s="1">
        <f t="shared" si="20"/>
        <v>-165617.58676807352</v>
      </c>
      <c r="AF23" s="1">
        <f t="shared" si="20"/>
        <v>-209169.48065590597</v>
      </c>
      <c r="AG23" s="1">
        <f t="shared" si="20"/>
        <v>-262060.54700780576</v>
      </c>
      <c r="AH23" s="1">
        <f t="shared" si="20"/>
        <v>-326112.61995051854</v>
      </c>
      <c r="AI23" s="1">
        <f t="shared" si="20"/>
        <v>-403483.95246836968</v>
      </c>
      <c r="AJ23" s="1">
        <f t="shared" si="20"/>
        <v>-496729.15079268772</v>
      </c>
      <c r="AK23" s="1">
        <f t="shared" ref="AK23" si="21">+AK$22*(AJ23/AJ$22)</f>
        <v>-608869.51968376455</v>
      </c>
    </row>
    <row r="24" spans="2:227">
      <c r="B24" s="1" t="s">
        <v>36</v>
      </c>
      <c r="G24" s="1">
        <v>-258</v>
      </c>
      <c r="H24" s="1">
        <v>-198</v>
      </c>
      <c r="I24" s="1">
        <v>-188</v>
      </c>
      <c r="J24" s="8">
        <f t="shared" si="13"/>
        <v>-275</v>
      </c>
      <c r="K24" s="1">
        <v>-174</v>
      </c>
      <c r="L24" s="1">
        <v>-118</v>
      </c>
      <c r="M24" s="1">
        <v>-120</v>
      </c>
      <c r="N24" s="8">
        <f>+AA24-SUM(K24:M24)</f>
        <v>-59</v>
      </c>
      <c r="O24" s="8">
        <v>-78</v>
      </c>
      <c r="P24" s="8">
        <v>-60</v>
      </c>
      <c r="Y24" s="1">
        <v>-20288</v>
      </c>
      <c r="Z24" s="1">
        <v>-919</v>
      </c>
      <c r="AA24" s="1">
        <v>-471</v>
      </c>
      <c r="AB24" s="1">
        <f>+AB$22*(AA24/AA$22)</f>
        <v>-4086.6655731582164</v>
      </c>
      <c r="AC24" s="1">
        <f t="shared" si="20"/>
        <v>-5354.2149090110497</v>
      </c>
      <c r="AD24" s="1">
        <f t="shared" si="20"/>
        <v>-6910.07907022367</v>
      </c>
      <c r="AE24" s="1">
        <f t="shared" si="20"/>
        <v>-8812.2326443473394</v>
      </c>
      <c r="AF24" s="1">
        <f t="shared" si="20"/>
        <v>-11129.555511628078</v>
      </c>
      <c r="AG24" s="1">
        <f t="shared" si="20"/>
        <v>-13943.800004595183</v>
      </c>
      <c r="AH24" s="1">
        <f t="shared" si="20"/>
        <v>-17351.902846440837</v>
      </c>
      <c r="AI24" s="1">
        <f t="shared" si="20"/>
        <v>-21468.701040736807</v>
      </c>
      <c r="AJ24" s="1">
        <f t="shared" si="20"/>
        <v>-26430.120879276554</v>
      </c>
      <c r="AK24" s="1">
        <f t="shared" ref="AK24" si="22">+AK$22*(AJ24/AJ$22)</f>
        <v>-32396.920895961728</v>
      </c>
    </row>
    <row r="25" spans="2:227">
      <c r="B25" s="1" t="s">
        <v>37</v>
      </c>
      <c r="G25" s="1">
        <f>G22-SUM(G23:G24)</f>
        <v>-15263</v>
      </c>
      <c r="H25" s="1">
        <f>H22-SUM(H23:H24)</f>
        <v>-3945</v>
      </c>
      <c r="I25" s="1">
        <f>I22-SUM(I23:I24)</f>
        <v>-6029</v>
      </c>
      <c r="J25" s="8">
        <f t="shared" si="13"/>
        <v>-7981</v>
      </c>
      <c r="K25" s="1">
        <f>K22-SUM(K23:K24)</f>
        <v>2831</v>
      </c>
      <c r="L25" s="1">
        <f>L22-SUM(L23:L24)</f>
        <v>8818</v>
      </c>
      <c r="M25" s="1">
        <f>M22-SUM(M23:M24)</f>
        <v>9153</v>
      </c>
      <c r="N25" s="8">
        <f>+AA25-SUM(K25:M25)</f>
        <v>4225</v>
      </c>
      <c r="O25" s="1">
        <f>O22-SUM(O23:O24)</f>
        <v>15817</v>
      </c>
      <c r="P25" s="1">
        <f>P22-SUM(P23:P24)</f>
        <v>20928</v>
      </c>
      <c r="Y25" s="1">
        <f>Y22-SUM(Y23:Y24)</f>
        <v>-19893</v>
      </c>
      <c r="Z25" s="1">
        <f>Z22-SUM(Z23:Z24)</f>
        <v>-33218</v>
      </c>
      <c r="AA25" s="1">
        <f>AA22-SUM(AA23:AA24)</f>
        <v>25027</v>
      </c>
      <c r="AB25" s="1">
        <f>AB22-SUM(AB23:AB24)</f>
        <v>217148.57600728382</v>
      </c>
      <c r="AC25" s="1">
        <f t="shared" ref="AC25:AK25" si="23">AC22-SUM(AC23:AC24)</f>
        <v>284500.92681065714</v>
      </c>
      <c r="AD25" s="1">
        <f t="shared" si="23"/>
        <v>367173.13989487849</v>
      </c>
      <c r="AE25" s="1">
        <f t="shared" si="23"/>
        <v>468245.74605112697</v>
      </c>
      <c r="AF25" s="1">
        <f t="shared" si="23"/>
        <v>591378.73840661533</v>
      </c>
      <c r="AG25" s="1">
        <f t="shared" si="23"/>
        <v>740916.09918259759</v>
      </c>
      <c r="AH25" s="1">
        <f t="shared" si="23"/>
        <v>922008.64657722856</v>
      </c>
      <c r="AI25" s="1">
        <f t="shared" si="23"/>
        <v>1140758.3459586408</v>
      </c>
      <c r="AJ25" s="1">
        <f t="shared" si="23"/>
        <v>1404387.760606484</v>
      </c>
      <c r="AK25" s="1">
        <f t="shared" si="23"/>
        <v>1721438.9368646154</v>
      </c>
    </row>
    <row r="26" spans="2:227">
      <c r="B26" s="1" t="s">
        <v>38</v>
      </c>
      <c r="G26" s="1">
        <v>40</v>
      </c>
      <c r="H26" s="1">
        <v>56</v>
      </c>
      <c r="I26" s="1">
        <v>-29</v>
      </c>
      <c r="J26" s="8">
        <f t="shared" si="13"/>
        <v>26</v>
      </c>
      <c r="K26" s="1">
        <v>38</v>
      </c>
      <c r="L26" s="1">
        <v>40</v>
      </c>
      <c r="M26" s="1">
        <v>38</v>
      </c>
      <c r="N26" s="8">
        <f>+AA26-SUM(K26:M26)</f>
        <v>652</v>
      </c>
      <c r="O26" s="8">
        <v>252</v>
      </c>
      <c r="P26" s="8">
        <v>287</v>
      </c>
      <c r="Y26" s="1">
        <v>117</v>
      </c>
      <c r="Z26" s="1">
        <v>93</v>
      </c>
      <c r="AA26" s="1">
        <v>768</v>
      </c>
      <c r="AB26" s="1">
        <f>+AB25*(AA26/AA25)</f>
        <v>6663.6075587802761</v>
      </c>
      <c r="AC26" s="1">
        <f t="shared" ref="AC26:AK26" si="24">+AC25*(AB26/AB25)</f>
        <v>8730.4395968587796</v>
      </c>
      <c r="AD26" s="1">
        <f t="shared" si="24"/>
        <v>11267.390076288275</v>
      </c>
      <c r="AE26" s="1">
        <f t="shared" si="24"/>
        <v>14368.990808617313</v>
      </c>
      <c r="AF26" s="1">
        <f t="shared" si="24"/>
        <v>18147.55548392858</v>
      </c>
      <c r="AG26" s="1">
        <f t="shared" si="24"/>
        <v>22736.387268639268</v>
      </c>
      <c r="AH26" s="1">
        <f t="shared" si="24"/>
        <v>28293.548590374856</v>
      </c>
      <c r="AI26" s="1">
        <f t="shared" si="24"/>
        <v>35006.289595086753</v>
      </c>
      <c r="AJ26" s="1">
        <f t="shared" si="24"/>
        <v>43096.248057928628</v>
      </c>
      <c r="AK26" s="1">
        <f t="shared" si="24"/>
        <v>52825.552543733756</v>
      </c>
    </row>
    <row r="27" spans="2:227" s="4" customFormat="1">
      <c r="B27" s="4" t="s">
        <v>39</v>
      </c>
      <c r="G27" s="4">
        <f>+G25-G26</f>
        <v>-15303</v>
      </c>
      <c r="H27" s="4">
        <f>+H25-H26</f>
        <v>-4001</v>
      </c>
      <c r="I27" s="4">
        <f>+I25-I26</f>
        <v>-6000</v>
      </c>
      <c r="J27" s="4">
        <f t="shared" si="13"/>
        <v>-8007</v>
      </c>
      <c r="K27" s="4">
        <f>+K25-K26</f>
        <v>2793</v>
      </c>
      <c r="L27" s="4">
        <f>+L25-L26</f>
        <v>8778</v>
      </c>
      <c r="M27" s="4">
        <f>+M25-M26</f>
        <v>9115</v>
      </c>
      <c r="N27" s="4">
        <f>+AA27-SUM(K27:M27)</f>
        <v>3573</v>
      </c>
      <c r="O27" s="4">
        <f>+O25-O26</f>
        <v>15565</v>
      </c>
      <c r="P27" s="4">
        <f>+P25-P26</f>
        <v>20641</v>
      </c>
      <c r="Y27" s="4">
        <f>+Y25-Y26</f>
        <v>-20010</v>
      </c>
      <c r="Z27" s="4">
        <f>+Z25-Z26</f>
        <v>-33311</v>
      </c>
      <c r="AA27" s="4">
        <f>+AA25-AA26</f>
        <v>24259</v>
      </c>
      <c r="AB27" s="4">
        <f>+AB25-AB26</f>
        <v>210484.96844850355</v>
      </c>
      <c r="AC27" s="4">
        <f t="shared" ref="AC27:AK27" si="25">+AC25-AC26</f>
        <v>275770.48721379833</v>
      </c>
      <c r="AD27" s="4">
        <f t="shared" si="25"/>
        <v>355905.74981859024</v>
      </c>
      <c r="AE27" s="4">
        <f t="shared" si="25"/>
        <v>453876.75524250965</v>
      </c>
      <c r="AF27" s="4">
        <f t="shared" si="25"/>
        <v>573231.1829226868</v>
      </c>
      <c r="AG27" s="4">
        <f t="shared" si="25"/>
        <v>718179.71191395831</v>
      </c>
      <c r="AH27" s="4">
        <f t="shared" si="25"/>
        <v>893715.09798685368</v>
      </c>
      <c r="AI27" s="4">
        <f t="shared" si="25"/>
        <v>1105752.056363554</v>
      </c>
      <c r="AJ27" s="4">
        <f t="shared" si="25"/>
        <v>1361291.5125485554</v>
      </c>
      <c r="AK27" s="4">
        <f t="shared" si="25"/>
        <v>1668613.3843208817</v>
      </c>
      <c r="AL27" s="4">
        <f>+AK27*(1+$AO$32)</f>
        <v>1685299.5181640906</v>
      </c>
      <c r="AM27" s="4">
        <f>+AL27*(1+$AO$32)</f>
        <v>1702152.5133457314</v>
      </c>
      <c r="AN27" s="4">
        <f t="shared" ref="AN27:BQ27" si="26">+AM27*(1+$AO$32)</f>
        <v>1719174.0384791887</v>
      </c>
      <c r="AO27" s="4">
        <f t="shared" si="26"/>
        <v>1736365.7788639807</v>
      </c>
      <c r="AP27" s="4">
        <f t="shared" si="26"/>
        <v>1753729.4366526206</v>
      </c>
      <c r="AQ27" s="4">
        <f t="shared" si="26"/>
        <v>1771266.7310191467</v>
      </c>
      <c r="AR27" s="4">
        <f t="shared" si="26"/>
        <v>1788979.3983293383</v>
      </c>
      <c r="AS27" s="4">
        <f t="shared" si="26"/>
        <v>1806869.1923126318</v>
      </c>
      <c r="AT27" s="4">
        <f t="shared" si="26"/>
        <v>1824937.8842357581</v>
      </c>
      <c r="AU27" s="4">
        <f t="shared" si="26"/>
        <v>1843187.2630781156</v>
      </c>
      <c r="AV27" s="4">
        <f t="shared" si="26"/>
        <v>1861619.1357088969</v>
      </c>
      <c r="AW27" s="4">
        <f t="shared" si="26"/>
        <v>1880235.3270659859</v>
      </c>
      <c r="AX27" s="4">
        <f t="shared" si="26"/>
        <v>1899037.6803366458</v>
      </c>
      <c r="AY27" s="4">
        <f t="shared" si="26"/>
        <v>1918028.0571400123</v>
      </c>
      <c r="AZ27" s="4">
        <f t="shared" si="26"/>
        <v>1937208.3377114125</v>
      </c>
      <c r="BA27" s="4">
        <f t="shared" si="26"/>
        <v>1956580.4210885265</v>
      </c>
      <c r="BB27" s="4">
        <f t="shared" si="26"/>
        <v>1976146.2252994117</v>
      </c>
      <c r="BC27" s="4">
        <f t="shared" si="26"/>
        <v>1995907.6875524058</v>
      </c>
      <c r="BD27" s="4">
        <f t="shared" si="26"/>
        <v>2015866.7644279299</v>
      </c>
      <c r="BE27" s="4">
        <f t="shared" si="26"/>
        <v>2036025.4320722092</v>
      </c>
      <c r="BF27" s="4">
        <f t="shared" si="26"/>
        <v>2056385.6863929313</v>
      </c>
      <c r="BG27" s="4">
        <f t="shared" si="26"/>
        <v>2076949.5432568607</v>
      </c>
      <c r="BH27" s="4">
        <f t="shared" si="26"/>
        <v>2097719.0386894294</v>
      </c>
      <c r="BI27" s="4">
        <f t="shared" si="26"/>
        <v>2118696.2290763236</v>
      </c>
      <c r="BJ27" s="4">
        <f t="shared" si="26"/>
        <v>2139883.191367087</v>
      </c>
      <c r="BK27" s="4">
        <f t="shared" si="26"/>
        <v>2161282.0232807579</v>
      </c>
      <c r="BL27" s="4">
        <f t="shared" si="26"/>
        <v>2182894.8435135656</v>
      </c>
      <c r="BM27" s="4">
        <f t="shared" si="26"/>
        <v>2204723.7919487013</v>
      </c>
      <c r="BN27" s="4">
        <f t="shared" si="26"/>
        <v>2226771.0298681883</v>
      </c>
      <c r="BO27" s="4">
        <f t="shared" si="26"/>
        <v>2249038.7401668704</v>
      </c>
      <c r="BP27" s="4">
        <f t="shared" si="26"/>
        <v>2271529.1275685392</v>
      </c>
      <c r="BQ27" s="4">
        <f t="shared" si="26"/>
        <v>2294244.4188442244</v>
      </c>
      <c r="BR27" s="4">
        <f t="shared" ref="BR27:CW27" si="27">+BQ27*(1+$AO$32)</f>
        <v>2317186.8630326665</v>
      </c>
      <c r="BS27" s="4">
        <f t="shared" si="27"/>
        <v>2340358.7316629933</v>
      </c>
      <c r="BT27" s="4">
        <f t="shared" si="27"/>
        <v>2363762.3189796233</v>
      </c>
      <c r="BU27" s="4">
        <f t="shared" si="27"/>
        <v>2387399.9421694195</v>
      </c>
      <c r="BV27" s="4">
        <f t="shared" si="27"/>
        <v>2411273.9415911138</v>
      </c>
      <c r="BW27" s="4">
        <f t="shared" si="27"/>
        <v>2435386.6810070248</v>
      </c>
      <c r="BX27" s="4">
        <f t="shared" si="27"/>
        <v>2459740.5478170952</v>
      </c>
      <c r="BY27" s="4">
        <f t="shared" si="27"/>
        <v>2484337.9532952663</v>
      </c>
      <c r="BZ27" s="4">
        <f t="shared" si="27"/>
        <v>2509181.332828219</v>
      </c>
      <c r="CA27" s="4">
        <f t="shared" si="27"/>
        <v>2534273.1461565015</v>
      </c>
      <c r="CB27" s="4">
        <f t="shared" si="27"/>
        <v>2559615.8776180665</v>
      </c>
      <c r="CC27" s="4">
        <f t="shared" si="27"/>
        <v>2585212.0363942473</v>
      </c>
      <c r="CD27" s="4">
        <f t="shared" si="27"/>
        <v>2611064.1567581897</v>
      </c>
      <c r="CE27" s="4">
        <f t="shared" si="27"/>
        <v>2637174.7983257715</v>
      </c>
      <c r="CF27" s="4">
        <f t="shared" si="27"/>
        <v>2663546.5463090292</v>
      </c>
      <c r="CG27" s="4">
        <f t="shared" si="27"/>
        <v>2690182.0117721194</v>
      </c>
      <c r="CH27" s="4">
        <f t="shared" si="27"/>
        <v>2717083.8318898408</v>
      </c>
      <c r="CI27" s="4">
        <f t="shared" si="27"/>
        <v>2744254.6702087391</v>
      </c>
      <c r="CJ27" s="4">
        <f t="shared" si="27"/>
        <v>2771697.2169108265</v>
      </c>
      <c r="CK27" s="4">
        <f t="shared" si="27"/>
        <v>2799414.1890799347</v>
      </c>
      <c r="CL27" s="4">
        <f t="shared" si="27"/>
        <v>2827408.3309707339</v>
      </c>
      <c r="CM27" s="4">
        <f t="shared" si="27"/>
        <v>2855682.4142804411</v>
      </c>
      <c r="CN27" s="4">
        <f t="shared" si="27"/>
        <v>2884239.2384232455</v>
      </c>
      <c r="CO27" s="4">
        <f t="shared" si="27"/>
        <v>2913081.630807478</v>
      </c>
      <c r="CP27" s="4">
        <f t="shared" si="27"/>
        <v>2942212.4471155526</v>
      </c>
      <c r="CQ27" s="4">
        <f t="shared" si="27"/>
        <v>2971634.5715867081</v>
      </c>
      <c r="CR27" s="4">
        <f t="shared" si="27"/>
        <v>3001350.917302575</v>
      </c>
      <c r="CS27" s="4">
        <f t="shared" si="27"/>
        <v>3031364.4264756008</v>
      </c>
      <c r="CT27" s="4">
        <f t="shared" si="27"/>
        <v>3061678.070740357</v>
      </c>
      <c r="CU27" s="4">
        <f t="shared" si="27"/>
        <v>3092294.8514477606</v>
      </c>
      <c r="CV27" s="4">
        <f t="shared" si="27"/>
        <v>3123217.7999622384</v>
      </c>
      <c r="CW27" s="4">
        <f t="shared" si="27"/>
        <v>3154449.9779618606</v>
      </c>
      <c r="CX27" s="4">
        <f t="shared" ref="CX27:EC27" si="28">+CW27*(1+$AO$32)</f>
        <v>3185994.4777414794</v>
      </c>
      <c r="CY27" s="4">
        <f t="shared" si="28"/>
        <v>3217854.4225188941</v>
      </c>
      <c r="CZ27" s="4">
        <f t="shared" si="28"/>
        <v>3250032.966744083</v>
      </c>
      <c r="DA27" s="4">
        <f t="shared" si="28"/>
        <v>3282533.2964115241</v>
      </c>
      <c r="DB27" s="4">
        <f t="shared" si="28"/>
        <v>3315358.6293756394</v>
      </c>
      <c r="DC27" s="4">
        <f t="shared" si="28"/>
        <v>3348512.2156693959</v>
      </c>
      <c r="DD27" s="4">
        <f t="shared" si="28"/>
        <v>3381997.3378260899</v>
      </c>
      <c r="DE27" s="4">
        <f t="shared" si="28"/>
        <v>3415817.311204351</v>
      </c>
      <c r="DF27" s="4">
        <f t="shared" si="28"/>
        <v>3449975.4843163947</v>
      </c>
      <c r="DG27" s="4">
        <f t="shared" si="28"/>
        <v>3484475.2391595584</v>
      </c>
      <c r="DH27" s="4">
        <f t="shared" si="28"/>
        <v>3519319.9915511538</v>
      </c>
      <c r="DI27" s="4">
        <f t="shared" si="28"/>
        <v>3554513.1914666654</v>
      </c>
      <c r="DJ27" s="4">
        <f t="shared" si="28"/>
        <v>3590058.3233813322</v>
      </c>
      <c r="DK27" s="4">
        <f t="shared" si="28"/>
        <v>3625958.9066151455</v>
      </c>
      <c r="DL27" s="4">
        <f t="shared" si="28"/>
        <v>3662218.495681297</v>
      </c>
      <c r="DM27" s="4">
        <f t="shared" si="28"/>
        <v>3698840.6806381103</v>
      </c>
      <c r="DN27" s="4">
        <f t="shared" si="28"/>
        <v>3735829.0874444912</v>
      </c>
      <c r="DO27" s="4">
        <f t="shared" si="28"/>
        <v>3773187.3783189361</v>
      </c>
      <c r="DP27" s="4">
        <f t="shared" si="28"/>
        <v>3810919.2521021254</v>
      </c>
      <c r="DQ27" s="4">
        <f t="shared" si="28"/>
        <v>3849028.4446231467</v>
      </c>
      <c r="DR27" s="4">
        <f t="shared" si="28"/>
        <v>3887518.7290693782</v>
      </c>
      <c r="DS27" s="4">
        <f t="shared" si="28"/>
        <v>3926393.9163600719</v>
      </c>
      <c r="DT27" s="4">
        <f t="shared" si="28"/>
        <v>3965657.8555236724</v>
      </c>
      <c r="DU27" s="4">
        <f t="shared" si="28"/>
        <v>4005314.434078909</v>
      </c>
      <c r="DV27" s="4">
        <f t="shared" si="28"/>
        <v>4045367.5784196979</v>
      </c>
      <c r="DW27" s="4">
        <f t="shared" si="28"/>
        <v>4085821.2542038951</v>
      </c>
      <c r="DX27" s="4">
        <f t="shared" si="28"/>
        <v>4126679.466745934</v>
      </c>
      <c r="DY27" s="4">
        <f t="shared" si="28"/>
        <v>4167946.2614133935</v>
      </c>
      <c r="DZ27" s="4">
        <f t="shared" si="28"/>
        <v>4209625.7240275275</v>
      </c>
      <c r="EA27" s="4">
        <f t="shared" si="28"/>
        <v>4251721.9812678024</v>
      </c>
      <c r="EB27" s="4">
        <f t="shared" si="28"/>
        <v>4294239.2010804806</v>
      </c>
      <c r="EC27" s="4">
        <f t="shared" si="28"/>
        <v>4337181.5930912858</v>
      </c>
      <c r="ED27" s="4">
        <f t="shared" ref="ED27:FI27" si="29">+EC27*(1+$AO$32)</f>
        <v>4380553.409022199</v>
      </c>
      <c r="EE27" s="4">
        <f t="shared" si="29"/>
        <v>4424358.9431124208</v>
      </c>
      <c r="EF27" s="4">
        <f t="shared" si="29"/>
        <v>4468602.5325435447</v>
      </c>
      <c r="EG27" s="4">
        <f t="shared" si="29"/>
        <v>4513288.5578689799</v>
      </c>
      <c r="EH27" s="4">
        <f t="shared" si="29"/>
        <v>4558421.44344767</v>
      </c>
      <c r="EI27" s="4">
        <f t="shared" si="29"/>
        <v>4604005.6578821465</v>
      </c>
      <c r="EJ27" s="4">
        <f t="shared" si="29"/>
        <v>4650045.714460968</v>
      </c>
      <c r="EK27" s="4">
        <f t="shared" si="29"/>
        <v>4696546.1716055777</v>
      </c>
      <c r="EL27" s="4">
        <f t="shared" si="29"/>
        <v>4743511.6333216336</v>
      </c>
      <c r="EM27" s="4">
        <f t="shared" si="29"/>
        <v>4790946.74965485</v>
      </c>
      <c r="EN27" s="4">
        <f t="shared" si="29"/>
        <v>4838856.2171513988</v>
      </c>
      <c r="EO27" s="4">
        <f t="shared" si="29"/>
        <v>4887244.7793229129</v>
      </c>
      <c r="EP27" s="4">
        <f t="shared" si="29"/>
        <v>4936117.2271161424</v>
      </c>
      <c r="EQ27" s="4">
        <f t="shared" si="29"/>
        <v>4985478.3993873037</v>
      </c>
      <c r="ER27" s="4">
        <f t="shared" si="29"/>
        <v>5035333.1833811766</v>
      </c>
      <c r="ES27" s="4">
        <f t="shared" si="29"/>
        <v>5085686.515214988</v>
      </c>
      <c r="ET27" s="4">
        <f t="shared" si="29"/>
        <v>5136543.3803671375</v>
      </c>
      <c r="EU27" s="4">
        <f t="shared" si="29"/>
        <v>5187908.8141708085</v>
      </c>
      <c r="EV27" s="4">
        <f t="shared" si="29"/>
        <v>5239787.9023125162</v>
      </c>
      <c r="EW27" s="4">
        <f t="shared" si="29"/>
        <v>5292185.7813356416</v>
      </c>
      <c r="EX27" s="4">
        <f t="shared" si="29"/>
        <v>5345107.6391489981</v>
      </c>
      <c r="EY27" s="4">
        <f t="shared" si="29"/>
        <v>5398558.7155404883</v>
      </c>
      <c r="EZ27" s="4">
        <f t="shared" si="29"/>
        <v>5452544.3026958928</v>
      </c>
      <c r="FA27" s="4">
        <f t="shared" si="29"/>
        <v>5507069.7457228517</v>
      </c>
      <c r="FB27" s="4">
        <f t="shared" si="29"/>
        <v>5562140.4431800805</v>
      </c>
      <c r="FC27" s="4">
        <f t="shared" si="29"/>
        <v>5617761.8476118818</v>
      </c>
      <c r="FD27" s="4">
        <f t="shared" si="29"/>
        <v>5673939.4660880007</v>
      </c>
      <c r="FE27" s="4">
        <f t="shared" si="29"/>
        <v>5730678.8607488805</v>
      </c>
      <c r="FF27" s="4">
        <f t="shared" si="29"/>
        <v>5787985.6493563699</v>
      </c>
      <c r="FG27" s="4">
        <f t="shared" si="29"/>
        <v>5845865.5058499333</v>
      </c>
      <c r="FH27" s="4">
        <f t="shared" si="29"/>
        <v>5904324.1609084327</v>
      </c>
      <c r="FI27" s="4">
        <f t="shared" si="29"/>
        <v>5963367.4025175171</v>
      </c>
      <c r="FJ27" s="4">
        <f t="shared" ref="FJ27:GO27" si="30">+FI27*(1+$AO$32)</f>
        <v>6023001.0765426923</v>
      </c>
      <c r="FK27" s="4">
        <f t="shared" si="30"/>
        <v>6083231.0873081191</v>
      </c>
      <c r="FL27" s="4">
        <f t="shared" si="30"/>
        <v>6144063.3981812</v>
      </c>
      <c r="FM27" s="4">
        <f t="shared" si="30"/>
        <v>6205504.0321630118</v>
      </c>
      <c r="FN27" s="4">
        <f t="shared" si="30"/>
        <v>6267559.0724846423</v>
      </c>
      <c r="FO27" s="4">
        <f t="shared" si="30"/>
        <v>6330234.6632094886</v>
      </c>
      <c r="FP27" s="4">
        <f t="shared" si="30"/>
        <v>6393537.0098415837</v>
      </c>
      <c r="FQ27" s="4">
        <f t="shared" si="30"/>
        <v>6457472.3799399994</v>
      </c>
      <c r="FR27" s="4">
        <f t="shared" si="30"/>
        <v>6522047.1037393995</v>
      </c>
      <c r="FS27" s="4">
        <f t="shared" si="30"/>
        <v>6587267.5747767938</v>
      </c>
      <c r="FT27" s="4">
        <f t="shared" si="30"/>
        <v>6653140.2505245619</v>
      </c>
      <c r="FU27" s="4">
        <f t="shared" si="30"/>
        <v>6719671.6530298078</v>
      </c>
      <c r="FV27" s="4">
        <f t="shared" si="30"/>
        <v>6786868.3695601057</v>
      </c>
      <c r="FW27" s="4">
        <f t="shared" si="30"/>
        <v>6854737.053255707</v>
      </c>
      <c r="FX27" s="4">
        <f t="shared" si="30"/>
        <v>6923284.4237882644</v>
      </c>
      <c r="FY27" s="4">
        <f t="shared" si="30"/>
        <v>6992517.268026147</v>
      </c>
      <c r="FZ27" s="4">
        <f t="shared" si="30"/>
        <v>7062442.4407064086</v>
      </c>
      <c r="GA27" s="4">
        <f t="shared" si="30"/>
        <v>7133066.8651134726</v>
      </c>
      <c r="GB27" s="4">
        <f t="shared" si="30"/>
        <v>7204397.5337646073</v>
      </c>
      <c r="GC27" s="4">
        <f t="shared" si="30"/>
        <v>7276441.5091022532</v>
      </c>
      <c r="GD27" s="4">
        <f t="shared" si="30"/>
        <v>7349205.9241932761</v>
      </c>
      <c r="GE27" s="4">
        <f t="shared" si="30"/>
        <v>7422697.9834352089</v>
      </c>
      <c r="GF27" s="4">
        <f t="shared" si="30"/>
        <v>7496924.9632695615</v>
      </c>
      <c r="GG27" s="4">
        <f t="shared" si="30"/>
        <v>7571894.2129022572</v>
      </c>
      <c r="GH27" s="4">
        <f t="shared" si="30"/>
        <v>7647613.1550312797</v>
      </c>
      <c r="GI27" s="4">
        <f t="shared" si="30"/>
        <v>7724089.2865815926</v>
      </c>
      <c r="GJ27" s="4">
        <f t="shared" si="30"/>
        <v>7801330.1794474088</v>
      </c>
      <c r="GK27" s="4">
        <f t="shared" si="30"/>
        <v>7879343.4812418828</v>
      </c>
      <c r="GL27" s="4">
        <f t="shared" si="30"/>
        <v>7958136.9160543019</v>
      </c>
      <c r="GM27" s="4">
        <f t="shared" si="30"/>
        <v>8037718.2852148451</v>
      </c>
      <c r="GN27" s="4">
        <f t="shared" si="30"/>
        <v>8118095.4680669932</v>
      </c>
      <c r="GO27" s="4">
        <f t="shared" si="30"/>
        <v>8199276.4227476632</v>
      </c>
      <c r="GP27" s="4">
        <f t="shared" ref="GP27:HS27" si="31">+GO27*(1+$AO$32)</f>
        <v>8281269.1869751401</v>
      </c>
      <c r="GQ27" s="4">
        <f t="shared" si="31"/>
        <v>8364081.8788448917</v>
      </c>
      <c r="GR27" s="4">
        <f t="shared" si="31"/>
        <v>8447722.697633341</v>
      </c>
      <c r="GS27" s="4">
        <f t="shared" si="31"/>
        <v>8532199.9246096741</v>
      </c>
      <c r="GT27" s="4">
        <f t="shared" si="31"/>
        <v>8617521.9238557704</v>
      </c>
      <c r="GU27" s="4">
        <f t="shared" si="31"/>
        <v>8703697.1430943273</v>
      </c>
      <c r="GV27" s="4">
        <f t="shared" si="31"/>
        <v>8790734.1145252716</v>
      </c>
      <c r="GW27" s="4">
        <f t="shared" si="31"/>
        <v>8878641.4556705244</v>
      </c>
      <c r="GX27" s="4">
        <f t="shared" si="31"/>
        <v>8967427.8702272289</v>
      </c>
      <c r="GY27" s="4">
        <f t="shared" si="31"/>
        <v>9057102.148929501</v>
      </c>
      <c r="GZ27" s="4">
        <f t="shared" si="31"/>
        <v>9147673.1704187952</v>
      </c>
      <c r="HA27" s="4">
        <f t="shared" si="31"/>
        <v>9239149.9021229837</v>
      </c>
      <c r="HB27" s="4">
        <f t="shared" si="31"/>
        <v>9331541.401144214</v>
      </c>
      <c r="HC27" s="4">
        <f t="shared" si="31"/>
        <v>9424856.815155657</v>
      </c>
      <c r="HD27" s="4">
        <f t="shared" si="31"/>
        <v>9519105.383307213</v>
      </c>
      <c r="HE27" s="4">
        <f t="shared" si="31"/>
        <v>9614296.437140286</v>
      </c>
      <c r="HF27" s="4">
        <f t="shared" si="31"/>
        <v>9710439.4015116896</v>
      </c>
      <c r="HG27" s="4">
        <f t="shared" si="31"/>
        <v>9807543.7955268063</v>
      </c>
      <c r="HH27" s="4">
        <f t="shared" si="31"/>
        <v>9905619.233482074</v>
      </c>
      <c r="HI27" s="4">
        <f t="shared" si="31"/>
        <v>10004675.425816895</v>
      </c>
      <c r="HJ27" s="4">
        <f t="shared" si="31"/>
        <v>10104722.180075064</v>
      </c>
      <c r="HK27" s="4">
        <f t="shared" si="31"/>
        <v>10205769.401875814</v>
      </c>
      <c r="HL27" s="4">
        <f t="shared" si="31"/>
        <v>10307827.095894573</v>
      </c>
      <c r="HM27" s="4">
        <f t="shared" si="31"/>
        <v>10410905.366853518</v>
      </c>
      <c r="HN27" s="4">
        <f t="shared" si="31"/>
        <v>10515014.420522053</v>
      </c>
      <c r="HO27" s="4">
        <f t="shared" si="31"/>
        <v>10620164.564727273</v>
      </c>
      <c r="HP27" s="4">
        <f t="shared" si="31"/>
        <v>10726366.210374545</v>
      </c>
      <c r="HQ27" s="4">
        <f t="shared" si="31"/>
        <v>10833629.872478291</v>
      </c>
      <c r="HR27" s="4">
        <f t="shared" si="31"/>
        <v>10941966.171203075</v>
      </c>
      <c r="HS27" s="4">
        <f t="shared" si="31"/>
        <v>11051385.832915105</v>
      </c>
    </row>
    <row r="28" spans="2:227">
      <c r="B28" s="1" t="s">
        <v>40</v>
      </c>
      <c r="H28" s="1">
        <v>1322</v>
      </c>
      <c r="I28" s="1">
        <v>1327</v>
      </c>
      <c r="L28" s="1">
        <v>31279</v>
      </c>
      <c r="M28" s="1">
        <v>117713</v>
      </c>
      <c r="N28" s="8">
        <f>+N27/N29</f>
        <v>147188.89738539897</v>
      </c>
      <c r="O28" s="8">
        <v>117936</v>
      </c>
      <c r="P28" s="8">
        <v>118291</v>
      </c>
      <c r="Y28" s="1">
        <v>732</v>
      </c>
      <c r="Z28" s="1">
        <v>1328</v>
      </c>
      <c r="AA28" s="1">
        <v>63448</v>
      </c>
      <c r="AB28" s="1">
        <f>+AA28</f>
        <v>63448</v>
      </c>
      <c r="AC28" s="1">
        <f t="shared" ref="AC28:AJ28" si="32">+AB28</f>
        <v>63448</v>
      </c>
      <c r="AD28" s="1">
        <f t="shared" si="32"/>
        <v>63448</v>
      </c>
      <c r="AE28" s="1">
        <f t="shared" si="32"/>
        <v>63448</v>
      </c>
      <c r="AF28" s="1">
        <f t="shared" si="32"/>
        <v>63448</v>
      </c>
      <c r="AG28" s="1">
        <f t="shared" si="32"/>
        <v>63448</v>
      </c>
      <c r="AH28" s="1">
        <f t="shared" si="32"/>
        <v>63448</v>
      </c>
      <c r="AI28" s="1">
        <f t="shared" si="32"/>
        <v>63448</v>
      </c>
      <c r="AJ28" s="1">
        <f t="shared" si="32"/>
        <v>63448</v>
      </c>
      <c r="AK28" s="1">
        <f t="shared" ref="AK28" si="33">+AJ28</f>
        <v>63448</v>
      </c>
    </row>
    <row r="29" spans="2:227" s="12" customFormat="1">
      <c r="B29" s="12" t="s">
        <v>41</v>
      </c>
      <c r="H29" s="12">
        <f>+H27/H28</f>
        <v>-3.0264750378214824</v>
      </c>
      <c r="I29" s="12">
        <f>+I27/I28</f>
        <v>-4.5214770158251696</v>
      </c>
      <c r="L29" s="12">
        <f>+L27/L28</f>
        <v>0.28063557019086288</v>
      </c>
      <c r="M29" s="12">
        <f>+M27/M28</f>
        <v>7.743409818796565E-2</v>
      </c>
      <c r="N29" s="13">
        <f>+AA29-SUM(K29:M29)</f>
        <v>2.4274928771593873E-2</v>
      </c>
      <c r="O29" s="12">
        <f>+O27/O28</f>
        <v>0.13197836114502781</v>
      </c>
      <c r="P29" s="12">
        <f>+P27/P28</f>
        <v>0.17449341031862103</v>
      </c>
      <c r="Y29" s="12">
        <f>+Y27/Y28</f>
        <v>-27.33606557377049</v>
      </c>
      <c r="Z29" s="12">
        <f>+Z27/Z28</f>
        <v>-25.083584337349397</v>
      </c>
      <c r="AA29" s="12">
        <f>+AA27/AA28</f>
        <v>0.38234459715042241</v>
      </c>
      <c r="AB29" s="12">
        <f>+AB27/AB28</f>
        <v>3.3174405568103573</v>
      </c>
      <c r="AC29" s="12">
        <f t="shared" ref="AC29:AK29" si="34">+AC27/AC28</f>
        <v>4.3464015763112842</v>
      </c>
      <c r="AD29" s="12">
        <f t="shared" si="34"/>
        <v>5.609408489134255</v>
      </c>
      <c r="AE29" s="12">
        <f t="shared" si="34"/>
        <v>7.1535234403371213</v>
      </c>
      <c r="AF29" s="12">
        <f t="shared" si="34"/>
        <v>9.0346611858953292</v>
      </c>
      <c r="AG29" s="12">
        <f t="shared" si="34"/>
        <v>11.319185977713376</v>
      </c>
      <c r="AH29" s="12">
        <f t="shared" si="34"/>
        <v>14.085788330394239</v>
      </c>
      <c r="AI29" s="12">
        <f t="shared" si="34"/>
        <v>17.427689704380814</v>
      </c>
      <c r="AJ29" s="12">
        <f t="shared" si="34"/>
        <v>21.455231253129419</v>
      </c>
      <c r="AK29" s="12">
        <f t="shared" si="34"/>
        <v>26.298912248154107</v>
      </c>
    </row>
    <row r="30" spans="2:227">
      <c r="Q30" s="1" t="s">
        <v>70</v>
      </c>
    </row>
    <row r="31" spans="2:227">
      <c r="B31" s="1" t="s">
        <v>84</v>
      </c>
    </row>
    <row r="32" spans="2:227">
      <c r="B32" s="7" t="s">
        <v>49</v>
      </c>
      <c r="AN32" s="1" t="s">
        <v>89</v>
      </c>
      <c r="AO32" s="5">
        <v>0.01</v>
      </c>
    </row>
    <row r="33" spans="2:41" s="5" customFormat="1">
      <c r="B33" s="1" t="s">
        <v>46</v>
      </c>
      <c r="L33" s="5">
        <f>+L10/H10-1</f>
        <v>0.62436032546260689</v>
      </c>
      <c r="M33" s="5">
        <f>+M10/I10-1</f>
        <v>0.49517695954841545</v>
      </c>
      <c r="AA33" s="5">
        <f>+AA10/Z10-1</f>
        <v>0.59843958983504231</v>
      </c>
      <c r="AN33" s="5" t="s">
        <v>90</v>
      </c>
      <c r="AO33" s="15">
        <v>0.08</v>
      </c>
    </row>
    <row r="34" spans="2:41" s="5" customFormat="1">
      <c r="B34" s="1" t="s">
        <v>44</v>
      </c>
      <c r="L34" s="5">
        <f t="shared" ref="L34:P36" si="35">+L11/H11-1</f>
        <v>-1</v>
      </c>
      <c r="M34" s="5">
        <f t="shared" si="35"/>
        <v>-1</v>
      </c>
      <c r="AN34" s="5" t="s">
        <v>91</v>
      </c>
      <c r="AO34" s="9">
        <f>+NPV(AO33,AB27:HM27)</f>
        <v>15614585.970716994</v>
      </c>
    </row>
    <row r="35" spans="2:41" s="5" customFormat="1">
      <c r="B35" s="1" t="s">
        <v>45</v>
      </c>
      <c r="L35" s="5">
        <f t="shared" si="35"/>
        <v>2.2662889518413554E-2</v>
      </c>
      <c r="M35" s="5">
        <f t="shared" si="35"/>
        <v>0.11221326720396774</v>
      </c>
      <c r="AN35" s="5" t="s">
        <v>17</v>
      </c>
      <c r="AO35" s="1">
        <f>+Main!K5*1000</f>
        <v>114028.23300000001</v>
      </c>
    </row>
    <row r="36" spans="2:41" s="5" customFormat="1">
      <c r="B36" s="4" t="s">
        <v>26</v>
      </c>
      <c r="K36" s="5">
        <f t="shared" ref="K36" si="36">+K13/G13-1</f>
        <v>0.27716321512348197</v>
      </c>
      <c r="L36" s="5">
        <f t="shared" si="35"/>
        <v>0.27207445830114407</v>
      </c>
      <c r="M36" s="5">
        <f t="shared" si="35"/>
        <v>0.26063134613451289</v>
      </c>
      <c r="N36" s="5">
        <f t="shared" si="35"/>
        <v>0.36352791780505633</v>
      </c>
      <c r="O36" s="5">
        <f t="shared" si="35"/>
        <v>0.2753701688472201</v>
      </c>
      <c r="P36" s="5">
        <f t="shared" si="35"/>
        <v>0.35050956077133977</v>
      </c>
      <c r="Z36" s="5">
        <f t="shared" ref="Z36:AK36" si="37">+Z13/Y13-1</f>
        <v>0.1280755571197747</v>
      </c>
      <c r="AA36" s="5">
        <f t="shared" si="37"/>
        <v>0.29174872677573349</v>
      </c>
      <c r="AB36" s="5">
        <f t="shared" si="37"/>
        <v>0.29973556702663329</v>
      </c>
      <c r="AC36" s="5">
        <f t="shared" si="37"/>
        <v>0.31016713091921999</v>
      </c>
      <c r="AD36" s="5">
        <f t="shared" si="37"/>
        <v>0.29058679706601476</v>
      </c>
      <c r="AE36" s="5">
        <f t="shared" si="37"/>
        <v>0.27527233115468408</v>
      </c>
      <c r="AF36" s="5">
        <f t="shared" si="37"/>
        <v>0.2629666011787819</v>
      </c>
      <c r="AG36" s="5">
        <f t="shared" si="37"/>
        <v>0.25286225402504448</v>
      </c>
      <c r="AH36" s="5">
        <f t="shared" si="37"/>
        <v>0.24441707717569772</v>
      </c>
      <c r="AI36" s="5">
        <f t="shared" si="37"/>
        <v>0.23725341426403612</v>
      </c>
      <c r="AJ36" s="5">
        <f t="shared" si="37"/>
        <v>0.23110014104372367</v>
      </c>
      <c r="AK36" s="5">
        <f t="shared" si="37"/>
        <v>0.2257575757575756</v>
      </c>
      <c r="AN36" s="10" t="s">
        <v>92</v>
      </c>
      <c r="AO36" s="11">
        <f>+AO34/AO35</f>
        <v>136.93613905879778</v>
      </c>
    </row>
    <row r="37" spans="2:41">
      <c r="AN37" s="1" t="s">
        <v>94</v>
      </c>
      <c r="AO37" s="1">
        <f>+Main!K4</f>
        <v>111.12</v>
      </c>
    </row>
    <row r="38" spans="2:41">
      <c r="B38" s="1" t="s">
        <v>47</v>
      </c>
      <c r="AA38" s="5">
        <f>+AA22/AA13</f>
        <v>2.1550706738026622E-2</v>
      </c>
      <c r="AN38" s="1" t="s">
        <v>93</v>
      </c>
      <c r="AO38" s="5">
        <f>+AO36/AO37-1</f>
        <v>0.23232666539594837</v>
      </c>
    </row>
    <row r="39" spans="2:41">
      <c r="H39" s="5"/>
      <c r="I39" s="5"/>
      <c r="L39" s="5"/>
      <c r="M39" s="5"/>
      <c r="N39" s="5"/>
      <c r="O39" s="5"/>
      <c r="P39" s="5">
        <f>61265/P13</f>
        <v>0.26238249213045245</v>
      </c>
    </row>
    <row r="41" spans="2:41">
      <c r="G41" s="5"/>
      <c r="H41" s="5"/>
      <c r="I41" s="5"/>
      <c r="J41" s="5"/>
      <c r="K41" s="5"/>
      <c r="L41" s="5"/>
      <c r="M41" s="5"/>
      <c r="N41" s="5"/>
      <c r="O41" s="5"/>
      <c r="P41" s="5"/>
    </row>
    <row r="45" spans="2:41">
      <c r="AN45" s="1" t="s">
        <v>21</v>
      </c>
      <c r="AO45" s="1">
        <f>+Main!K9*1000</f>
        <v>12341700.25096</v>
      </c>
    </row>
    <row r="46" spans="2:41">
      <c r="B46" s="1" t="s">
        <v>19</v>
      </c>
      <c r="J46" s="1">
        <v>39125</v>
      </c>
      <c r="L46" s="1">
        <v>352845</v>
      </c>
      <c r="M46" s="1">
        <v>340399</v>
      </c>
      <c r="N46" s="1">
        <v>332428</v>
      </c>
      <c r="AN46" s="1" t="s">
        <v>107</v>
      </c>
      <c r="AO46" s="1">
        <f>+$AO$45/AB27</f>
        <v>58.634592018286916</v>
      </c>
    </row>
    <row r="47" spans="2:41">
      <c r="B47" s="1" t="s">
        <v>61</v>
      </c>
      <c r="J47" s="1">
        <v>2827</v>
      </c>
      <c r="L47" s="1">
        <v>4326</v>
      </c>
      <c r="M47" s="1">
        <v>5192</v>
      </c>
      <c r="N47" s="1">
        <v>3662</v>
      </c>
      <c r="AN47" s="1" t="s">
        <v>108</v>
      </c>
      <c r="AO47" s="1">
        <f>+$AO$45/AC27</f>
        <v>44.753520855883941</v>
      </c>
    </row>
    <row r="48" spans="2:41">
      <c r="B48" s="1" t="s">
        <v>62</v>
      </c>
      <c r="J48" s="1">
        <v>4908</v>
      </c>
      <c r="L48" s="1">
        <v>7552</v>
      </c>
      <c r="M48" s="1">
        <v>7500</v>
      </c>
      <c r="N48" s="1">
        <v>8223</v>
      </c>
    </row>
    <row r="49" spans="2:14">
      <c r="B49" s="1" t="s">
        <v>63</v>
      </c>
      <c r="J49" s="1">
        <v>5139</v>
      </c>
      <c r="L49" s="1">
        <v>5357</v>
      </c>
      <c r="M49" s="1">
        <v>5726</v>
      </c>
      <c r="N49" s="1">
        <v>5637</v>
      </c>
    </row>
    <row r="50" spans="2:14">
      <c r="B50" s="1" t="s">
        <v>64</v>
      </c>
      <c r="J50" s="1">
        <v>6151</v>
      </c>
      <c r="L50" s="1">
        <v>4534</v>
      </c>
      <c r="M50" s="1">
        <v>4832</v>
      </c>
      <c r="N50" s="1">
        <v>4962</v>
      </c>
    </row>
    <row r="51" spans="2:14">
      <c r="B51" s="1" t="s">
        <v>65</v>
      </c>
      <c r="J51" s="1">
        <v>242983</v>
      </c>
      <c r="L51" s="1">
        <v>298318</v>
      </c>
      <c r="M51" s="1">
        <v>316086</v>
      </c>
      <c r="N51" s="1">
        <v>330730</v>
      </c>
    </row>
    <row r="52" spans="2:14">
      <c r="B52" s="1" t="s">
        <v>57</v>
      </c>
      <c r="J52" s="1">
        <v>273876</v>
      </c>
      <c r="L52" s="1">
        <v>289126</v>
      </c>
      <c r="M52" s="1">
        <v>297031</v>
      </c>
      <c r="N52" s="1">
        <v>289451</v>
      </c>
    </row>
    <row r="53" spans="2:14">
      <c r="B53" s="1" t="s">
        <v>66</v>
      </c>
      <c r="J53" s="1">
        <v>1944</v>
      </c>
      <c r="L53" s="1">
        <v>1944</v>
      </c>
      <c r="M53" s="1">
        <v>1944</v>
      </c>
      <c r="N53" s="1">
        <v>1944</v>
      </c>
    </row>
    <row r="54" spans="2:14">
      <c r="B54" s="1" t="s">
        <v>67</v>
      </c>
      <c r="J54" s="1">
        <v>1382</v>
      </c>
      <c r="L54" s="1">
        <v>1355</v>
      </c>
      <c r="M54" s="1">
        <v>1355</v>
      </c>
      <c r="N54" s="1">
        <v>1355</v>
      </c>
    </row>
    <row r="55" spans="2:14">
      <c r="B55" s="1" t="s">
        <v>68</v>
      </c>
      <c r="J55" s="1">
        <v>5548</v>
      </c>
      <c r="L55" s="1">
        <v>5018</v>
      </c>
      <c r="M55" s="1">
        <v>4909</v>
      </c>
      <c r="N55" s="1">
        <v>5365</v>
      </c>
    </row>
    <row r="56" spans="2:14" s="4" customFormat="1">
      <c r="B56" s="4" t="s">
        <v>60</v>
      </c>
      <c r="J56" s="4">
        <f>+SUM(J46:J55)</f>
        <v>583883</v>
      </c>
      <c r="L56" s="4">
        <f>+SUM(L46:L55)</f>
        <v>970375</v>
      </c>
      <c r="M56" s="4">
        <f>+SUM(M46:M55)</f>
        <v>984974</v>
      </c>
      <c r="N56" s="4">
        <f>+SUM(N46:N55)</f>
        <v>983757</v>
      </c>
    </row>
    <row r="58" spans="2:14">
      <c r="B58" s="1" t="s">
        <v>53</v>
      </c>
      <c r="J58" s="1">
        <v>14311</v>
      </c>
      <c r="L58" s="1">
        <v>14204</v>
      </c>
      <c r="M58" s="1">
        <v>13568</v>
      </c>
      <c r="N58" s="1">
        <v>17234</v>
      </c>
    </row>
    <row r="59" spans="2:14">
      <c r="B59" s="1" t="s">
        <v>54</v>
      </c>
      <c r="J59" s="1">
        <v>40468</v>
      </c>
      <c r="L59" s="1">
        <v>66388</v>
      </c>
      <c r="M59" s="1">
        <v>62997</v>
      </c>
      <c r="N59" s="1">
        <v>59219</v>
      </c>
    </row>
    <row r="60" spans="2:14">
      <c r="B60" s="1" t="s">
        <v>55</v>
      </c>
      <c r="J60" s="1">
        <v>29539</v>
      </c>
      <c r="L60" s="1">
        <v>34106</v>
      </c>
      <c r="M60" s="1">
        <v>36366</v>
      </c>
      <c r="N60" s="1">
        <v>32583</v>
      </c>
    </row>
    <row r="61" spans="2:14">
      <c r="B61" s="1" t="s">
        <v>56</v>
      </c>
      <c r="J61" s="1">
        <v>28</v>
      </c>
      <c r="L61" s="1">
        <v>28</v>
      </c>
      <c r="M61" s="1">
        <v>28</v>
      </c>
      <c r="N61" s="1">
        <v>79</v>
      </c>
    </row>
    <row r="62" spans="2:14">
      <c r="B62" s="1" t="s">
        <v>57</v>
      </c>
      <c r="J62" s="1">
        <v>285194</v>
      </c>
      <c r="L62" s="1">
        <v>299473</v>
      </c>
      <c r="M62" s="1">
        <v>305993</v>
      </c>
      <c r="N62" s="1">
        <v>303615</v>
      </c>
    </row>
    <row r="63" spans="2:14">
      <c r="B63" s="1" t="s">
        <v>58</v>
      </c>
      <c r="J63" s="1">
        <v>538</v>
      </c>
      <c r="L63" s="1">
        <v>367</v>
      </c>
      <c r="M63" s="1">
        <v>299</v>
      </c>
      <c r="N63" s="1">
        <v>225</v>
      </c>
    </row>
    <row r="64" spans="2:14">
      <c r="B64" s="1" t="s">
        <v>69</v>
      </c>
      <c r="J64" s="1">
        <v>662308</v>
      </c>
    </row>
    <row r="65" spans="2:14">
      <c r="B65" s="1" t="s">
        <v>59</v>
      </c>
      <c r="J65" s="1">
        <v>-448503</v>
      </c>
      <c r="L65" s="1">
        <v>555809</v>
      </c>
      <c r="M65" s="1">
        <v>565723</v>
      </c>
      <c r="N65" s="1">
        <v>570802</v>
      </c>
    </row>
    <row r="66" spans="2:14" s="4" customFormat="1">
      <c r="B66" s="4" t="s">
        <v>52</v>
      </c>
      <c r="J66" s="4">
        <f>+SUM(J58:J65)</f>
        <v>583883</v>
      </c>
      <c r="L66" s="4">
        <f>+SUM(L58:L65)</f>
        <v>970375</v>
      </c>
      <c r="M66" s="4">
        <f>+SUM(M58:M65)</f>
        <v>984974</v>
      </c>
      <c r="N66" s="4">
        <f>+SUM(N58:N65)</f>
        <v>983757</v>
      </c>
    </row>
    <row r="69" spans="2:14">
      <c r="B69" s="1" t="s">
        <v>95</v>
      </c>
      <c r="J69" s="1">
        <f t="shared" ref="J69:M69" si="38">+J46</f>
        <v>39125</v>
      </c>
      <c r="K69" s="1">
        <f t="shared" si="38"/>
        <v>0</v>
      </c>
      <c r="L69" s="1">
        <f t="shared" si="38"/>
        <v>352845</v>
      </c>
      <c r="M69" s="1">
        <f t="shared" si="38"/>
        <v>340399</v>
      </c>
      <c r="N69" s="1">
        <f>+N46</f>
        <v>332428</v>
      </c>
    </row>
    <row r="70" spans="2:14">
      <c r="B70" s="1" t="s">
        <v>96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</row>
    <row r="71" spans="2:14">
      <c r="B71" s="1" t="s">
        <v>97</v>
      </c>
    </row>
  </sheetData>
  <mergeCells count="1">
    <mergeCell ref="AC11:AL11"/>
  </mergeCells>
  <pageMargins left="0.7" right="0.7" top="0.75" bottom="0.75" header="0.3" footer="0.3"/>
  <ignoredErrors>
    <ignoredError sqref="K21 X21:AA21 S21" formulaRange="1"/>
    <ignoredError sqref="G22:J27 H21:J21" formula="1"/>
    <ignoredError sqref="G21" formula="1" formulaRange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3EAEC-97DD-2040-92F5-B829AE9E92B8}">
  <dimension ref="A2:B12"/>
  <sheetViews>
    <sheetView workbookViewId="0">
      <selection activeCell="B66" sqref="B66"/>
    </sheetView>
  </sheetViews>
  <sheetFormatPr baseColWidth="10" defaultRowHeight="13"/>
  <cols>
    <col min="1" max="1" width="23.33203125" bestFit="1" customWidth="1"/>
    <col min="2" max="2" width="5.6640625" bestFit="1" customWidth="1"/>
  </cols>
  <sheetData>
    <row r="2" spans="1:2">
      <c r="A2" t="s">
        <v>102</v>
      </c>
    </row>
    <row r="5" spans="1:2" ht="14">
      <c r="A5" t="s">
        <v>98</v>
      </c>
      <c r="B5" s="14">
        <v>2023</v>
      </c>
    </row>
    <row r="6" spans="1:2">
      <c r="A6" t="s">
        <v>99</v>
      </c>
      <c r="B6" s="5">
        <v>0.29504331039322812</v>
      </c>
    </row>
    <row r="7" spans="1:2">
      <c r="A7" t="s">
        <v>28</v>
      </c>
      <c r="B7" s="5">
        <v>0.247271960338136</v>
      </c>
    </row>
    <row r="8" spans="1:2">
      <c r="A8" t="s">
        <v>29</v>
      </c>
      <c r="B8" s="5">
        <v>5.09807429336274E-2</v>
      </c>
    </row>
    <row r="9" spans="1:2">
      <c r="A9" t="s">
        <v>100</v>
      </c>
      <c r="B9" s="5">
        <v>0.1447323542399046</v>
      </c>
    </row>
    <row r="10" spans="1:2">
      <c r="A10" t="s">
        <v>31</v>
      </c>
      <c r="B10" s="5">
        <v>6.4182184759608046E-2</v>
      </c>
    </row>
    <row r="11" spans="1:2">
      <c r="A11" t="s">
        <v>32</v>
      </c>
      <c r="B11" s="5">
        <v>3.2354675495451672E-2</v>
      </c>
    </row>
    <row r="12" spans="1:2">
      <c r="A12" t="s">
        <v>101</v>
      </c>
      <c r="B12" s="5">
        <v>3.7411176187483975E-3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3A41E-F401-1044-A52C-60F6398FDDF4}">
  <dimension ref="B2:Q37"/>
  <sheetViews>
    <sheetView zoomScale="140" zoomScaleNormal="140" workbookViewId="0">
      <selection activeCell="Q5" sqref="Q5"/>
    </sheetView>
  </sheetViews>
  <sheetFormatPr baseColWidth="10" defaultRowHeight="13"/>
  <cols>
    <col min="1" max="1" width="3.1640625" style="1" customWidth="1"/>
    <col min="2" max="2" width="12.33203125" style="1" customWidth="1"/>
    <col min="3" max="4" width="10.83203125" style="1"/>
    <col min="5" max="5" width="13.6640625" style="1" bestFit="1" customWidth="1"/>
    <col min="6" max="7" width="10.83203125" style="1"/>
    <col min="8" max="8" width="13.6640625" style="1" bestFit="1" customWidth="1"/>
    <col min="9" max="9" width="10.83203125" style="1"/>
    <col min="10" max="11" width="6.6640625" style="1" bestFit="1" customWidth="1"/>
    <col min="12" max="12" width="5.5" style="1" bestFit="1" customWidth="1"/>
    <col min="13" max="16384" width="10.83203125" style="1"/>
  </cols>
  <sheetData>
    <row r="2" spans="2:17">
      <c r="B2" s="1" t="s">
        <v>74</v>
      </c>
      <c r="C2" s="1" t="s">
        <v>75</v>
      </c>
    </row>
    <row r="3" spans="2:17">
      <c r="B3" s="1" t="s">
        <v>24</v>
      </c>
      <c r="C3" s="3">
        <v>2011</v>
      </c>
    </row>
    <row r="4" spans="2:17">
      <c r="B4" s="1" t="s">
        <v>82</v>
      </c>
      <c r="C4" s="3">
        <f ca="1">YEAR(TODAY())-C3</f>
        <v>13</v>
      </c>
      <c r="J4" s="1" t="s">
        <v>16</v>
      </c>
      <c r="K4" s="1">
        <v>111.12</v>
      </c>
      <c r="Q4" s="1" t="s">
        <v>117</v>
      </c>
    </row>
    <row r="5" spans="2:17">
      <c r="B5" s="1" t="s">
        <v>80</v>
      </c>
      <c r="C5" s="6">
        <v>45092</v>
      </c>
      <c r="J5" s="1" t="s">
        <v>17</v>
      </c>
      <c r="K5" s="1">
        <v>114.028233</v>
      </c>
      <c r="L5" s="1" t="s">
        <v>12</v>
      </c>
      <c r="M5" s="1" t="s">
        <v>13</v>
      </c>
    </row>
    <row r="6" spans="2:17">
      <c r="B6" s="1" t="s">
        <v>81</v>
      </c>
      <c r="C6" s="1">
        <v>22</v>
      </c>
      <c r="J6" s="1" t="s">
        <v>18</v>
      </c>
      <c r="K6" s="1">
        <f>+K4*K5</f>
        <v>12670.817250960001</v>
      </c>
    </row>
    <row r="7" spans="2:17">
      <c r="B7" s="1" t="s">
        <v>83</v>
      </c>
      <c r="C7" s="1">
        <v>16611.099999999999</v>
      </c>
      <c r="H7" s="7" t="s">
        <v>23</v>
      </c>
      <c r="J7" s="1" t="s">
        <v>19</v>
      </c>
      <c r="K7" s="1">
        <v>329.11700000000002</v>
      </c>
      <c r="L7" s="1" t="str">
        <f>+L5</f>
        <v>Q124</v>
      </c>
    </row>
    <row r="8" spans="2:17">
      <c r="B8" s="1" t="s">
        <v>105</v>
      </c>
      <c r="C8" s="1" t="s">
        <v>106</v>
      </c>
      <c r="H8" s="2" t="s">
        <v>22</v>
      </c>
      <c r="J8" s="1" t="s">
        <v>20</v>
      </c>
      <c r="K8" s="1">
        <v>0</v>
      </c>
      <c r="L8" s="1" t="str">
        <f>+L7</f>
        <v>Q124</v>
      </c>
    </row>
    <row r="9" spans="2:17">
      <c r="H9" s="2" t="s">
        <v>71</v>
      </c>
      <c r="J9" s="1" t="s">
        <v>21</v>
      </c>
      <c r="K9" s="1">
        <f>+K6-K7+K8</f>
        <v>12341.700250960001</v>
      </c>
    </row>
    <row r="10" spans="2:17">
      <c r="H10" s="2" t="s">
        <v>72</v>
      </c>
    </row>
    <row r="11" spans="2:17">
      <c r="B11" s="7" t="s">
        <v>73</v>
      </c>
    </row>
    <row r="12" spans="2:17">
      <c r="B12" s="1" t="s">
        <v>85</v>
      </c>
    </row>
    <row r="13" spans="2:17">
      <c r="B13" s="1" t="s">
        <v>76</v>
      </c>
    </row>
    <row r="14" spans="2:17">
      <c r="B14" s="1" t="s">
        <v>77</v>
      </c>
    </row>
    <row r="15" spans="2:17">
      <c r="B15" s="1" t="s">
        <v>78</v>
      </c>
    </row>
    <row r="16" spans="2:17">
      <c r="B16" s="1" t="s">
        <v>79</v>
      </c>
    </row>
    <row r="20" spans="2:4">
      <c r="C20" s="1" t="s">
        <v>46</v>
      </c>
      <c r="D20" s="1" t="s">
        <v>86</v>
      </c>
    </row>
    <row r="21" spans="2:4">
      <c r="B21" s="1" t="s">
        <v>87</v>
      </c>
      <c r="C21" s="1">
        <v>38</v>
      </c>
      <c r="D21" s="1">
        <v>53</v>
      </c>
    </row>
    <row r="22" spans="2:4">
      <c r="B22" s="1" t="s">
        <v>88</v>
      </c>
      <c r="C22" s="1">
        <v>290</v>
      </c>
    </row>
    <row r="25" spans="2:4">
      <c r="C25" s="7" t="s">
        <v>104</v>
      </c>
    </row>
    <row r="26" spans="2:4">
      <c r="C26" s="16">
        <v>45505</v>
      </c>
    </row>
    <row r="27" spans="2:4">
      <c r="C27" s="16">
        <v>45526</v>
      </c>
      <c r="D27" s="1" t="s">
        <v>109</v>
      </c>
    </row>
    <row r="28" spans="2:4">
      <c r="C28" s="6"/>
    </row>
    <row r="29" spans="2:4">
      <c r="C29" s="6"/>
    </row>
    <row r="30" spans="2:4">
      <c r="B30" s="7" t="s">
        <v>111</v>
      </c>
      <c r="C30" s="6"/>
    </row>
    <row r="31" spans="2:4">
      <c r="B31" s="2" t="s">
        <v>112</v>
      </c>
      <c r="C31" s="6"/>
    </row>
    <row r="32" spans="2:4">
      <c r="B32" s="18" t="s">
        <v>113</v>
      </c>
      <c r="C32" s="6"/>
    </row>
    <row r="33" spans="2:3">
      <c r="B33" s="18" t="s">
        <v>114</v>
      </c>
      <c r="C33" s="6"/>
    </row>
    <row r="34" spans="2:3">
      <c r="B34" s="18" t="s">
        <v>115</v>
      </c>
      <c r="C34" s="6"/>
    </row>
    <row r="35" spans="2:3">
      <c r="B35" s="1" t="s">
        <v>116</v>
      </c>
      <c r="C35" s="6"/>
    </row>
    <row r="36" spans="2:3">
      <c r="C36" s="6"/>
    </row>
    <row r="37" spans="2:3">
      <c r="C37" s="6"/>
    </row>
  </sheetData>
  <hyperlinks>
    <hyperlink ref="H8" r:id="rId1" xr:uid="{F5DF0E1D-6A7D-3E45-A8A5-664CCFF5A179}"/>
    <hyperlink ref="H9" r:id="rId2" xr:uid="{C4DFF86D-D34C-4041-ACB5-491EC9412C30}"/>
    <hyperlink ref="H10" r:id="rId3" xr:uid="{DEB17B4A-A8A6-F740-98D4-473836C6B60A}"/>
    <hyperlink ref="C26" r:id="rId4" display="https://investor.cava.com/news/news-details/2024/CAVA-Debuts-Mediterranean-Inspired-Grilled-Steak/default.aspx" xr:uid="{ED5AB232-31E1-7549-BA35-8E1CE810CEFB}"/>
    <hyperlink ref="C27" r:id="rId5" display="https://investor.cava.com/news/news-details/2024/CAVA-Group-Reports-Second-Quarter-2024-Results/default.aspx" xr:uid="{A4D755A2-4893-E84B-8689-AFAD0C1277F8}"/>
    <hyperlink ref="B31" r:id="rId6" location="ibb4df82ba0ab4bc7a5ba80a23f93ab13_450" xr:uid="{BBEDFA98-2292-594B-8E49-B9367B50ABA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</vt:lpstr>
      <vt:lpstr>CMG baseline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2024-02-16T06:05:09Z</dcterms:created>
  <dcterms:modified xsi:type="dcterms:W3CDTF">2024-12-03T15:40:26Z</dcterms:modified>
</cp:coreProperties>
</file>