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FF326C27-03E7-B944-BF22-A9DE8CB45E45}" xr6:coauthVersionLast="47" xr6:coauthVersionMax="47" xr10:uidLastSave="{00000000-0000-0000-0000-000000000000}"/>
  <bookViews>
    <workbookView xWindow="23620" yWindow="600" windowWidth="27580" windowHeight="27580" activeTab="1" xr2:uid="{56CDDBF6-E102-AB49-AC00-0C47700EAFE9}"/>
  </bookViews>
  <sheets>
    <sheet name="Model" sheetId="1" r:id="rId1"/>
    <sheet name="M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7" i="1" l="1"/>
  <c r="F58" i="1"/>
  <c r="F59" i="1" s="1"/>
  <c r="F16" i="1"/>
  <c r="J16" i="1"/>
  <c r="D66" i="1"/>
  <c r="E66" i="1" s="1"/>
  <c r="F66" i="1" s="1"/>
  <c r="D65" i="1"/>
  <c r="E65" i="1" s="1"/>
  <c r="F65" i="1" s="1"/>
  <c r="H66" i="1"/>
  <c r="I66" i="1" s="1"/>
  <c r="J66" i="1" s="1"/>
  <c r="H65" i="1"/>
  <c r="I65" i="1"/>
  <c r="H67" i="1"/>
  <c r="G67" i="1"/>
  <c r="C67" i="1"/>
  <c r="C51" i="1"/>
  <c r="C54" i="1" s="1"/>
  <c r="C56" i="1" s="1"/>
  <c r="C38" i="1"/>
  <c r="C45" i="1" s="1"/>
  <c r="C31" i="1"/>
  <c r="D51" i="1"/>
  <c r="D54" i="1" s="1"/>
  <c r="D56" i="1" s="1"/>
  <c r="D38" i="1"/>
  <c r="D45" i="1" s="1"/>
  <c r="D31" i="1"/>
  <c r="E51" i="1"/>
  <c r="E54" i="1" s="1"/>
  <c r="E56" i="1" s="1"/>
  <c r="E38" i="1"/>
  <c r="E45" i="1" s="1"/>
  <c r="E31" i="1"/>
  <c r="G51" i="1"/>
  <c r="G54" i="1" s="1"/>
  <c r="G56" i="1" s="1"/>
  <c r="G38" i="1"/>
  <c r="G45" i="1" s="1"/>
  <c r="G31" i="1"/>
  <c r="H51" i="1"/>
  <c r="H54" i="1" s="1"/>
  <c r="H56" i="1" s="1"/>
  <c r="H38" i="1"/>
  <c r="H45" i="1" s="1"/>
  <c r="H31" i="1"/>
  <c r="F38" i="1"/>
  <c r="F31" i="1"/>
  <c r="F51" i="1"/>
  <c r="F54" i="1" s="1"/>
  <c r="F56" i="1" s="1"/>
  <c r="F45" i="1"/>
  <c r="I38" i="1"/>
  <c r="I45" i="1" s="1"/>
  <c r="I51" i="1"/>
  <c r="I54" i="1" s="1"/>
  <c r="I56" i="1" s="1"/>
  <c r="I31" i="1"/>
  <c r="J31" i="1"/>
  <c r="J51" i="1"/>
  <c r="J54" i="1" s="1"/>
  <c r="J56" i="1" s="1"/>
  <c r="J38" i="1"/>
  <c r="J45" i="1" s="1"/>
  <c r="K67" i="1"/>
  <c r="G12" i="2"/>
  <c r="G13" i="2" s="1"/>
  <c r="G11" i="2"/>
  <c r="K31" i="1"/>
  <c r="V31" i="1" s="1"/>
  <c r="W18" i="1" s="1"/>
  <c r="K51" i="1"/>
  <c r="K54" i="1" s="1"/>
  <c r="K56" i="1" s="1"/>
  <c r="K38" i="1"/>
  <c r="K45" i="1" s="1"/>
  <c r="AJ38" i="1"/>
  <c r="AJ35" i="1"/>
  <c r="AJ33" i="1"/>
  <c r="K17" i="1"/>
  <c r="K19" i="1" s="1"/>
  <c r="K21" i="1" s="1"/>
  <c r="K23" i="1" s="1"/>
  <c r="W22" i="1"/>
  <c r="X22" i="1" s="1"/>
  <c r="Y22" i="1" s="1"/>
  <c r="Z22" i="1" s="1"/>
  <c r="AA22" i="1" s="1"/>
  <c r="AB22" i="1" s="1"/>
  <c r="AC22" i="1" s="1"/>
  <c r="AD22" i="1" s="1"/>
  <c r="AE22" i="1" s="1"/>
  <c r="AF22" i="1" s="1"/>
  <c r="X5" i="1"/>
  <c r="Y5" i="1" s="1"/>
  <c r="Z5" i="1" s="1"/>
  <c r="AA5" i="1" s="1"/>
  <c r="AB5" i="1" s="1"/>
  <c r="AC5" i="1" s="1"/>
  <c r="AD5" i="1" s="1"/>
  <c r="AE5" i="1" s="1"/>
  <c r="AF5" i="1" s="1"/>
  <c r="W3" i="1"/>
  <c r="F7" i="1"/>
  <c r="J7" i="1"/>
  <c r="V4" i="1"/>
  <c r="W4" i="1" s="1"/>
  <c r="U4" i="1"/>
  <c r="T4" i="1"/>
  <c r="I4" i="1"/>
  <c r="H4" i="1"/>
  <c r="G4" i="1"/>
  <c r="E4" i="1"/>
  <c r="D4" i="1"/>
  <c r="C4" i="1"/>
  <c r="F3" i="1"/>
  <c r="J3" i="1"/>
  <c r="R26" i="1"/>
  <c r="Q17" i="1"/>
  <c r="Q19" i="1" s="1"/>
  <c r="Q21" i="1" s="1"/>
  <c r="Q23" i="1" s="1"/>
  <c r="S26" i="1"/>
  <c r="R17" i="1"/>
  <c r="R19" i="1" s="1"/>
  <c r="R21" i="1" s="1"/>
  <c r="R23" i="1" s="1"/>
  <c r="T26" i="1"/>
  <c r="S17" i="1"/>
  <c r="S19" i="1" s="1"/>
  <c r="S21" i="1" s="1"/>
  <c r="S23" i="1" s="1"/>
  <c r="I26" i="1"/>
  <c r="H26" i="1"/>
  <c r="G26" i="1"/>
  <c r="C17" i="1"/>
  <c r="C19" i="1" s="1"/>
  <c r="C21" i="1" s="1"/>
  <c r="C23" i="1" s="1"/>
  <c r="F20" i="1"/>
  <c r="F18" i="1"/>
  <c r="F15" i="1"/>
  <c r="F14" i="1"/>
  <c r="F13" i="1"/>
  <c r="F12" i="1"/>
  <c r="F11" i="1"/>
  <c r="F10" i="1"/>
  <c r="F9" i="1"/>
  <c r="F8" i="1"/>
  <c r="I58" i="1" s="1"/>
  <c r="I59" i="1" s="1"/>
  <c r="D17" i="1"/>
  <c r="D19" i="1" s="1"/>
  <c r="D21" i="1" s="1"/>
  <c r="D23" i="1" s="1"/>
  <c r="H17" i="1"/>
  <c r="H19" i="1" s="1"/>
  <c r="H21" i="1" s="1"/>
  <c r="H23" i="1" s="1"/>
  <c r="J20" i="1"/>
  <c r="J18" i="1"/>
  <c r="J15" i="1"/>
  <c r="J14" i="1"/>
  <c r="J13" i="1"/>
  <c r="J12" i="1"/>
  <c r="J11" i="1"/>
  <c r="J10" i="1"/>
  <c r="J9" i="1"/>
  <c r="K60" i="1" s="1"/>
  <c r="K61" i="1" s="1"/>
  <c r="J8" i="1"/>
  <c r="K58" i="1" s="1"/>
  <c r="K59" i="1" s="1"/>
  <c r="E17" i="1"/>
  <c r="E19" i="1" s="1"/>
  <c r="E21" i="1" s="1"/>
  <c r="E23" i="1" s="1"/>
  <c r="I17" i="1"/>
  <c r="I19" i="1" s="1"/>
  <c r="I21" i="1" s="1"/>
  <c r="I23" i="1" s="1"/>
  <c r="V17" i="1"/>
  <c r="V19" i="1" s="1"/>
  <c r="V21" i="1" s="1"/>
  <c r="V23" i="1" s="1"/>
  <c r="U26" i="1"/>
  <c r="V26" i="1"/>
  <c r="U17" i="1"/>
  <c r="U19" i="1" s="1"/>
  <c r="U21" i="1" s="1"/>
  <c r="U23" i="1" s="1"/>
  <c r="T17" i="1"/>
  <c r="T19" i="1" s="1"/>
  <c r="T21" i="1" s="1"/>
  <c r="T23" i="1" s="1"/>
  <c r="R2" i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G17" i="1"/>
  <c r="G19" i="1" s="1"/>
  <c r="G21" i="1" s="1"/>
  <c r="G23" i="1" s="1"/>
  <c r="G6" i="2"/>
  <c r="G9" i="2" s="1"/>
  <c r="AJ41" i="1" s="1"/>
  <c r="H7" i="2"/>
  <c r="H8" i="2" s="1"/>
  <c r="G58" i="1" l="1"/>
  <c r="G59" i="1" s="1"/>
  <c r="H58" i="1"/>
  <c r="H59" i="1" s="1"/>
  <c r="J58" i="1"/>
  <c r="J59" i="1" s="1"/>
  <c r="D68" i="1"/>
  <c r="G68" i="1"/>
  <c r="H68" i="1"/>
  <c r="I68" i="1"/>
  <c r="E68" i="1"/>
  <c r="C68" i="1"/>
  <c r="K68" i="1"/>
  <c r="D67" i="1"/>
  <c r="F67" i="1"/>
  <c r="E67" i="1"/>
  <c r="H70" i="1" s="1"/>
  <c r="I67" i="1"/>
  <c r="J70" i="1" s="1"/>
  <c r="J65" i="1"/>
  <c r="J67" i="1" s="1"/>
  <c r="W8" i="1"/>
  <c r="W16" i="1" s="1"/>
  <c r="X3" i="1"/>
  <c r="I5" i="1"/>
  <c r="U5" i="1"/>
  <c r="Y3" i="1"/>
  <c r="H5" i="1"/>
  <c r="J4" i="1"/>
  <c r="V5" i="1"/>
  <c r="X4" i="1"/>
  <c r="W9" i="1"/>
  <c r="W11" i="1"/>
  <c r="W12" i="1"/>
  <c r="F4" i="1"/>
  <c r="K26" i="1"/>
  <c r="K4" i="1"/>
  <c r="K5" i="1" s="1"/>
  <c r="J26" i="1"/>
  <c r="S27" i="1"/>
  <c r="C28" i="1"/>
  <c r="C27" i="1"/>
  <c r="R27" i="1"/>
  <c r="D27" i="1"/>
  <c r="J23" i="1"/>
  <c r="E27" i="1"/>
  <c r="S28" i="1"/>
  <c r="D28" i="1"/>
  <c r="I27" i="1"/>
  <c r="E28" i="1"/>
  <c r="I28" i="1"/>
  <c r="R28" i="1"/>
  <c r="Q27" i="1"/>
  <c r="Q28" i="1"/>
  <c r="F23" i="1"/>
  <c r="F17" i="1"/>
  <c r="F27" i="1" s="1"/>
  <c r="H28" i="1"/>
  <c r="F19" i="1"/>
  <c r="F28" i="1" s="1"/>
  <c r="F21" i="1"/>
  <c r="F68" i="1" s="1"/>
  <c r="H27" i="1"/>
  <c r="J17" i="1"/>
  <c r="T28" i="1"/>
  <c r="U27" i="1"/>
  <c r="G28" i="1"/>
  <c r="T27" i="1"/>
  <c r="U28" i="1"/>
  <c r="V27" i="1"/>
  <c r="V28" i="1"/>
  <c r="K27" i="1"/>
  <c r="G27" i="1"/>
  <c r="K28" i="1"/>
  <c r="I70" i="1" l="1"/>
  <c r="I71" i="1"/>
  <c r="F71" i="1"/>
  <c r="H71" i="1"/>
  <c r="K70" i="1"/>
  <c r="G71" i="1"/>
  <c r="G70" i="1"/>
  <c r="F70" i="1"/>
  <c r="X8" i="1"/>
  <c r="X12" i="1" s="1"/>
  <c r="J5" i="1"/>
  <c r="Z3" i="1"/>
  <c r="Y4" i="1"/>
  <c r="Y8" i="1" s="1"/>
  <c r="W15" i="1"/>
  <c r="X15" i="1" s="1"/>
  <c r="W14" i="1"/>
  <c r="W13" i="1"/>
  <c r="X26" i="1"/>
  <c r="X9" i="1"/>
  <c r="W10" i="1"/>
  <c r="X10" i="1" s="1"/>
  <c r="W26" i="1"/>
  <c r="Z4" i="1"/>
  <c r="F22" i="1"/>
  <c r="J19" i="1"/>
  <c r="J27" i="1"/>
  <c r="X16" i="1" l="1"/>
  <c r="Y16" i="1" s="1"/>
  <c r="X11" i="1"/>
  <c r="Y11" i="1" s="1"/>
  <c r="X13" i="1"/>
  <c r="X14" i="1"/>
  <c r="AA3" i="1"/>
  <c r="Z8" i="1"/>
  <c r="X17" i="1"/>
  <c r="X27" i="1" s="1"/>
  <c r="W17" i="1"/>
  <c r="X18" i="1" s="1"/>
  <c r="Y18" i="1" s="1"/>
  <c r="Z18" i="1" s="1"/>
  <c r="AA18" i="1" s="1"/>
  <c r="AB18" i="1" s="1"/>
  <c r="AC18" i="1" s="1"/>
  <c r="AD18" i="1" s="1"/>
  <c r="AE18" i="1" s="1"/>
  <c r="AF18" i="1" s="1"/>
  <c r="Y12" i="1"/>
  <c r="Y10" i="1"/>
  <c r="Y14" i="1"/>
  <c r="Y26" i="1"/>
  <c r="Y15" i="1"/>
  <c r="AA4" i="1"/>
  <c r="Y13" i="1"/>
  <c r="Y9" i="1"/>
  <c r="J21" i="1"/>
  <c r="J28" i="1"/>
  <c r="Z16" i="1" l="1"/>
  <c r="J22" i="1"/>
  <c r="J68" i="1"/>
  <c r="AB3" i="1"/>
  <c r="AA8" i="1"/>
  <c r="X19" i="1"/>
  <c r="X28" i="1" s="1"/>
  <c r="Z11" i="1"/>
  <c r="Z13" i="1"/>
  <c r="Z10" i="1"/>
  <c r="W27" i="1"/>
  <c r="W19" i="1"/>
  <c r="Y17" i="1"/>
  <c r="AB4" i="1"/>
  <c r="Z14" i="1"/>
  <c r="Z26" i="1"/>
  <c r="Z12" i="1"/>
  <c r="Z9" i="1"/>
  <c r="Z15" i="1"/>
  <c r="K71" i="1" l="1"/>
  <c r="J71" i="1"/>
  <c r="AA16" i="1"/>
  <c r="AC3" i="1"/>
  <c r="AB8" i="1"/>
  <c r="X20" i="1"/>
  <c r="X21" i="1" s="1"/>
  <c r="X23" i="1" s="1"/>
  <c r="Z17" i="1"/>
  <c r="Z27" i="1" s="1"/>
  <c r="W28" i="1"/>
  <c r="W20" i="1"/>
  <c r="W21" i="1" s="1"/>
  <c r="W31" i="1" s="1"/>
  <c r="AA26" i="1"/>
  <c r="AC4" i="1"/>
  <c r="AA12" i="1"/>
  <c r="AA15" i="1"/>
  <c r="AA9" i="1"/>
  <c r="AA11" i="1"/>
  <c r="Y19" i="1"/>
  <c r="Y27" i="1"/>
  <c r="AA13" i="1"/>
  <c r="AA14" i="1"/>
  <c r="AA10" i="1"/>
  <c r="AB16" i="1" l="1"/>
  <c r="AD3" i="1"/>
  <c r="AC8" i="1"/>
  <c r="X31" i="1"/>
  <c r="Z19" i="1"/>
  <c r="Z28" i="1" s="1"/>
  <c r="AB13" i="1"/>
  <c r="W23" i="1"/>
  <c r="AB10" i="1"/>
  <c r="AB14" i="1"/>
  <c r="AB12" i="1"/>
  <c r="AB26" i="1"/>
  <c r="AA17" i="1"/>
  <c r="AD4" i="1"/>
  <c r="Y28" i="1"/>
  <c r="Y20" i="1"/>
  <c r="Y21" i="1" s="1"/>
  <c r="Y23" i="1" s="1"/>
  <c r="AB11" i="1"/>
  <c r="AC11" i="1" s="1"/>
  <c r="AB9" i="1"/>
  <c r="AB15" i="1"/>
  <c r="AC16" i="1" l="1"/>
  <c r="AE3" i="1"/>
  <c r="AD8" i="1"/>
  <c r="AC12" i="1"/>
  <c r="AC9" i="1"/>
  <c r="Z20" i="1"/>
  <c r="Z21" i="1" s="1"/>
  <c r="Z23" i="1" s="1"/>
  <c r="Y31" i="1"/>
  <c r="AC14" i="1"/>
  <c r="AC13" i="1"/>
  <c r="AA19" i="1"/>
  <c r="AA27" i="1"/>
  <c r="AB17" i="1"/>
  <c r="AC26" i="1"/>
  <c r="AC10" i="1"/>
  <c r="AC15" i="1"/>
  <c r="AE4" i="1"/>
  <c r="AD16" i="1" l="1"/>
  <c r="AD12" i="1"/>
  <c r="AF3" i="1"/>
  <c r="AE8" i="1"/>
  <c r="Z31" i="1"/>
  <c r="AB19" i="1"/>
  <c r="AB27" i="1"/>
  <c r="AF4" i="1"/>
  <c r="AD26" i="1"/>
  <c r="AD15" i="1"/>
  <c r="AD10" i="1"/>
  <c r="AC17" i="1"/>
  <c r="AD11" i="1"/>
  <c r="AA28" i="1"/>
  <c r="AA20" i="1"/>
  <c r="AA21" i="1" s="1"/>
  <c r="AD9" i="1"/>
  <c r="AD13" i="1"/>
  <c r="AD14" i="1"/>
  <c r="AE16" i="1" l="1"/>
  <c r="AE12" i="1"/>
  <c r="AF8" i="1"/>
  <c r="AA31" i="1"/>
  <c r="AE15" i="1"/>
  <c r="AF15" i="1" s="1"/>
  <c r="AE9" i="1"/>
  <c r="AF9" i="1" s="1"/>
  <c r="AF12" i="1"/>
  <c r="AA23" i="1"/>
  <c r="AE11" i="1"/>
  <c r="AD17" i="1"/>
  <c r="AC19" i="1"/>
  <c r="AC27" i="1"/>
  <c r="AE26" i="1"/>
  <c r="AF26" i="1"/>
  <c r="AE14" i="1"/>
  <c r="AF14" i="1" s="1"/>
  <c r="AE13" i="1"/>
  <c r="AE10" i="1"/>
  <c r="AB28" i="1"/>
  <c r="AB20" i="1"/>
  <c r="AB21" i="1" s="1"/>
  <c r="AB23" i="1" s="1"/>
  <c r="AF16" i="1" l="1"/>
  <c r="AF10" i="1"/>
  <c r="AF11" i="1"/>
  <c r="AF13" i="1"/>
  <c r="AB31" i="1"/>
  <c r="AF17" i="1"/>
  <c r="AF27" i="1" s="1"/>
  <c r="AE17" i="1"/>
  <c r="AC28" i="1"/>
  <c r="AC20" i="1"/>
  <c r="AC21" i="1" s="1"/>
  <c r="AC23" i="1" s="1"/>
  <c r="AD27" i="1"/>
  <c r="AD19" i="1"/>
  <c r="AF19" i="1" l="1"/>
  <c r="AF20" i="1" s="1"/>
  <c r="AF21" i="1" s="1"/>
  <c r="AC31" i="1"/>
  <c r="AD28" i="1"/>
  <c r="AD20" i="1"/>
  <c r="AD21" i="1" s="1"/>
  <c r="AD23" i="1" s="1"/>
  <c r="AE27" i="1"/>
  <c r="AE19" i="1"/>
  <c r="AF28" i="1"/>
  <c r="AD31" i="1" l="1"/>
  <c r="AF23" i="1"/>
  <c r="AG21" i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DR21" i="1" s="1"/>
  <c r="DS21" i="1" s="1"/>
  <c r="DT21" i="1" s="1"/>
  <c r="DU21" i="1" s="1"/>
  <c r="DV21" i="1" s="1"/>
  <c r="DW21" i="1" s="1"/>
  <c r="DX21" i="1" s="1"/>
  <c r="DY21" i="1" s="1"/>
  <c r="DZ21" i="1" s="1"/>
  <c r="EA21" i="1" s="1"/>
  <c r="EB21" i="1" s="1"/>
  <c r="EC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FN21" i="1" s="1"/>
  <c r="FO21" i="1" s="1"/>
  <c r="FP21" i="1" s="1"/>
  <c r="FQ21" i="1" s="1"/>
  <c r="FR21" i="1" s="1"/>
  <c r="FS21" i="1" s="1"/>
  <c r="FT21" i="1" s="1"/>
  <c r="FU21" i="1" s="1"/>
  <c r="FV21" i="1" s="1"/>
  <c r="FW21" i="1" s="1"/>
  <c r="FX21" i="1" s="1"/>
  <c r="FY21" i="1" s="1"/>
  <c r="FZ21" i="1" s="1"/>
  <c r="GA21" i="1" s="1"/>
  <c r="GB21" i="1" s="1"/>
  <c r="GC21" i="1" s="1"/>
  <c r="GD21" i="1" s="1"/>
  <c r="GE21" i="1" s="1"/>
  <c r="GF21" i="1" s="1"/>
  <c r="GG21" i="1" s="1"/>
  <c r="GH21" i="1" s="1"/>
  <c r="GI21" i="1" s="1"/>
  <c r="GJ21" i="1" s="1"/>
  <c r="GK21" i="1" s="1"/>
  <c r="GL21" i="1" s="1"/>
  <c r="GM21" i="1" s="1"/>
  <c r="GN21" i="1" s="1"/>
  <c r="GO21" i="1" s="1"/>
  <c r="GP21" i="1" s="1"/>
  <c r="GQ21" i="1" s="1"/>
  <c r="GR21" i="1" s="1"/>
  <c r="GS21" i="1" s="1"/>
  <c r="GT21" i="1" s="1"/>
  <c r="GU21" i="1" s="1"/>
  <c r="GV21" i="1" s="1"/>
  <c r="GW21" i="1" s="1"/>
  <c r="GX21" i="1" s="1"/>
  <c r="GY21" i="1" s="1"/>
  <c r="GZ21" i="1" s="1"/>
  <c r="HA21" i="1" s="1"/>
  <c r="HB21" i="1" s="1"/>
  <c r="HC21" i="1" s="1"/>
  <c r="HD21" i="1" s="1"/>
  <c r="HE21" i="1" s="1"/>
  <c r="HF21" i="1" s="1"/>
  <c r="HG21" i="1" s="1"/>
  <c r="HH21" i="1" s="1"/>
  <c r="HI21" i="1" s="1"/>
  <c r="HJ21" i="1" s="1"/>
  <c r="HK21" i="1" s="1"/>
  <c r="HL21" i="1" s="1"/>
  <c r="HM21" i="1" s="1"/>
  <c r="HN21" i="1" s="1"/>
  <c r="HO21" i="1" s="1"/>
  <c r="HP21" i="1" s="1"/>
  <c r="HQ21" i="1" s="1"/>
  <c r="HR21" i="1" s="1"/>
  <c r="HS21" i="1" s="1"/>
  <c r="HT21" i="1" s="1"/>
  <c r="HU21" i="1" s="1"/>
  <c r="HV21" i="1" s="1"/>
  <c r="HW21" i="1" s="1"/>
  <c r="HX21" i="1" s="1"/>
  <c r="AE28" i="1"/>
  <c r="AE20" i="1"/>
  <c r="AE21" i="1" s="1"/>
  <c r="AE23" i="1" s="1"/>
  <c r="AE31" i="1" l="1"/>
  <c r="AF31" i="1" s="1"/>
  <c r="AJ32" i="1"/>
  <c r="AJ34" i="1" s="1"/>
  <c r="AJ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tc={B9561922-BA86-9047-AB96-268E0A1173F6}</author>
  </authors>
  <commentList>
    <comment ref="K7" authorId="0" shapeId="0" xr:uid="{B9561922-BA86-9047-AB96-268E0A1173F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Company is saying this decrease is due to weather and the way the calendar fell
</t>
      </text>
    </comment>
  </commentList>
</comments>
</file>

<file path=xl/sharedStrings.xml><?xml version="1.0" encoding="utf-8"?>
<sst xmlns="http://schemas.openxmlformats.org/spreadsheetml/2006/main" count="99" uniqueCount="93">
  <si>
    <t>Q122</t>
  </si>
  <si>
    <t>Q323</t>
  </si>
  <si>
    <t>Q423</t>
  </si>
  <si>
    <t>Q224</t>
  </si>
  <si>
    <t>Q324</t>
  </si>
  <si>
    <t>Q424</t>
  </si>
  <si>
    <t>Price</t>
  </si>
  <si>
    <t>Shares</t>
  </si>
  <si>
    <t>MC</t>
  </si>
  <si>
    <t xml:space="preserve">Cash </t>
  </si>
  <si>
    <t>Debt</t>
  </si>
  <si>
    <t>EV</t>
  </si>
  <si>
    <t>Q124</t>
  </si>
  <si>
    <t>$M</t>
  </si>
  <si>
    <t xml:space="preserve">Revenue </t>
  </si>
  <si>
    <t>Cost of sales</t>
  </si>
  <si>
    <t xml:space="preserve">Labor </t>
  </si>
  <si>
    <t xml:space="preserve">Occupancy </t>
  </si>
  <si>
    <t>Operating</t>
  </si>
  <si>
    <t>G&amp;A</t>
  </si>
  <si>
    <t>Marketing</t>
  </si>
  <si>
    <t>Pre-opening</t>
  </si>
  <si>
    <t>Depreciation</t>
  </si>
  <si>
    <t xml:space="preserve">Operating Income </t>
  </si>
  <si>
    <t>Interest income</t>
  </si>
  <si>
    <t xml:space="preserve">EBT </t>
  </si>
  <si>
    <t>Taxes</t>
  </si>
  <si>
    <t xml:space="preserve">Net Income </t>
  </si>
  <si>
    <t xml:space="preserve">Diluted Shares </t>
  </si>
  <si>
    <t>EPS</t>
  </si>
  <si>
    <t>Q222</t>
  </si>
  <si>
    <t>Q322</t>
  </si>
  <si>
    <t>Q422</t>
  </si>
  <si>
    <t>Q123</t>
  </si>
  <si>
    <t>Q223</t>
  </si>
  <si>
    <t>$K</t>
  </si>
  <si>
    <t>Revenue y/y</t>
  </si>
  <si>
    <t>Operating Margin</t>
  </si>
  <si>
    <t>Pre-tax Margin</t>
  </si>
  <si>
    <t>Press Releases</t>
  </si>
  <si>
    <t xml:space="preserve">Units </t>
  </si>
  <si>
    <t>SSS</t>
  </si>
  <si>
    <t xml:space="preserve">Revenue Per Unit </t>
  </si>
  <si>
    <t>HQ</t>
  </si>
  <si>
    <t>Austin, Texas</t>
  </si>
  <si>
    <t xml:space="preserve">CEO </t>
  </si>
  <si>
    <t>Steve Hislop</t>
  </si>
  <si>
    <t xml:space="preserve">Terminal </t>
  </si>
  <si>
    <t xml:space="preserve">Discount </t>
  </si>
  <si>
    <t>NPV</t>
  </si>
  <si>
    <t xml:space="preserve">Net Cash </t>
  </si>
  <si>
    <t xml:space="preserve">Total Value </t>
  </si>
  <si>
    <t xml:space="preserve">Estimate </t>
  </si>
  <si>
    <t>Current</t>
  </si>
  <si>
    <t xml:space="preserve">Upside </t>
  </si>
  <si>
    <t>A/R</t>
  </si>
  <si>
    <t>Lease</t>
  </si>
  <si>
    <t xml:space="preserve">Inventory </t>
  </si>
  <si>
    <t>Prepaid Exp</t>
  </si>
  <si>
    <t xml:space="preserve">Current Assets </t>
  </si>
  <si>
    <t xml:space="preserve">Total Assets </t>
  </si>
  <si>
    <t>PPE</t>
  </si>
  <si>
    <t>Op Lease</t>
  </si>
  <si>
    <t>Deferred TA</t>
  </si>
  <si>
    <t>OA</t>
  </si>
  <si>
    <t xml:space="preserve">Tradename </t>
  </si>
  <si>
    <t xml:space="preserve">Goodwill </t>
  </si>
  <si>
    <t>A/P</t>
  </si>
  <si>
    <t>Accrued L</t>
  </si>
  <si>
    <t>Op lease</t>
  </si>
  <si>
    <t>Income tax P</t>
  </si>
  <si>
    <t xml:space="preserve">Current L </t>
  </si>
  <si>
    <t xml:space="preserve">Other </t>
  </si>
  <si>
    <t>Total L</t>
  </si>
  <si>
    <t>Equity</t>
  </si>
  <si>
    <t>TL + E</t>
  </si>
  <si>
    <t xml:space="preserve">Net cash </t>
  </si>
  <si>
    <t>ROIC</t>
  </si>
  <si>
    <t>10Yr</t>
  </si>
  <si>
    <t>4w</t>
  </si>
  <si>
    <t>8w</t>
  </si>
  <si>
    <t>CFFO</t>
  </si>
  <si>
    <t xml:space="preserve">Capex </t>
  </si>
  <si>
    <t xml:space="preserve">Free Cash Flow </t>
  </si>
  <si>
    <t>Cash Per Share</t>
  </si>
  <si>
    <t>BVPS</t>
  </si>
  <si>
    <t>tax rec</t>
  </si>
  <si>
    <t>4Q FCF</t>
  </si>
  <si>
    <t xml:space="preserve">4Q NI </t>
  </si>
  <si>
    <t>A/R Turnover</t>
  </si>
  <si>
    <t>A/R weeks to convert</t>
  </si>
  <si>
    <t>Inventory Turnover</t>
  </si>
  <si>
    <t>EV/E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</si>
</sst>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\x"/>
    <numFmt numFmtId="166" formatCode="0\ &quot;days&quot;"/>
    <numFmt numFmtId="167" formatCode="#,##0.0"/>
  </numFmts>
  <fonts count="5">
    <font>
      <sz val="10"/>
      <color theme="1"/>
      <name val="ArialMT"/>
      <family val="2"/>
    </font>
    <font>
      <u/>
      <sz val="10"/>
      <color theme="10"/>
      <name val="ArialMT"/>
      <family val="2"/>
    </font>
    <font>
      <b/>
      <sz val="10"/>
      <color theme="1"/>
      <name val="ArialMT"/>
    </font>
    <font>
      <b/>
      <u/>
      <sz val="10"/>
      <color theme="1"/>
      <name val="ArialMT"/>
    </font>
    <font>
      <sz val="10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4" fontId="0" fillId="0" borderId="0" xfId="0" applyNumberFormat="1"/>
    <xf numFmtId="3" fontId="0" fillId="2" borderId="0" xfId="0" applyNumberFormat="1" applyFill="1"/>
    <xf numFmtId="9" fontId="0" fillId="0" borderId="0" xfId="0" applyNumberFormat="1"/>
    <xf numFmtId="1" fontId="0" fillId="0" borderId="0" xfId="0" applyNumberFormat="1"/>
    <xf numFmtId="3" fontId="1" fillId="0" borderId="0" xfId="1" applyNumberFormat="1"/>
    <xf numFmtId="9" fontId="2" fillId="0" borderId="0" xfId="0" applyNumberFormat="1" applyFont="1"/>
    <xf numFmtId="164" fontId="2" fillId="0" borderId="0" xfId="0" applyNumberFormat="1" applyFont="1"/>
    <xf numFmtId="164" fontId="2" fillId="2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10" fontId="2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  <xf numFmtId="4" fontId="4" fillId="0" borderId="0" xfId="0" applyNumberFormat="1" applyFont="1"/>
    <xf numFmtId="9" fontId="4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16934</xdr:colOff>
      <xdr:row>0</xdr:row>
      <xdr:rowOff>25400</xdr:rowOff>
    </xdr:from>
    <xdr:to>
      <xdr:col>11</xdr:col>
      <xdr:colOff>33867</xdr:colOff>
      <xdr:row>92</xdr:row>
      <xdr:rowOff>135467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709BEBD-0C59-1000-D68D-7F6B7DB61609}"/>
            </a:ext>
          </a:extLst>
        </xdr:cNvPr>
        <xdr:cNvCxnSpPr/>
      </xdr:nvCxnSpPr>
      <xdr:spPr>
        <a:xfrm>
          <a:off x="6714067" y="25400"/>
          <a:ext cx="16933" cy="1484206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33866</xdr:colOff>
      <xdr:row>68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B474444-8B65-5E4C-B0B5-47F86F55FAAC}"/>
            </a:ext>
          </a:extLst>
        </xdr:cNvPr>
        <xdr:cNvCxnSpPr/>
      </xdr:nvCxnSpPr>
      <xdr:spPr>
        <a:xfrm>
          <a:off x="13131800" y="0"/>
          <a:ext cx="33866" cy="9804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E5B3FBAE-0808-6947-9BAD-50A8F93E670F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7" dT="2024-06-16T22:41:07.09" personId="{E5B3FBAE-0808-6947-9BAD-50A8F93E670F}" id="{B9561922-BA86-9047-AB96-268E0A1173F6}">
    <text xml:space="preserve">Company is saying this decrease is due to weather and the way the calendar fell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chuys.com/news-events/press-releases/detail/172/chuys-holdings-inc-announces-first-quarter-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EE00-EBB7-5742-9F74-6C7959EEC7D0}">
  <dimension ref="A1:HX71"/>
  <sheetViews>
    <sheetView zoomScale="150" zoomScaleNormal="150" workbookViewId="0">
      <pane xSplit="2" ySplit="2" topLeftCell="Y6" activePane="bottomRight" state="frozen"/>
      <selection pane="topRight" activeCell="C1" sqref="C1"/>
      <selection pane="bottomLeft" activeCell="A3" sqref="A3"/>
      <selection pane="bottomRight" activeCell="AJ37" sqref="AJ37"/>
    </sheetView>
  </sheetViews>
  <sheetFormatPr baseColWidth="10" defaultRowHeight="13"/>
  <cols>
    <col min="1" max="1" width="3.33203125" style="1" bestFit="1" customWidth="1"/>
    <col min="2" max="2" width="15.5" style="1" bestFit="1" customWidth="1"/>
    <col min="3" max="11" width="7.6640625" style="1" bestFit="1" customWidth="1"/>
    <col min="12" max="14" width="5.5" style="1" bestFit="1" customWidth="1"/>
    <col min="15" max="16" width="10.83203125" style="1"/>
    <col min="17" max="32" width="7.6640625" style="1" bestFit="1" customWidth="1"/>
    <col min="33" max="34" width="6.6640625" style="1" bestFit="1" customWidth="1"/>
    <col min="35" max="35" width="10.83203125" style="1" bestFit="1" customWidth="1"/>
    <col min="36" max="36" width="7.6640625" style="1" bestFit="1" customWidth="1"/>
    <col min="37" max="39" width="6.6640625" style="1" bestFit="1" customWidth="1"/>
    <col min="40" max="40" width="8.1640625" style="1" bestFit="1" customWidth="1"/>
    <col min="41" max="65" width="6.6640625" style="1" bestFit="1" customWidth="1"/>
    <col min="66" max="232" width="7.6640625" style="1" bestFit="1" customWidth="1"/>
    <col min="233" max="16384" width="10.83203125" style="1"/>
  </cols>
  <sheetData>
    <row r="1" spans="1:232">
      <c r="A1" s="3" t="s">
        <v>35</v>
      </c>
    </row>
    <row r="2" spans="1:232" s="5" customFormat="1">
      <c r="C2" s="5" t="s">
        <v>0</v>
      </c>
      <c r="D2" s="5" t="s">
        <v>30</v>
      </c>
      <c r="E2" s="5" t="s">
        <v>31</v>
      </c>
      <c r="F2" s="5" t="s">
        <v>32</v>
      </c>
      <c r="G2" s="5" t="s">
        <v>33</v>
      </c>
      <c r="H2" s="5" t="s">
        <v>34</v>
      </c>
      <c r="I2" s="5" t="s">
        <v>1</v>
      </c>
      <c r="J2" s="5" t="s">
        <v>2</v>
      </c>
      <c r="K2" s="5" t="s">
        <v>12</v>
      </c>
      <c r="L2" s="5" t="s">
        <v>3</v>
      </c>
      <c r="M2" s="5" t="s">
        <v>4</v>
      </c>
      <c r="N2" s="5" t="s">
        <v>5</v>
      </c>
      <c r="Q2" s="5">
        <v>2018</v>
      </c>
      <c r="R2" s="5">
        <f>+Q2+1</f>
        <v>2019</v>
      </c>
      <c r="S2" s="5">
        <f t="shared" ref="S2:AF2" si="0">+R2+1</f>
        <v>2020</v>
      </c>
      <c r="T2" s="5">
        <f t="shared" si="0"/>
        <v>2021</v>
      </c>
      <c r="U2" s="5">
        <f t="shared" si="0"/>
        <v>2022</v>
      </c>
      <c r="V2" s="5">
        <f t="shared" si="0"/>
        <v>2023</v>
      </c>
      <c r="W2" s="5">
        <f t="shared" si="0"/>
        <v>2024</v>
      </c>
      <c r="X2" s="5">
        <f t="shared" si="0"/>
        <v>2025</v>
      </c>
      <c r="Y2" s="5">
        <f t="shared" si="0"/>
        <v>2026</v>
      </c>
      <c r="Z2" s="5">
        <f t="shared" si="0"/>
        <v>2027</v>
      </c>
      <c r="AA2" s="5">
        <f t="shared" si="0"/>
        <v>2028</v>
      </c>
      <c r="AB2" s="5">
        <f t="shared" si="0"/>
        <v>2029</v>
      </c>
      <c r="AC2" s="5">
        <f t="shared" si="0"/>
        <v>2030</v>
      </c>
      <c r="AD2" s="5">
        <f t="shared" si="0"/>
        <v>2031</v>
      </c>
      <c r="AE2" s="5">
        <f t="shared" si="0"/>
        <v>2032</v>
      </c>
      <c r="AF2" s="5">
        <f t="shared" si="0"/>
        <v>2033</v>
      </c>
      <c r="AG2" s="5">
        <f>+AF2+1</f>
        <v>2034</v>
      </c>
      <c r="AH2" s="5">
        <f t="shared" ref="AH2:CS2" si="1">+AG2+1</f>
        <v>2035</v>
      </c>
      <c r="AI2" s="5">
        <f t="shared" si="1"/>
        <v>2036</v>
      </c>
      <c r="AJ2" s="5">
        <f t="shared" si="1"/>
        <v>2037</v>
      </c>
      <c r="AK2" s="5">
        <f t="shared" si="1"/>
        <v>2038</v>
      </c>
      <c r="AL2" s="5">
        <f t="shared" si="1"/>
        <v>2039</v>
      </c>
      <c r="AM2" s="5">
        <f t="shared" si="1"/>
        <v>2040</v>
      </c>
      <c r="AN2" s="5">
        <f t="shared" si="1"/>
        <v>2041</v>
      </c>
      <c r="AO2" s="5">
        <f t="shared" si="1"/>
        <v>2042</v>
      </c>
      <c r="AP2" s="5">
        <f t="shared" si="1"/>
        <v>2043</v>
      </c>
      <c r="AQ2" s="5">
        <f t="shared" si="1"/>
        <v>2044</v>
      </c>
      <c r="AR2" s="5">
        <f t="shared" si="1"/>
        <v>2045</v>
      </c>
      <c r="AS2" s="5">
        <f t="shared" si="1"/>
        <v>2046</v>
      </c>
      <c r="AT2" s="5">
        <f t="shared" si="1"/>
        <v>2047</v>
      </c>
      <c r="AU2" s="5">
        <f t="shared" si="1"/>
        <v>2048</v>
      </c>
      <c r="AV2" s="5">
        <f t="shared" si="1"/>
        <v>2049</v>
      </c>
      <c r="AW2" s="5">
        <f t="shared" si="1"/>
        <v>2050</v>
      </c>
      <c r="AX2" s="5">
        <f t="shared" si="1"/>
        <v>2051</v>
      </c>
      <c r="AY2" s="5">
        <f t="shared" si="1"/>
        <v>2052</v>
      </c>
      <c r="AZ2" s="5">
        <f t="shared" si="1"/>
        <v>2053</v>
      </c>
      <c r="BA2" s="5">
        <f t="shared" si="1"/>
        <v>2054</v>
      </c>
      <c r="BB2" s="5">
        <f t="shared" si="1"/>
        <v>2055</v>
      </c>
      <c r="BC2" s="5">
        <f t="shared" si="1"/>
        <v>2056</v>
      </c>
      <c r="BD2" s="5">
        <f t="shared" si="1"/>
        <v>2057</v>
      </c>
      <c r="BE2" s="5">
        <f t="shared" si="1"/>
        <v>2058</v>
      </c>
      <c r="BF2" s="5">
        <f t="shared" si="1"/>
        <v>2059</v>
      </c>
      <c r="BG2" s="5">
        <f t="shared" si="1"/>
        <v>2060</v>
      </c>
      <c r="BH2" s="5">
        <f t="shared" si="1"/>
        <v>2061</v>
      </c>
      <c r="BI2" s="5">
        <f t="shared" si="1"/>
        <v>2062</v>
      </c>
      <c r="BJ2" s="5">
        <f t="shared" si="1"/>
        <v>2063</v>
      </c>
      <c r="BK2" s="5">
        <f t="shared" si="1"/>
        <v>2064</v>
      </c>
      <c r="BL2" s="5">
        <f t="shared" si="1"/>
        <v>2065</v>
      </c>
      <c r="BM2" s="5">
        <f t="shared" si="1"/>
        <v>2066</v>
      </c>
      <c r="BN2" s="5">
        <f t="shared" si="1"/>
        <v>2067</v>
      </c>
      <c r="BO2" s="5">
        <f t="shared" si="1"/>
        <v>2068</v>
      </c>
      <c r="BP2" s="5">
        <f t="shared" si="1"/>
        <v>2069</v>
      </c>
      <c r="BQ2" s="5">
        <f t="shared" si="1"/>
        <v>2070</v>
      </c>
      <c r="BR2" s="5">
        <f t="shared" si="1"/>
        <v>2071</v>
      </c>
      <c r="BS2" s="5">
        <f t="shared" si="1"/>
        <v>2072</v>
      </c>
      <c r="BT2" s="5">
        <f t="shared" si="1"/>
        <v>2073</v>
      </c>
      <c r="BU2" s="5">
        <f t="shared" si="1"/>
        <v>2074</v>
      </c>
      <c r="BV2" s="5">
        <f t="shared" si="1"/>
        <v>2075</v>
      </c>
      <c r="BW2" s="5">
        <f t="shared" si="1"/>
        <v>2076</v>
      </c>
      <c r="BX2" s="5">
        <f t="shared" si="1"/>
        <v>2077</v>
      </c>
      <c r="BY2" s="5">
        <f t="shared" si="1"/>
        <v>2078</v>
      </c>
      <c r="BZ2" s="5">
        <f t="shared" si="1"/>
        <v>2079</v>
      </c>
      <c r="CA2" s="5">
        <f t="shared" si="1"/>
        <v>2080</v>
      </c>
      <c r="CB2" s="5">
        <f t="shared" si="1"/>
        <v>2081</v>
      </c>
      <c r="CC2" s="5">
        <f t="shared" si="1"/>
        <v>2082</v>
      </c>
      <c r="CD2" s="5">
        <f t="shared" si="1"/>
        <v>2083</v>
      </c>
      <c r="CE2" s="5">
        <f t="shared" si="1"/>
        <v>2084</v>
      </c>
      <c r="CF2" s="5">
        <f t="shared" si="1"/>
        <v>2085</v>
      </c>
      <c r="CG2" s="5">
        <f t="shared" si="1"/>
        <v>2086</v>
      </c>
      <c r="CH2" s="5">
        <f t="shared" si="1"/>
        <v>2087</v>
      </c>
      <c r="CI2" s="5">
        <f t="shared" si="1"/>
        <v>2088</v>
      </c>
      <c r="CJ2" s="5">
        <f t="shared" si="1"/>
        <v>2089</v>
      </c>
      <c r="CK2" s="5">
        <f t="shared" si="1"/>
        <v>2090</v>
      </c>
      <c r="CL2" s="5">
        <f t="shared" si="1"/>
        <v>2091</v>
      </c>
      <c r="CM2" s="5">
        <f t="shared" si="1"/>
        <v>2092</v>
      </c>
      <c r="CN2" s="5">
        <f t="shared" si="1"/>
        <v>2093</v>
      </c>
      <c r="CO2" s="5">
        <f t="shared" si="1"/>
        <v>2094</v>
      </c>
      <c r="CP2" s="5">
        <f t="shared" si="1"/>
        <v>2095</v>
      </c>
      <c r="CQ2" s="5">
        <f t="shared" si="1"/>
        <v>2096</v>
      </c>
      <c r="CR2" s="5">
        <f t="shared" si="1"/>
        <v>2097</v>
      </c>
      <c r="CS2" s="5">
        <f t="shared" si="1"/>
        <v>2098</v>
      </c>
      <c r="CT2" s="5">
        <f t="shared" ref="CT2:FE2" si="2">+CS2+1</f>
        <v>2099</v>
      </c>
      <c r="CU2" s="5">
        <f t="shared" si="2"/>
        <v>2100</v>
      </c>
      <c r="CV2" s="5">
        <f t="shared" si="2"/>
        <v>2101</v>
      </c>
      <c r="CW2" s="5">
        <f t="shared" si="2"/>
        <v>2102</v>
      </c>
      <c r="CX2" s="5">
        <f t="shared" si="2"/>
        <v>2103</v>
      </c>
      <c r="CY2" s="5">
        <f t="shared" si="2"/>
        <v>2104</v>
      </c>
      <c r="CZ2" s="5">
        <f t="shared" si="2"/>
        <v>2105</v>
      </c>
      <c r="DA2" s="5">
        <f t="shared" si="2"/>
        <v>2106</v>
      </c>
      <c r="DB2" s="5">
        <f t="shared" si="2"/>
        <v>2107</v>
      </c>
      <c r="DC2" s="5">
        <f t="shared" si="2"/>
        <v>2108</v>
      </c>
      <c r="DD2" s="5">
        <f t="shared" si="2"/>
        <v>2109</v>
      </c>
      <c r="DE2" s="5">
        <f t="shared" si="2"/>
        <v>2110</v>
      </c>
      <c r="DF2" s="5">
        <f t="shared" si="2"/>
        <v>2111</v>
      </c>
      <c r="DG2" s="5">
        <f t="shared" si="2"/>
        <v>2112</v>
      </c>
      <c r="DH2" s="5">
        <f t="shared" si="2"/>
        <v>2113</v>
      </c>
      <c r="DI2" s="5">
        <f t="shared" si="2"/>
        <v>2114</v>
      </c>
      <c r="DJ2" s="5">
        <f t="shared" si="2"/>
        <v>2115</v>
      </c>
      <c r="DK2" s="5">
        <f t="shared" si="2"/>
        <v>2116</v>
      </c>
      <c r="DL2" s="5">
        <f t="shared" si="2"/>
        <v>2117</v>
      </c>
      <c r="DM2" s="5">
        <f t="shared" si="2"/>
        <v>2118</v>
      </c>
      <c r="DN2" s="5">
        <f t="shared" si="2"/>
        <v>2119</v>
      </c>
      <c r="DO2" s="5">
        <f t="shared" si="2"/>
        <v>2120</v>
      </c>
      <c r="DP2" s="5">
        <f t="shared" si="2"/>
        <v>2121</v>
      </c>
      <c r="DQ2" s="5">
        <f t="shared" si="2"/>
        <v>2122</v>
      </c>
      <c r="DR2" s="5">
        <f t="shared" si="2"/>
        <v>2123</v>
      </c>
      <c r="DS2" s="5">
        <f t="shared" si="2"/>
        <v>2124</v>
      </c>
      <c r="DT2" s="5">
        <f t="shared" si="2"/>
        <v>2125</v>
      </c>
      <c r="DU2" s="5">
        <f t="shared" si="2"/>
        <v>2126</v>
      </c>
      <c r="DV2" s="5">
        <f t="shared" si="2"/>
        <v>2127</v>
      </c>
      <c r="DW2" s="5">
        <f t="shared" si="2"/>
        <v>2128</v>
      </c>
      <c r="DX2" s="5">
        <f t="shared" si="2"/>
        <v>2129</v>
      </c>
      <c r="DY2" s="5">
        <f t="shared" si="2"/>
        <v>2130</v>
      </c>
      <c r="DZ2" s="5">
        <f t="shared" si="2"/>
        <v>2131</v>
      </c>
      <c r="EA2" s="5">
        <f t="shared" si="2"/>
        <v>2132</v>
      </c>
      <c r="EB2" s="5">
        <f t="shared" si="2"/>
        <v>2133</v>
      </c>
      <c r="EC2" s="5">
        <f t="shared" si="2"/>
        <v>2134</v>
      </c>
      <c r="ED2" s="5">
        <f t="shared" si="2"/>
        <v>2135</v>
      </c>
      <c r="EE2" s="5">
        <f t="shared" si="2"/>
        <v>2136</v>
      </c>
      <c r="EF2" s="5">
        <f t="shared" si="2"/>
        <v>2137</v>
      </c>
      <c r="EG2" s="5">
        <f t="shared" si="2"/>
        <v>2138</v>
      </c>
      <c r="EH2" s="5">
        <f t="shared" si="2"/>
        <v>2139</v>
      </c>
      <c r="EI2" s="5">
        <f t="shared" si="2"/>
        <v>2140</v>
      </c>
      <c r="EJ2" s="5">
        <f t="shared" si="2"/>
        <v>2141</v>
      </c>
      <c r="EK2" s="5">
        <f t="shared" si="2"/>
        <v>2142</v>
      </c>
      <c r="EL2" s="5">
        <f t="shared" si="2"/>
        <v>2143</v>
      </c>
      <c r="EM2" s="5">
        <f t="shared" si="2"/>
        <v>2144</v>
      </c>
      <c r="EN2" s="5">
        <f t="shared" si="2"/>
        <v>2145</v>
      </c>
      <c r="EO2" s="5">
        <f t="shared" si="2"/>
        <v>2146</v>
      </c>
      <c r="EP2" s="5">
        <f t="shared" si="2"/>
        <v>2147</v>
      </c>
      <c r="EQ2" s="5">
        <f t="shared" si="2"/>
        <v>2148</v>
      </c>
      <c r="ER2" s="5">
        <f t="shared" si="2"/>
        <v>2149</v>
      </c>
      <c r="ES2" s="5">
        <f t="shared" si="2"/>
        <v>2150</v>
      </c>
      <c r="ET2" s="5">
        <f t="shared" si="2"/>
        <v>2151</v>
      </c>
      <c r="EU2" s="5">
        <f t="shared" si="2"/>
        <v>2152</v>
      </c>
      <c r="EV2" s="5">
        <f t="shared" si="2"/>
        <v>2153</v>
      </c>
      <c r="EW2" s="5">
        <f t="shared" si="2"/>
        <v>2154</v>
      </c>
      <c r="EX2" s="5">
        <f t="shared" si="2"/>
        <v>2155</v>
      </c>
      <c r="EY2" s="5">
        <f t="shared" si="2"/>
        <v>2156</v>
      </c>
      <c r="EZ2" s="5">
        <f t="shared" si="2"/>
        <v>2157</v>
      </c>
      <c r="FA2" s="5">
        <f t="shared" si="2"/>
        <v>2158</v>
      </c>
      <c r="FB2" s="5">
        <f t="shared" si="2"/>
        <v>2159</v>
      </c>
      <c r="FC2" s="5">
        <f t="shared" si="2"/>
        <v>2160</v>
      </c>
      <c r="FD2" s="5">
        <f t="shared" si="2"/>
        <v>2161</v>
      </c>
      <c r="FE2" s="5">
        <f t="shared" si="2"/>
        <v>2162</v>
      </c>
      <c r="FF2" s="5">
        <f t="shared" ref="FF2:GC2" si="3">+FE2+1</f>
        <v>2163</v>
      </c>
      <c r="FG2" s="5">
        <f t="shared" si="3"/>
        <v>2164</v>
      </c>
      <c r="FH2" s="5">
        <f t="shared" si="3"/>
        <v>2165</v>
      </c>
      <c r="FI2" s="5">
        <f t="shared" si="3"/>
        <v>2166</v>
      </c>
      <c r="FJ2" s="5">
        <f t="shared" si="3"/>
        <v>2167</v>
      </c>
      <c r="FK2" s="5">
        <f t="shared" si="3"/>
        <v>2168</v>
      </c>
      <c r="FL2" s="5">
        <f t="shared" si="3"/>
        <v>2169</v>
      </c>
      <c r="FM2" s="5">
        <f t="shared" si="3"/>
        <v>2170</v>
      </c>
      <c r="FN2" s="5">
        <f t="shared" si="3"/>
        <v>2171</v>
      </c>
      <c r="FO2" s="5">
        <f t="shared" si="3"/>
        <v>2172</v>
      </c>
      <c r="FP2" s="5">
        <f t="shared" si="3"/>
        <v>2173</v>
      </c>
      <c r="FQ2" s="5">
        <f t="shared" si="3"/>
        <v>2174</v>
      </c>
      <c r="FR2" s="5">
        <f t="shared" si="3"/>
        <v>2175</v>
      </c>
      <c r="FS2" s="5">
        <f t="shared" si="3"/>
        <v>2176</v>
      </c>
      <c r="FT2" s="5">
        <f t="shared" si="3"/>
        <v>2177</v>
      </c>
      <c r="FU2" s="5">
        <f t="shared" si="3"/>
        <v>2178</v>
      </c>
      <c r="FV2" s="5">
        <f t="shared" si="3"/>
        <v>2179</v>
      </c>
      <c r="FW2" s="5">
        <f t="shared" si="3"/>
        <v>2180</v>
      </c>
      <c r="FX2" s="5">
        <f t="shared" si="3"/>
        <v>2181</v>
      </c>
      <c r="FY2" s="5">
        <f t="shared" si="3"/>
        <v>2182</v>
      </c>
      <c r="FZ2" s="5">
        <f t="shared" si="3"/>
        <v>2183</v>
      </c>
      <c r="GA2" s="5">
        <f t="shared" si="3"/>
        <v>2184</v>
      </c>
      <c r="GB2" s="5">
        <f t="shared" si="3"/>
        <v>2185</v>
      </c>
      <c r="GC2" s="5">
        <f t="shared" si="3"/>
        <v>2186</v>
      </c>
      <c r="GD2" s="5">
        <f t="shared" ref="GD2:HH2" si="4">+GC2+1</f>
        <v>2187</v>
      </c>
      <c r="GE2" s="5">
        <f t="shared" si="4"/>
        <v>2188</v>
      </c>
      <c r="GF2" s="5">
        <f t="shared" si="4"/>
        <v>2189</v>
      </c>
      <c r="GG2" s="5">
        <f t="shared" si="4"/>
        <v>2190</v>
      </c>
      <c r="GH2" s="5">
        <f t="shared" si="4"/>
        <v>2191</v>
      </c>
      <c r="GI2" s="5">
        <f t="shared" si="4"/>
        <v>2192</v>
      </c>
      <c r="GJ2" s="5">
        <f t="shared" si="4"/>
        <v>2193</v>
      </c>
      <c r="GK2" s="5">
        <f t="shared" si="4"/>
        <v>2194</v>
      </c>
      <c r="GL2" s="5">
        <f t="shared" si="4"/>
        <v>2195</v>
      </c>
      <c r="GM2" s="5">
        <f t="shared" si="4"/>
        <v>2196</v>
      </c>
      <c r="GN2" s="5">
        <f t="shared" si="4"/>
        <v>2197</v>
      </c>
      <c r="GO2" s="5">
        <f t="shared" si="4"/>
        <v>2198</v>
      </c>
      <c r="GP2" s="5">
        <f t="shared" si="4"/>
        <v>2199</v>
      </c>
      <c r="GQ2" s="5">
        <f t="shared" si="4"/>
        <v>2200</v>
      </c>
      <c r="GR2" s="5">
        <f t="shared" si="4"/>
        <v>2201</v>
      </c>
      <c r="GS2" s="5">
        <f t="shared" si="4"/>
        <v>2202</v>
      </c>
      <c r="GT2" s="5">
        <f t="shared" si="4"/>
        <v>2203</v>
      </c>
      <c r="GU2" s="5">
        <f t="shared" si="4"/>
        <v>2204</v>
      </c>
      <c r="GV2" s="5">
        <f t="shared" si="4"/>
        <v>2205</v>
      </c>
      <c r="GW2" s="5">
        <f t="shared" si="4"/>
        <v>2206</v>
      </c>
      <c r="GX2" s="5">
        <f t="shared" si="4"/>
        <v>2207</v>
      </c>
      <c r="GY2" s="5">
        <f t="shared" si="4"/>
        <v>2208</v>
      </c>
      <c r="GZ2" s="5">
        <f t="shared" si="4"/>
        <v>2209</v>
      </c>
      <c r="HA2" s="5">
        <f t="shared" si="4"/>
        <v>2210</v>
      </c>
      <c r="HB2" s="5">
        <f t="shared" si="4"/>
        <v>2211</v>
      </c>
      <c r="HC2" s="5">
        <f t="shared" si="4"/>
        <v>2212</v>
      </c>
      <c r="HD2" s="5">
        <f t="shared" si="4"/>
        <v>2213</v>
      </c>
      <c r="HE2" s="5">
        <f t="shared" si="4"/>
        <v>2214</v>
      </c>
      <c r="HF2" s="5">
        <f t="shared" si="4"/>
        <v>2215</v>
      </c>
      <c r="HG2" s="5">
        <f t="shared" si="4"/>
        <v>2216</v>
      </c>
      <c r="HH2" s="5">
        <f t="shared" si="4"/>
        <v>2217</v>
      </c>
      <c r="HI2" s="5">
        <f t="shared" ref="HI2:HX2" si="5">+HH2+1</f>
        <v>2218</v>
      </c>
      <c r="HJ2" s="5">
        <f t="shared" si="5"/>
        <v>2219</v>
      </c>
      <c r="HK2" s="5">
        <f t="shared" si="5"/>
        <v>2220</v>
      </c>
      <c r="HL2" s="5">
        <f t="shared" si="5"/>
        <v>2221</v>
      </c>
      <c r="HM2" s="5">
        <f t="shared" si="5"/>
        <v>2222</v>
      </c>
      <c r="HN2" s="5">
        <f t="shared" si="5"/>
        <v>2223</v>
      </c>
      <c r="HO2" s="5">
        <f t="shared" si="5"/>
        <v>2224</v>
      </c>
      <c r="HP2" s="5">
        <f t="shared" si="5"/>
        <v>2225</v>
      </c>
      <c r="HQ2" s="5">
        <f t="shared" si="5"/>
        <v>2226</v>
      </c>
      <c r="HR2" s="5">
        <f t="shared" si="5"/>
        <v>2227</v>
      </c>
      <c r="HS2" s="5">
        <f t="shared" si="5"/>
        <v>2228</v>
      </c>
      <c r="HT2" s="5">
        <f t="shared" si="5"/>
        <v>2229</v>
      </c>
      <c r="HU2" s="5">
        <f t="shared" si="5"/>
        <v>2230</v>
      </c>
      <c r="HV2" s="5">
        <f t="shared" si="5"/>
        <v>2231</v>
      </c>
      <c r="HW2" s="5">
        <f t="shared" si="5"/>
        <v>2232</v>
      </c>
      <c r="HX2" s="5">
        <f t="shared" si="5"/>
        <v>2233</v>
      </c>
    </row>
    <row r="3" spans="1:232" s="5" customFormat="1">
      <c r="B3" s="5" t="s">
        <v>40</v>
      </c>
      <c r="D3" s="5">
        <v>97</v>
      </c>
      <c r="E3" s="5">
        <v>97</v>
      </c>
      <c r="F3" s="5">
        <f>+U3</f>
        <v>98</v>
      </c>
      <c r="G3" s="5">
        <v>99</v>
      </c>
      <c r="H3" s="5">
        <v>100</v>
      </c>
      <c r="I3" s="5">
        <v>100</v>
      </c>
      <c r="J3" s="5">
        <f>+V3</f>
        <v>101</v>
      </c>
      <c r="K3" s="5">
        <v>102</v>
      </c>
      <c r="T3" s="5">
        <v>96</v>
      </c>
      <c r="U3" s="5">
        <v>98</v>
      </c>
      <c r="V3" s="5">
        <v>101</v>
      </c>
      <c r="W3" s="5">
        <f>+V3+AVERAGE(6,8)</f>
        <v>108</v>
      </c>
      <c r="X3" s="5">
        <f>+W3+3</f>
        <v>111</v>
      </c>
      <c r="Y3" s="5">
        <f t="shared" ref="Y3:AF3" si="6">+X3+3</f>
        <v>114</v>
      </c>
      <c r="Z3" s="5">
        <f t="shared" si="6"/>
        <v>117</v>
      </c>
      <c r="AA3" s="5">
        <f t="shared" si="6"/>
        <v>120</v>
      </c>
      <c r="AB3" s="5">
        <f t="shared" si="6"/>
        <v>123</v>
      </c>
      <c r="AC3" s="5">
        <f t="shared" si="6"/>
        <v>126</v>
      </c>
      <c r="AD3" s="5">
        <f t="shared" si="6"/>
        <v>129</v>
      </c>
      <c r="AE3" s="5">
        <f t="shared" si="6"/>
        <v>132</v>
      </c>
      <c r="AF3" s="5">
        <f t="shared" si="6"/>
        <v>135</v>
      </c>
    </row>
    <row r="4" spans="1:232">
      <c r="B4" s="1" t="s">
        <v>42</v>
      </c>
      <c r="C4" s="1">
        <f t="shared" ref="C4:K4" si="7">+IFERROR(C8/C3,0)</f>
        <v>0</v>
      </c>
      <c r="D4" s="1">
        <f t="shared" si="7"/>
        <v>1143.7731958762886</v>
      </c>
      <c r="E4" s="1">
        <f t="shared" si="7"/>
        <v>1099.8144329896907</v>
      </c>
      <c r="F4" s="1">
        <f t="shared" si="7"/>
        <v>1062.2551020408164</v>
      </c>
      <c r="G4" s="1">
        <f t="shared" si="7"/>
        <v>1136.3434343434344</v>
      </c>
      <c r="H4" s="1">
        <f t="shared" si="7"/>
        <v>1190.01</v>
      </c>
      <c r="I4" s="1">
        <f t="shared" si="7"/>
        <v>1134.6400000000001</v>
      </c>
      <c r="J4" s="1">
        <f t="shared" si="7"/>
        <v>1151.950495049505</v>
      </c>
      <c r="K4" s="1">
        <f t="shared" si="7"/>
        <v>1082.9803921568628</v>
      </c>
      <c r="T4" s="1">
        <f>+IFERROR(T8/T3,0)</f>
        <v>4129.864583333333</v>
      </c>
      <c r="U4" s="1">
        <f>+IFERROR(U8/U3,0)</f>
        <v>4308.3163265306121</v>
      </c>
      <c r="V4" s="1">
        <f>+IFERROR(V8/V3,0)</f>
        <v>4567.4257425742571</v>
      </c>
      <c r="W4" s="1">
        <f>+V4*(1+W5)</f>
        <v>4658.7742574257427</v>
      </c>
      <c r="X4" s="1">
        <f t="shared" ref="X4:AF4" si="8">+W4*(1+X5)</f>
        <v>4751.9497425742575</v>
      </c>
      <c r="Y4" s="1">
        <f t="shared" si="8"/>
        <v>4846.9887374257423</v>
      </c>
      <c r="Z4" s="1">
        <f t="shared" si="8"/>
        <v>4943.9285121742569</v>
      </c>
      <c r="AA4" s="1">
        <f t="shared" si="8"/>
        <v>5042.8070824177421</v>
      </c>
      <c r="AB4" s="1">
        <f t="shared" si="8"/>
        <v>5143.6632240660974</v>
      </c>
      <c r="AC4" s="1">
        <f t="shared" si="8"/>
        <v>5246.5364885474191</v>
      </c>
      <c r="AD4" s="1">
        <f t="shared" si="8"/>
        <v>5351.4672183183675</v>
      </c>
      <c r="AE4" s="1">
        <f t="shared" si="8"/>
        <v>5458.4965626847352</v>
      </c>
      <c r="AF4" s="1">
        <f t="shared" si="8"/>
        <v>5567.66649393843</v>
      </c>
    </row>
    <row r="5" spans="1:232" s="4" customFormat="1">
      <c r="H5" s="4">
        <f>+H4/D4-1</f>
        <v>4.0424801254664411E-2</v>
      </c>
      <c r="I5" s="4">
        <f>+I4/E4-1</f>
        <v>3.1664948163701689E-2</v>
      </c>
      <c r="J5" s="4">
        <f>+J4/F4-1</f>
        <v>8.4438655871235557E-2</v>
      </c>
      <c r="K5" s="4">
        <f>+K4/G4-1</f>
        <v>-4.6960311974173718E-2</v>
      </c>
      <c r="U5" s="4">
        <f>+U4/T4-1</f>
        <v>4.3210071322301147E-2</v>
      </c>
      <c r="V5" s="4">
        <f>+V4/U4-1</f>
        <v>6.014168793689767E-2</v>
      </c>
      <c r="W5" s="4">
        <v>0.02</v>
      </c>
      <c r="X5" s="4">
        <f t="shared" ref="X5:AF5" si="9">+W5</f>
        <v>0.02</v>
      </c>
      <c r="Y5" s="4">
        <f t="shared" si="9"/>
        <v>0.02</v>
      </c>
      <c r="Z5" s="4">
        <f t="shared" si="9"/>
        <v>0.02</v>
      </c>
      <c r="AA5" s="4">
        <f t="shared" si="9"/>
        <v>0.02</v>
      </c>
      <c r="AB5" s="4">
        <f t="shared" si="9"/>
        <v>0.02</v>
      </c>
      <c r="AC5" s="4">
        <f t="shared" si="9"/>
        <v>0.02</v>
      </c>
      <c r="AD5" s="4">
        <f t="shared" si="9"/>
        <v>0.02</v>
      </c>
      <c r="AE5" s="4">
        <f t="shared" si="9"/>
        <v>0.02</v>
      </c>
      <c r="AF5" s="4">
        <f t="shared" si="9"/>
        <v>0.02</v>
      </c>
    </row>
    <row r="6" spans="1:232" s="5" customFormat="1"/>
    <row r="7" spans="1:232" s="8" customFormat="1">
      <c r="B7" s="8" t="s">
        <v>41</v>
      </c>
      <c r="C7" s="8">
        <v>0.114</v>
      </c>
      <c r="D7" s="8">
        <v>2.5999999999999999E-2</v>
      </c>
      <c r="E7" s="8">
        <v>2.5999999999999999E-2</v>
      </c>
      <c r="F7" s="8">
        <f>+U7</f>
        <v>4.4999999999999998E-2</v>
      </c>
      <c r="G7" s="8">
        <v>0.08</v>
      </c>
      <c r="H7" s="8">
        <v>0.02</v>
      </c>
      <c r="I7" s="8">
        <v>0.02</v>
      </c>
      <c r="J7" s="8">
        <f>+V7</f>
        <v>3.3000000000000002E-2</v>
      </c>
      <c r="K7" s="9">
        <v>-4.2999999999999997E-2</v>
      </c>
      <c r="T7" s="8">
        <v>0.221</v>
      </c>
      <c r="U7" s="8">
        <v>4.4999999999999998E-2</v>
      </c>
      <c r="V7" s="8">
        <v>3.3000000000000002E-2</v>
      </c>
    </row>
    <row r="8" spans="1:232">
      <c r="B8" s="1" t="s">
        <v>14</v>
      </c>
      <c r="C8" s="1">
        <v>100486</v>
      </c>
      <c r="D8" s="1">
        <v>110946</v>
      </c>
      <c r="E8" s="1">
        <v>106682</v>
      </c>
      <c r="F8" s="1">
        <f>+U8-SUM(C8:E8)</f>
        <v>104101</v>
      </c>
      <c r="G8" s="1">
        <v>112498</v>
      </c>
      <c r="H8" s="1">
        <v>119001</v>
      </c>
      <c r="I8" s="1">
        <v>113464</v>
      </c>
      <c r="J8" s="1">
        <f t="shared" ref="J8:J16" si="10">+V8-SUM(G8:I8)</f>
        <v>116347</v>
      </c>
      <c r="K8" s="1">
        <v>110464</v>
      </c>
      <c r="Q8" s="1">
        <v>398200</v>
      </c>
      <c r="R8" s="1">
        <v>426357</v>
      </c>
      <c r="S8" s="1">
        <v>320952</v>
      </c>
      <c r="T8" s="1">
        <v>396467</v>
      </c>
      <c r="U8" s="1">
        <v>422215</v>
      </c>
      <c r="V8" s="1">
        <v>461310</v>
      </c>
      <c r="W8" s="1">
        <f>+W3*W4</f>
        <v>503147.61980198021</v>
      </c>
      <c r="X8" s="1">
        <f t="shared" ref="X8:AF8" si="11">+X3*X4</f>
        <v>527466.42142574256</v>
      </c>
      <c r="Y8" s="1">
        <f t="shared" si="11"/>
        <v>552556.71606653463</v>
      </c>
      <c r="Z8" s="1">
        <f t="shared" si="11"/>
        <v>578439.63592438807</v>
      </c>
      <c r="AA8" s="1">
        <f t="shared" si="11"/>
        <v>605136.84989012906</v>
      </c>
      <c r="AB8" s="1">
        <f t="shared" si="11"/>
        <v>632670.57656012999</v>
      </c>
      <c r="AC8" s="1">
        <f t="shared" si="11"/>
        <v>661063.59755697486</v>
      </c>
      <c r="AD8" s="1">
        <f t="shared" si="11"/>
        <v>690339.27116306941</v>
      </c>
      <c r="AE8" s="1">
        <f t="shared" si="11"/>
        <v>720521.54627438507</v>
      </c>
      <c r="AF8" s="1">
        <f t="shared" si="11"/>
        <v>751634.9766816881</v>
      </c>
    </row>
    <row r="9" spans="1:232">
      <c r="B9" s="1" t="s">
        <v>15</v>
      </c>
      <c r="C9" s="1">
        <v>26243</v>
      </c>
      <c r="D9" s="1">
        <v>30874</v>
      </c>
      <c r="E9" s="1">
        <v>29149</v>
      </c>
      <c r="F9" s="1">
        <f t="shared" ref="F9:F23" si="12">+U9-SUM(C9:E9)</f>
        <v>28637</v>
      </c>
      <c r="G9" s="1">
        <v>28718</v>
      </c>
      <c r="H9" s="1">
        <v>29432</v>
      </c>
      <c r="I9" s="1">
        <v>28517</v>
      </c>
      <c r="J9" s="1">
        <f t="shared" si="10"/>
        <v>29203</v>
      </c>
      <c r="K9" s="1">
        <v>27821</v>
      </c>
      <c r="Q9" s="1">
        <v>101946</v>
      </c>
      <c r="R9" s="1">
        <v>110152</v>
      </c>
      <c r="S9" s="1">
        <v>79033</v>
      </c>
      <c r="T9" s="1">
        <v>96476</v>
      </c>
      <c r="U9" s="1">
        <v>114903</v>
      </c>
      <c r="V9" s="1">
        <v>115870</v>
      </c>
      <c r="W9" s="1">
        <f t="shared" ref="W9:W16" si="13">+W$8*(V9/V$8)</f>
        <v>126378.60594059406</v>
      </c>
      <c r="X9" s="1">
        <f t="shared" ref="X9:AF9" si="14">+X$8*(W9/W$8)</f>
        <v>132486.90522772277</v>
      </c>
      <c r="Y9" s="1">
        <f t="shared" si="14"/>
        <v>138788.98504396039</v>
      </c>
      <c r="Z9" s="1">
        <f t="shared" si="14"/>
        <v>145290.15329075643</v>
      </c>
      <c r="AA9" s="1">
        <f t="shared" si="14"/>
        <v>151995.85267340671</v>
      </c>
      <c r="AB9" s="1">
        <f t="shared" si="14"/>
        <v>158911.66397004673</v>
      </c>
      <c r="AC9" s="1">
        <f t="shared" si="14"/>
        <v>166043.309377483</v>
      </c>
      <c r="AD9" s="1">
        <f t="shared" si="14"/>
        <v>173396.65593562866</v>
      </c>
      <c r="AE9" s="1">
        <f t="shared" si="14"/>
        <v>180977.71903234918</v>
      </c>
      <c r="AF9" s="1">
        <f t="shared" si="14"/>
        <v>188792.66599056427</v>
      </c>
    </row>
    <row r="10" spans="1:232">
      <c r="B10" s="1" t="s">
        <v>16</v>
      </c>
      <c r="C10" s="1">
        <v>29825</v>
      </c>
      <c r="D10" s="1">
        <v>32267</v>
      </c>
      <c r="E10" s="1">
        <v>32378</v>
      </c>
      <c r="F10" s="1">
        <f t="shared" si="12"/>
        <v>31779</v>
      </c>
      <c r="G10" s="1">
        <v>34102</v>
      </c>
      <c r="H10" s="1">
        <v>35159</v>
      </c>
      <c r="I10" s="1">
        <v>34548</v>
      </c>
      <c r="J10" s="1">
        <f t="shared" si="10"/>
        <v>35851</v>
      </c>
      <c r="K10" s="1">
        <v>34655</v>
      </c>
      <c r="Q10" s="1">
        <v>144325</v>
      </c>
      <c r="R10" s="1">
        <v>150779</v>
      </c>
      <c r="S10" s="1">
        <v>98184</v>
      </c>
      <c r="T10" s="1">
        <v>113622</v>
      </c>
      <c r="U10" s="1">
        <v>126249</v>
      </c>
      <c r="V10" s="1">
        <v>139660</v>
      </c>
      <c r="W10" s="1">
        <f t="shared" si="13"/>
        <v>152326.19405940594</v>
      </c>
      <c r="X10" s="1">
        <f t="shared" ref="X10:AF10" si="15">+X$8*(W10/W$8)</f>
        <v>159688.62677227723</v>
      </c>
      <c r="Y10" s="1">
        <f t="shared" si="15"/>
        <v>167284.62631603962</v>
      </c>
      <c r="Z10" s="1">
        <f t="shared" si="15"/>
        <v>175120.59039084357</v>
      </c>
      <c r="AA10" s="1">
        <f t="shared" si="15"/>
        <v>183203.07917811326</v>
      </c>
      <c r="AB10" s="1">
        <f t="shared" si="15"/>
        <v>191538.81928071743</v>
      </c>
      <c r="AC10" s="1">
        <f t="shared" si="15"/>
        <v>200134.70775575453</v>
      </c>
      <c r="AD10" s="1">
        <f t="shared" si="15"/>
        <v>208997.81624208076</v>
      </c>
      <c r="AE10" s="1">
        <f t="shared" si="15"/>
        <v>218135.3951847578</v>
      </c>
      <c r="AF10" s="1">
        <f t="shared" si="15"/>
        <v>227554.87815864509</v>
      </c>
    </row>
    <row r="11" spans="1:232">
      <c r="B11" s="1" t="s">
        <v>18</v>
      </c>
      <c r="C11" s="1">
        <v>16230</v>
      </c>
      <c r="D11" s="1">
        <v>17493</v>
      </c>
      <c r="E11" s="1">
        <v>17441</v>
      </c>
      <c r="F11" s="1">
        <f t="shared" si="12"/>
        <v>17272</v>
      </c>
      <c r="G11" s="1">
        <v>18078</v>
      </c>
      <c r="H11" s="1">
        <v>18896</v>
      </c>
      <c r="I11" s="1">
        <v>19047</v>
      </c>
      <c r="J11" s="1">
        <f t="shared" si="10"/>
        <v>19466</v>
      </c>
      <c r="K11" s="1">
        <v>18082</v>
      </c>
      <c r="Q11" s="1">
        <v>57457</v>
      </c>
      <c r="R11" s="1">
        <v>62121</v>
      </c>
      <c r="S11" s="1">
        <v>50352</v>
      </c>
      <c r="T11" s="1">
        <v>59617</v>
      </c>
      <c r="U11" s="1">
        <v>68436</v>
      </c>
      <c r="V11" s="1">
        <v>75487</v>
      </c>
      <c r="W11" s="1">
        <f t="shared" si="13"/>
        <v>82333.147722772279</v>
      </c>
      <c r="X11" s="1">
        <f t="shared" ref="X11:AF11" si="16">+X$8*(W11/W$8)</f>
        <v>86312.583196039603</v>
      </c>
      <c r="Y11" s="1">
        <f t="shared" si="16"/>
        <v>90418.262829148516</v>
      </c>
      <c r="Z11" s="1">
        <f t="shared" si="16"/>
        <v>94653.644614303368</v>
      </c>
      <c r="AA11" s="1">
        <f t="shared" si="16"/>
        <v>99022.274365732752</v>
      </c>
      <c r="AB11" s="1">
        <f t="shared" si="16"/>
        <v>103527.78784937361</v>
      </c>
      <c r="AC11" s="1">
        <f t="shared" si="16"/>
        <v>108173.91296261379</v>
      </c>
      <c r="AD11" s="1">
        <f t="shared" si="16"/>
        <v>112964.47196524381</v>
      </c>
      <c r="AE11" s="1">
        <f t="shared" si="16"/>
        <v>117903.38376279402</v>
      </c>
      <c r="AF11" s="1">
        <f t="shared" si="16"/>
        <v>122994.66624346013</v>
      </c>
    </row>
    <row r="12" spans="1:232">
      <c r="B12" s="1" t="s">
        <v>17</v>
      </c>
      <c r="C12" s="1">
        <v>7652</v>
      </c>
      <c r="D12" s="1">
        <v>7556</v>
      </c>
      <c r="E12" s="1">
        <v>7490</v>
      </c>
      <c r="F12" s="1">
        <f t="shared" si="12"/>
        <v>7266</v>
      </c>
      <c r="G12" s="1">
        <v>7882</v>
      </c>
      <c r="H12" s="1">
        <v>8116</v>
      </c>
      <c r="I12" s="1">
        <v>7772</v>
      </c>
      <c r="J12" s="1">
        <f t="shared" si="10"/>
        <v>6964</v>
      </c>
      <c r="K12" s="1">
        <v>7667</v>
      </c>
      <c r="Q12" s="1">
        <v>30028</v>
      </c>
      <c r="R12" s="1">
        <v>32151</v>
      </c>
      <c r="S12" s="1">
        <v>29406</v>
      </c>
      <c r="T12" s="1">
        <v>29281</v>
      </c>
      <c r="U12" s="1">
        <v>29964</v>
      </c>
      <c r="V12" s="1">
        <v>30734</v>
      </c>
      <c r="W12" s="1">
        <f t="shared" si="13"/>
        <v>33521.360792079206</v>
      </c>
      <c r="X12" s="1">
        <f t="shared" ref="X12:AF12" si="17">+X$8*(W12/W$8)</f>
        <v>35141.5598970297</v>
      </c>
      <c r="Y12" s="1">
        <f t="shared" si="17"/>
        <v>36813.158421861386</v>
      </c>
      <c r="Z12" s="1">
        <f t="shared" si="17"/>
        <v>38537.564263727523</v>
      </c>
      <c r="AA12" s="1">
        <f t="shared" si="17"/>
        <v>40316.221075899564</v>
      </c>
      <c r="AB12" s="1">
        <f t="shared" si="17"/>
        <v>42150.609134852995</v>
      </c>
      <c r="AC12" s="1">
        <f t="shared" si="17"/>
        <v>44042.246227734206</v>
      </c>
      <c r="AD12" s="1">
        <f t="shared" si="17"/>
        <v>45992.688560676717</v>
      </c>
      <c r="AE12" s="1">
        <f t="shared" si="17"/>
        <v>48003.531688445837</v>
      </c>
      <c r="AF12" s="1">
        <f t="shared" si="17"/>
        <v>50076.411465901459</v>
      </c>
    </row>
    <row r="13" spans="1:232">
      <c r="B13" s="1" t="s">
        <v>19</v>
      </c>
      <c r="C13" s="1">
        <v>6654</v>
      </c>
      <c r="D13" s="1">
        <v>6494</v>
      </c>
      <c r="E13" s="1">
        <v>6700</v>
      </c>
      <c r="F13" s="1">
        <f t="shared" si="12"/>
        <v>6485</v>
      </c>
      <c r="G13" s="1">
        <v>7806</v>
      </c>
      <c r="H13" s="1">
        <v>7698</v>
      </c>
      <c r="I13" s="1">
        <v>7885</v>
      </c>
      <c r="J13" s="1">
        <f t="shared" si="10"/>
        <v>8057</v>
      </c>
      <c r="K13" s="1">
        <v>7134</v>
      </c>
      <c r="Q13" s="1">
        <v>20725</v>
      </c>
      <c r="R13" s="1">
        <v>23681</v>
      </c>
      <c r="S13" s="1">
        <v>22195</v>
      </c>
      <c r="T13" s="1">
        <v>26599</v>
      </c>
      <c r="U13" s="1">
        <v>26333</v>
      </c>
      <c r="V13" s="1">
        <v>31446</v>
      </c>
      <c r="W13" s="1">
        <f t="shared" si="13"/>
        <v>34297.934257425739</v>
      </c>
      <c r="X13" s="1">
        <f t="shared" ref="X13:AF13" si="18">+X$8*(W13/W$8)</f>
        <v>35955.667746534651</v>
      </c>
      <c r="Y13" s="1">
        <f t="shared" si="18"/>
        <v>37665.991401504943</v>
      </c>
      <c r="Z13" s="1">
        <f t="shared" si="18"/>
        <v>39430.345735575436</v>
      </c>
      <c r="AA13" s="1">
        <f t="shared" si="18"/>
        <v>41250.207846448153</v>
      </c>
      <c r="AB13" s="1">
        <f t="shared" si="18"/>
        <v>43127.092303461548</v>
      </c>
      <c r="AC13" s="1">
        <f t="shared" si="18"/>
        <v>45062.552055616892</v>
      </c>
      <c r="AD13" s="1">
        <f t="shared" si="18"/>
        <v>47058.179360937065</v>
      </c>
      <c r="AE13" s="1">
        <f t="shared" si="18"/>
        <v>49115.606737647809</v>
      </c>
      <c r="AF13" s="1">
        <f t="shared" si="18"/>
        <v>51236.507937682603</v>
      </c>
    </row>
    <row r="14" spans="1:232">
      <c r="B14" s="1" t="s">
        <v>20</v>
      </c>
      <c r="C14" s="1">
        <v>1413</v>
      </c>
      <c r="D14" s="1">
        <v>1614</v>
      </c>
      <c r="E14" s="1">
        <v>1541</v>
      </c>
      <c r="F14" s="1">
        <f t="shared" si="12"/>
        <v>1436</v>
      </c>
      <c r="G14" s="1">
        <v>1550</v>
      </c>
      <c r="H14" s="1">
        <v>1693</v>
      </c>
      <c r="I14" s="1">
        <v>1609</v>
      </c>
      <c r="J14" s="1">
        <f t="shared" si="10"/>
        <v>1559</v>
      </c>
      <c r="K14" s="1">
        <v>1449</v>
      </c>
      <c r="Q14" s="1">
        <v>3929</v>
      </c>
      <c r="R14" s="1">
        <v>5555</v>
      </c>
      <c r="S14" s="1">
        <v>2732</v>
      </c>
      <c r="T14" s="1">
        <v>4360</v>
      </c>
      <c r="U14" s="1">
        <v>6004</v>
      </c>
      <c r="V14" s="1">
        <v>6411</v>
      </c>
      <c r="W14" s="1">
        <f t="shared" si="13"/>
        <v>6992.4332673267336</v>
      </c>
      <c r="X14" s="1">
        <f t="shared" ref="X14:AF14" si="19">+X$8*(W14/W$8)</f>
        <v>7330.4008752475247</v>
      </c>
      <c r="Y14" s="1">
        <f t="shared" si="19"/>
        <v>7679.090214178218</v>
      </c>
      <c r="Z14" s="1">
        <f t="shared" si="19"/>
        <v>8038.7949663160398</v>
      </c>
      <c r="AA14" s="1">
        <f t="shared" si="19"/>
        <v>8409.8162724537033</v>
      </c>
      <c r="AB14" s="1">
        <f t="shared" si="19"/>
        <v>8792.4629128503475</v>
      </c>
      <c r="AC14" s="1">
        <f t="shared" si="19"/>
        <v>9187.0514923538758</v>
      </c>
      <c r="AD14" s="1">
        <f t="shared" si="19"/>
        <v>9593.9066298724047</v>
      </c>
      <c r="AE14" s="1">
        <f t="shared" si="19"/>
        <v>10013.361152294734</v>
      </c>
      <c r="AF14" s="1">
        <f t="shared" si="19"/>
        <v>10445.756292962007</v>
      </c>
    </row>
    <row r="15" spans="1:232">
      <c r="B15" s="1" t="s">
        <v>21</v>
      </c>
      <c r="C15" s="1">
        <v>125</v>
      </c>
      <c r="D15" s="1">
        <v>342</v>
      </c>
      <c r="E15" s="1">
        <v>266</v>
      </c>
      <c r="F15" s="1">
        <f t="shared" si="12"/>
        <v>629</v>
      </c>
      <c r="G15" s="1">
        <v>481</v>
      </c>
      <c r="H15" s="1">
        <v>613</v>
      </c>
      <c r="I15" s="1">
        <v>343</v>
      </c>
      <c r="J15" s="1">
        <f t="shared" si="10"/>
        <v>548</v>
      </c>
      <c r="K15" s="1">
        <v>654</v>
      </c>
      <c r="Q15" s="1">
        <v>4382</v>
      </c>
      <c r="R15" s="1">
        <v>2949</v>
      </c>
      <c r="S15" s="1">
        <v>1769</v>
      </c>
      <c r="T15" s="1">
        <v>1731</v>
      </c>
      <c r="U15" s="1">
        <v>1362</v>
      </c>
      <c r="V15" s="1">
        <v>1985</v>
      </c>
      <c r="W15" s="1">
        <f t="shared" si="13"/>
        <v>2165.0257425742575</v>
      </c>
      <c r="X15" s="1">
        <f t="shared" ref="X15:AF16" si="20">+X$8*(W15/W$8)</f>
        <v>2269.6686534653463</v>
      </c>
      <c r="Y15" s="1">
        <f t="shared" si="20"/>
        <v>2377.6312704950492</v>
      </c>
      <c r="Z15" s="1">
        <f t="shared" si="20"/>
        <v>2489.0045247445541</v>
      </c>
      <c r="AA15" s="1">
        <f t="shared" si="20"/>
        <v>2603.8816566558412</v>
      </c>
      <c r="AB15" s="1">
        <f t="shared" si="20"/>
        <v>2722.3582720336822</v>
      </c>
      <c r="AC15" s="1">
        <f t="shared" si="20"/>
        <v>2844.532399363974</v>
      </c>
      <c r="AD15" s="1">
        <f t="shared" si="20"/>
        <v>2970.5045484786642</v>
      </c>
      <c r="AE15" s="1">
        <f t="shared" si="20"/>
        <v>3100.377770598197</v>
      </c>
      <c r="AF15" s="1">
        <f t="shared" si="20"/>
        <v>3234.2577197831192</v>
      </c>
    </row>
    <row r="16" spans="1:232">
      <c r="B16" s="1" t="s">
        <v>22</v>
      </c>
      <c r="C16" s="1">
        <v>4982</v>
      </c>
      <c r="D16" s="1">
        <v>4981</v>
      </c>
      <c r="E16" s="1">
        <v>5102</v>
      </c>
      <c r="F16" s="1">
        <f t="shared" si="12"/>
        <v>5111</v>
      </c>
      <c r="G16" s="1">
        <v>5140</v>
      </c>
      <c r="H16" s="1">
        <v>5222</v>
      </c>
      <c r="I16" s="1">
        <v>5378</v>
      </c>
      <c r="J16" s="1">
        <f t="shared" si="10"/>
        <v>5400</v>
      </c>
      <c r="K16" s="1">
        <v>5440</v>
      </c>
      <c r="Q16" s="1">
        <v>19804</v>
      </c>
      <c r="R16" s="1">
        <v>20739</v>
      </c>
      <c r="S16" s="1">
        <v>20176</v>
      </c>
      <c r="T16" s="1">
        <v>20197</v>
      </c>
      <c r="U16" s="1">
        <v>20176</v>
      </c>
      <c r="V16" s="1">
        <v>21140</v>
      </c>
      <c r="W16" s="1">
        <f t="shared" si="13"/>
        <v>23057.251485148514</v>
      </c>
      <c r="X16" s="1">
        <f t="shared" si="20"/>
        <v>24171.685306930693</v>
      </c>
      <c r="Y16" s="1">
        <f t="shared" si="20"/>
        <v>25321.473580990096</v>
      </c>
      <c r="Z16" s="1">
        <f t="shared" si="20"/>
        <v>26507.584711889107</v>
      </c>
      <c r="AA16" s="1">
        <f t="shared" si="20"/>
        <v>27731.011698591679</v>
      </c>
      <c r="AB16" s="1">
        <f t="shared" si="20"/>
        <v>28992.772730877605</v>
      </c>
      <c r="AC16" s="1">
        <f t="shared" si="20"/>
        <v>30293.911799775524</v>
      </c>
      <c r="AD16" s="1">
        <f t="shared" si="20"/>
        <v>31635.499322337011</v>
      </c>
      <c r="AE16" s="1">
        <f t="shared" si="20"/>
        <v>33018.632781081047</v>
      </c>
      <c r="AF16" s="1">
        <f t="shared" si="20"/>
        <v>34444.437378445909</v>
      </c>
    </row>
    <row r="17" spans="2:232">
      <c r="B17" s="1" t="s">
        <v>23</v>
      </c>
      <c r="C17" s="1">
        <f>+C8-SUM(C9:C16)</f>
        <v>7362</v>
      </c>
      <c r="D17" s="1">
        <f>+D8-SUM(D9:D16)</f>
        <v>9325</v>
      </c>
      <c r="E17" s="1">
        <f>+E8-SUM(E9:E16)</f>
        <v>6615</v>
      </c>
      <c r="F17" s="1">
        <f t="shared" si="12"/>
        <v>5486</v>
      </c>
      <c r="G17" s="1">
        <f>+G8-SUM(G9:G16)</f>
        <v>8741</v>
      </c>
      <c r="H17" s="1">
        <f>+H8-SUM(H9:H16)</f>
        <v>12172</v>
      </c>
      <c r="I17" s="1">
        <f>+I8-SUM(I9:I16)</f>
        <v>8365</v>
      </c>
      <c r="J17" s="1">
        <f>+J8-SUM(J9:J16)</f>
        <v>9299</v>
      </c>
      <c r="K17" s="1">
        <f>+K8-SUM(K9:K16)</f>
        <v>7562</v>
      </c>
      <c r="Q17" s="1">
        <f t="shared" ref="Q17:W17" si="21">+Q8-SUM(Q9:Q16)</f>
        <v>15604</v>
      </c>
      <c r="R17" s="1">
        <f t="shared" si="21"/>
        <v>18230</v>
      </c>
      <c r="S17" s="1">
        <f t="shared" si="21"/>
        <v>17105</v>
      </c>
      <c r="T17" s="1">
        <f t="shared" si="21"/>
        <v>44584</v>
      </c>
      <c r="U17" s="1">
        <f t="shared" si="21"/>
        <v>28788</v>
      </c>
      <c r="V17" s="1">
        <f t="shared" si="21"/>
        <v>38577</v>
      </c>
      <c r="W17" s="1">
        <f t="shared" si="21"/>
        <v>42075.666534653574</v>
      </c>
      <c r="X17" s="1">
        <f t="shared" ref="X17:AF17" si="22">+X8-SUM(X9:X16)</f>
        <v>44109.323750495038</v>
      </c>
      <c r="Y17" s="1">
        <f t="shared" si="22"/>
        <v>46207.496988356404</v>
      </c>
      <c r="Z17" s="1">
        <f t="shared" si="22"/>
        <v>48371.953426232096</v>
      </c>
      <c r="AA17" s="1">
        <f t="shared" si="22"/>
        <v>50604.505122827482</v>
      </c>
      <c r="AB17" s="1">
        <f t="shared" si="22"/>
        <v>52907.010105916066</v>
      </c>
      <c r="AC17" s="1">
        <f t="shared" si="22"/>
        <v>55281.373486279044</v>
      </c>
      <c r="AD17" s="1">
        <f t="shared" si="22"/>
        <v>57729.548597814282</v>
      </c>
      <c r="AE17" s="1">
        <f t="shared" si="22"/>
        <v>60253.538164416444</v>
      </c>
      <c r="AF17" s="1">
        <f t="shared" si="22"/>
        <v>62855.395494243596</v>
      </c>
    </row>
    <row r="18" spans="2:232">
      <c r="B18" s="1" t="s">
        <v>24</v>
      </c>
      <c r="C18" s="1">
        <v>28</v>
      </c>
      <c r="D18" s="1">
        <v>-75</v>
      </c>
      <c r="E18" s="1">
        <v>-331</v>
      </c>
      <c r="F18" s="1">
        <f t="shared" si="12"/>
        <v>-494</v>
      </c>
      <c r="G18" s="1">
        <v>-777</v>
      </c>
      <c r="H18" s="1">
        <v>-854</v>
      </c>
      <c r="I18" s="1">
        <v>-945</v>
      </c>
      <c r="J18" s="1">
        <f>+V18-SUM(G18:I18)</f>
        <v>-755</v>
      </c>
      <c r="K18" s="1">
        <v>-606</v>
      </c>
      <c r="Q18" s="1">
        <v>83</v>
      </c>
      <c r="R18" s="1">
        <v>122</v>
      </c>
      <c r="S18" s="1">
        <v>257</v>
      </c>
      <c r="T18" s="1">
        <v>144</v>
      </c>
      <c r="U18" s="1">
        <v>-872</v>
      </c>
      <c r="V18" s="1">
        <v>-3331</v>
      </c>
      <c r="W18" s="3">
        <f>+-V31*$AJ$29</f>
        <v>-2818.3500000000004</v>
      </c>
      <c r="X18" s="3">
        <f t="shared" ref="X18:AF18" si="23">+W18</f>
        <v>-2818.3500000000004</v>
      </c>
      <c r="Y18" s="3">
        <f t="shared" si="23"/>
        <v>-2818.3500000000004</v>
      </c>
      <c r="Z18" s="3">
        <f t="shared" si="23"/>
        <v>-2818.3500000000004</v>
      </c>
      <c r="AA18" s="3">
        <f t="shared" si="23"/>
        <v>-2818.3500000000004</v>
      </c>
      <c r="AB18" s="3">
        <f t="shared" si="23"/>
        <v>-2818.3500000000004</v>
      </c>
      <c r="AC18" s="3">
        <f t="shared" si="23"/>
        <v>-2818.3500000000004</v>
      </c>
      <c r="AD18" s="3">
        <f t="shared" si="23"/>
        <v>-2818.3500000000004</v>
      </c>
      <c r="AE18" s="3">
        <f t="shared" si="23"/>
        <v>-2818.3500000000004</v>
      </c>
      <c r="AF18" s="3">
        <f t="shared" si="23"/>
        <v>-2818.3500000000004</v>
      </c>
    </row>
    <row r="19" spans="2:232">
      <c r="B19" s="1" t="s">
        <v>25</v>
      </c>
      <c r="C19" s="1">
        <f>+C17-C18</f>
        <v>7334</v>
      </c>
      <c r="D19" s="1">
        <f>+D17-D18</f>
        <v>9400</v>
      </c>
      <c r="E19" s="1">
        <f>+E17-E18</f>
        <v>6946</v>
      </c>
      <c r="F19" s="1">
        <f t="shared" si="12"/>
        <v>5980</v>
      </c>
      <c r="G19" s="1">
        <f>+G17-G18</f>
        <v>9518</v>
      </c>
      <c r="H19" s="1">
        <f>+H17-H18</f>
        <v>13026</v>
      </c>
      <c r="I19" s="1">
        <f>+I17-I18</f>
        <v>9310</v>
      </c>
      <c r="J19" s="1">
        <f>+J17-J18</f>
        <v>10054</v>
      </c>
      <c r="K19" s="1">
        <f>+K17-K18</f>
        <v>8168</v>
      </c>
      <c r="Q19" s="1">
        <f t="shared" ref="Q19:W19" si="24">+Q17-Q18</f>
        <v>15521</v>
      </c>
      <c r="R19" s="1">
        <f t="shared" si="24"/>
        <v>18108</v>
      </c>
      <c r="S19" s="1">
        <f t="shared" si="24"/>
        <v>16848</v>
      </c>
      <c r="T19" s="1">
        <f t="shared" si="24"/>
        <v>44440</v>
      </c>
      <c r="U19" s="1">
        <f t="shared" si="24"/>
        <v>29660</v>
      </c>
      <c r="V19" s="1">
        <f t="shared" si="24"/>
        <v>41908</v>
      </c>
      <c r="W19" s="1">
        <f t="shared" si="24"/>
        <v>44894.016534653572</v>
      </c>
      <c r="X19" s="1">
        <f t="shared" ref="X19:AF19" si="25">+X17-X18</f>
        <v>46927.673750495036</v>
      </c>
      <c r="Y19" s="1">
        <f t="shared" si="25"/>
        <v>49025.846988356403</v>
      </c>
      <c r="Z19" s="1">
        <f t="shared" si="25"/>
        <v>51190.303426232094</v>
      </c>
      <c r="AA19" s="1">
        <f t="shared" si="25"/>
        <v>53422.855122827481</v>
      </c>
      <c r="AB19" s="1">
        <f t="shared" si="25"/>
        <v>55725.360105916065</v>
      </c>
      <c r="AC19" s="1">
        <f t="shared" si="25"/>
        <v>58099.723486279043</v>
      </c>
      <c r="AD19" s="1">
        <f t="shared" si="25"/>
        <v>60547.898597814281</v>
      </c>
      <c r="AE19" s="1">
        <f t="shared" si="25"/>
        <v>63071.888164416443</v>
      </c>
      <c r="AF19" s="1">
        <f t="shared" si="25"/>
        <v>65673.745494243602</v>
      </c>
    </row>
    <row r="20" spans="2:232">
      <c r="B20" s="1" t="s">
        <v>26</v>
      </c>
      <c r="C20" s="1">
        <v>537</v>
      </c>
      <c r="D20" s="1">
        <v>795</v>
      </c>
      <c r="E20" s="1">
        <v>767</v>
      </c>
      <c r="F20" s="1">
        <f t="shared" si="12"/>
        <v>254</v>
      </c>
      <c r="G20" s="1">
        <v>925</v>
      </c>
      <c r="H20" s="1">
        <v>1810</v>
      </c>
      <c r="I20" s="1">
        <v>1219</v>
      </c>
      <c r="J20" s="1">
        <f>+V20-SUM(G20:I20)</f>
        <v>1456</v>
      </c>
      <c r="K20" s="1">
        <v>814</v>
      </c>
      <c r="Q20" s="1">
        <v>-2354</v>
      </c>
      <c r="R20" s="1">
        <v>-2901</v>
      </c>
      <c r="S20" s="1">
        <v>-5507</v>
      </c>
      <c r="T20" s="1">
        <v>4082</v>
      </c>
      <c r="U20" s="1">
        <v>2353</v>
      </c>
      <c r="V20" s="1">
        <v>5410</v>
      </c>
      <c r="W20" s="1">
        <f>+W19*(AVERAGE(0.13,0.14))</f>
        <v>6060.6922321782331</v>
      </c>
      <c r="X20" s="1">
        <f t="shared" ref="X20:AF20" si="26">+X19*(AVERAGE(0.13,0.14))</f>
        <v>6335.2359563168302</v>
      </c>
      <c r="Y20" s="1">
        <f t="shared" si="26"/>
        <v>6618.4893434281148</v>
      </c>
      <c r="Z20" s="1">
        <f t="shared" si="26"/>
        <v>6910.6909625413327</v>
      </c>
      <c r="AA20" s="1">
        <f t="shared" si="26"/>
        <v>7212.0854415817103</v>
      </c>
      <c r="AB20" s="1">
        <f t="shared" si="26"/>
        <v>7522.9236142986692</v>
      </c>
      <c r="AC20" s="1">
        <f t="shared" si="26"/>
        <v>7843.4626706476711</v>
      </c>
      <c r="AD20" s="1">
        <f t="shared" si="26"/>
        <v>8173.9663107049282</v>
      </c>
      <c r="AE20" s="1">
        <f t="shared" si="26"/>
        <v>8514.7049021962212</v>
      </c>
      <c r="AF20" s="1">
        <f t="shared" si="26"/>
        <v>8865.9556417228869</v>
      </c>
    </row>
    <row r="21" spans="2:232">
      <c r="B21" s="1" t="s">
        <v>27</v>
      </c>
      <c r="C21" s="1">
        <f>+C19-C20</f>
        <v>6797</v>
      </c>
      <c r="D21" s="1">
        <f>+D19-D20</f>
        <v>8605</v>
      </c>
      <c r="E21" s="1">
        <f>+E19-E20</f>
        <v>6179</v>
      </c>
      <c r="F21" s="1">
        <f t="shared" si="12"/>
        <v>5726</v>
      </c>
      <c r="G21" s="1">
        <f>+G19-G20</f>
        <v>8593</v>
      </c>
      <c r="H21" s="1">
        <f>+H19-H20</f>
        <v>11216</v>
      </c>
      <c r="I21" s="1">
        <f>+I19-I20</f>
        <v>8091</v>
      </c>
      <c r="J21" s="1">
        <f>+J19-J20</f>
        <v>8598</v>
      </c>
      <c r="K21" s="1">
        <f>+K19-K20</f>
        <v>7354</v>
      </c>
      <c r="Q21" s="1">
        <f t="shared" ref="Q21:W21" si="27">+Q19-Q20</f>
        <v>17875</v>
      </c>
      <c r="R21" s="1">
        <f t="shared" si="27"/>
        <v>21009</v>
      </c>
      <c r="S21" s="1">
        <f t="shared" si="27"/>
        <v>22355</v>
      </c>
      <c r="T21" s="1">
        <f t="shared" si="27"/>
        <v>40358</v>
      </c>
      <c r="U21" s="1">
        <f t="shared" si="27"/>
        <v>27307</v>
      </c>
      <c r="V21" s="1">
        <f t="shared" si="27"/>
        <v>36498</v>
      </c>
      <c r="W21" s="1">
        <f t="shared" si="27"/>
        <v>38833.324302475339</v>
      </c>
      <c r="X21" s="1">
        <f t="shared" ref="X21:AF21" si="28">+X19-X20</f>
        <v>40592.437794178208</v>
      </c>
      <c r="Y21" s="1">
        <f t="shared" si="28"/>
        <v>42407.357644928285</v>
      </c>
      <c r="Z21" s="1">
        <f t="shared" si="28"/>
        <v>44279.612463690763</v>
      </c>
      <c r="AA21" s="1">
        <f t="shared" si="28"/>
        <v>46210.769681245773</v>
      </c>
      <c r="AB21" s="1">
        <f t="shared" si="28"/>
        <v>48202.436491617394</v>
      </c>
      <c r="AC21" s="1">
        <f t="shared" si="28"/>
        <v>50256.260815631373</v>
      </c>
      <c r="AD21" s="1">
        <f t="shared" si="28"/>
        <v>52373.932287109354</v>
      </c>
      <c r="AE21" s="1">
        <f t="shared" si="28"/>
        <v>54557.18326222022</v>
      </c>
      <c r="AF21" s="1">
        <f t="shared" si="28"/>
        <v>56807.789852520713</v>
      </c>
      <c r="AG21" s="1">
        <f>+AF21*(1+$AJ$30)</f>
        <v>57375.867751045924</v>
      </c>
      <c r="AH21" s="1">
        <f t="shared" ref="AH21:CS21" si="29">+AG21*(1+$AJ$30)</f>
        <v>57949.626428556381</v>
      </c>
      <c r="AI21" s="1">
        <f t="shared" si="29"/>
        <v>58529.122692841942</v>
      </c>
      <c r="AJ21" s="1">
        <f t="shared" si="29"/>
        <v>59114.413919770363</v>
      </c>
      <c r="AK21" s="1">
        <f t="shared" si="29"/>
        <v>59705.558058968069</v>
      </c>
      <c r="AL21" s="1">
        <f t="shared" si="29"/>
        <v>60302.613639557749</v>
      </c>
      <c r="AM21" s="1">
        <f t="shared" si="29"/>
        <v>60905.639775953328</v>
      </c>
      <c r="AN21" s="1">
        <f t="shared" si="29"/>
        <v>61514.696173712859</v>
      </c>
      <c r="AO21" s="1">
        <f t="shared" si="29"/>
        <v>62129.843135449984</v>
      </c>
      <c r="AP21" s="1">
        <f t="shared" si="29"/>
        <v>62751.141566804487</v>
      </c>
      <c r="AQ21" s="1">
        <f t="shared" si="29"/>
        <v>63378.652982472529</v>
      </c>
      <c r="AR21" s="1">
        <f t="shared" si="29"/>
        <v>64012.439512297256</v>
      </c>
      <c r="AS21" s="1">
        <f t="shared" si="29"/>
        <v>64652.563907420226</v>
      </c>
      <c r="AT21" s="1">
        <f t="shared" si="29"/>
        <v>65299.089546494426</v>
      </c>
      <c r="AU21" s="1">
        <f t="shared" si="29"/>
        <v>65952.080441959377</v>
      </c>
      <c r="AV21" s="1">
        <f t="shared" si="29"/>
        <v>66611.601246378967</v>
      </c>
      <c r="AW21" s="1">
        <f t="shared" si="29"/>
        <v>67277.717258842764</v>
      </c>
      <c r="AX21" s="1">
        <f t="shared" si="29"/>
        <v>67950.494431431187</v>
      </c>
      <c r="AY21" s="1">
        <f t="shared" si="29"/>
        <v>68629.999375745494</v>
      </c>
      <c r="AZ21" s="1">
        <f t="shared" si="29"/>
        <v>69316.299369502944</v>
      </c>
      <c r="BA21" s="1">
        <f t="shared" si="29"/>
        <v>70009.462363197978</v>
      </c>
      <c r="BB21" s="1">
        <f t="shared" si="29"/>
        <v>70709.556986829964</v>
      </c>
      <c r="BC21" s="1">
        <f t="shared" si="29"/>
        <v>71416.65255669826</v>
      </c>
      <c r="BD21" s="1">
        <f t="shared" si="29"/>
        <v>72130.81908226524</v>
      </c>
      <c r="BE21" s="1">
        <f t="shared" si="29"/>
        <v>72852.127273087899</v>
      </c>
      <c r="BF21" s="1">
        <f t="shared" si="29"/>
        <v>73580.648545818782</v>
      </c>
      <c r="BG21" s="1">
        <f t="shared" si="29"/>
        <v>74316.455031276972</v>
      </c>
      <c r="BH21" s="1">
        <f t="shared" si="29"/>
        <v>75059.619581589737</v>
      </c>
      <c r="BI21" s="1">
        <f t="shared" si="29"/>
        <v>75810.21577740564</v>
      </c>
      <c r="BJ21" s="1">
        <f t="shared" si="29"/>
        <v>76568.317935179701</v>
      </c>
      <c r="BK21" s="1">
        <f t="shared" si="29"/>
        <v>77334.001114531493</v>
      </c>
      <c r="BL21" s="1">
        <f t="shared" si="29"/>
        <v>78107.341125676801</v>
      </c>
      <c r="BM21" s="1">
        <f t="shared" si="29"/>
        <v>78888.414536933575</v>
      </c>
      <c r="BN21" s="1">
        <f t="shared" si="29"/>
        <v>79677.298682302906</v>
      </c>
      <c r="BO21" s="1">
        <f t="shared" si="29"/>
        <v>80474.071669125929</v>
      </c>
      <c r="BP21" s="1">
        <f t="shared" si="29"/>
        <v>81278.812385817189</v>
      </c>
      <c r="BQ21" s="1">
        <f t="shared" si="29"/>
        <v>82091.600509675365</v>
      </c>
      <c r="BR21" s="1">
        <f t="shared" si="29"/>
        <v>82912.516514772113</v>
      </c>
      <c r="BS21" s="1">
        <f t="shared" si="29"/>
        <v>83741.641679919834</v>
      </c>
      <c r="BT21" s="1">
        <f t="shared" si="29"/>
        <v>84579.058096719033</v>
      </c>
      <c r="BU21" s="1">
        <f t="shared" si="29"/>
        <v>85424.848677686226</v>
      </c>
      <c r="BV21" s="1">
        <f t="shared" si="29"/>
        <v>86279.097164463092</v>
      </c>
      <c r="BW21" s="1">
        <f t="shared" si="29"/>
        <v>87141.888136107722</v>
      </c>
      <c r="BX21" s="1">
        <f t="shared" si="29"/>
        <v>88013.307017468804</v>
      </c>
      <c r="BY21" s="1">
        <f t="shared" si="29"/>
        <v>88893.440087643496</v>
      </c>
      <c r="BZ21" s="1">
        <f t="shared" si="29"/>
        <v>89782.374488519927</v>
      </c>
      <c r="CA21" s="1">
        <f t="shared" si="29"/>
        <v>90680.198233405128</v>
      </c>
      <c r="CB21" s="1">
        <f t="shared" si="29"/>
        <v>91587.000215739186</v>
      </c>
      <c r="CC21" s="1">
        <f t="shared" si="29"/>
        <v>92502.870217896576</v>
      </c>
      <c r="CD21" s="1">
        <f t="shared" si="29"/>
        <v>93427.898920075546</v>
      </c>
      <c r="CE21" s="1">
        <f t="shared" si="29"/>
        <v>94362.177909276303</v>
      </c>
      <c r="CF21" s="1">
        <f t="shared" si="29"/>
        <v>95305.799688369065</v>
      </c>
      <c r="CG21" s="1">
        <f t="shared" si="29"/>
        <v>96258.857685252762</v>
      </c>
      <c r="CH21" s="1">
        <f t="shared" si="29"/>
        <v>97221.446262105295</v>
      </c>
      <c r="CI21" s="1">
        <f t="shared" si="29"/>
        <v>98193.660724726346</v>
      </c>
      <c r="CJ21" s="1">
        <f t="shared" si="29"/>
        <v>99175.597331973608</v>
      </c>
      <c r="CK21" s="1">
        <f t="shared" si="29"/>
        <v>100167.35330529335</v>
      </c>
      <c r="CL21" s="1">
        <f t="shared" si="29"/>
        <v>101169.02683834628</v>
      </c>
      <c r="CM21" s="1">
        <f t="shared" si="29"/>
        <v>102180.71710672975</v>
      </c>
      <c r="CN21" s="1">
        <f t="shared" si="29"/>
        <v>103202.52427779704</v>
      </c>
      <c r="CO21" s="1">
        <f t="shared" si="29"/>
        <v>104234.54952057502</v>
      </c>
      <c r="CP21" s="1">
        <f t="shared" si="29"/>
        <v>105276.89501578077</v>
      </c>
      <c r="CQ21" s="1">
        <f t="shared" si="29"/>
        <v>106329.66396593858</v>
      </c>
      <c r="CR21" s="1">
        <f t="shared" si="29"/>
        <v>107392.96060559797</v>
      </c>
      <c r="CS21" s="1">
        <f t="shared" si="29"/>
        <v>108466.89021165395</v>
      </c>
      <c r="CT21" s="1">
        <f t="shared" ref="CT21:FE21" si="30">+CS21*(1+$AJ$30)</f>
        <v>109551.55911377049</v>
      </c>
      <c r="CU21" s="1">
        <f t="shared" si="30"/>
        <v>110647.0747049082</v>
      </c>
      <c r="CV21" s="1">
        <f t="shared" si="30"/>
        <v>111753.54545195728</v>
      </c>
      <c r="CW21" s="1">
        <f t="shared" si="30"/>
        <v>112871.08090647685</v>
      </c>
      <c r="CX21" s="1">
        <f t="shared" si="30"/>
        <v>113999.79171554162</v>
      </c>
      <c r="CY21" s="1">
        <f t="shared" si="30"/>
        <v>115139.78963269704</v>
      </c>
      <c r="CZ21" s="1">
        <f t="shared" si="30"/>
        <v>116291.18752902401</v>
      </c>
      <c r="DA21" s="1">
        <f t="shared" si="30"/>
        <v>117454.09940431426</v>
      </c>
      <c r="DB21" s="1">
        <f t="shared" si="30"/>
        <v>118628.6403983574</v>
      </c>
      <c r="DC21" s="1">
        <f t="shared" si="30"/>
        <v>119814.92680234097</v>
      </c>
      <c r="DD21" s="1">
        <f t="shared" si="30"/>
        <v>121013.07607036438</v>
      </c>
      <c r="DE21" s="1">
        <f t="shared" si="30"/>
        <v>122223.20683106802</v>
      </c>
      <c r="DF21" s="1">
        <f t="shared" si="30"/>
        <v>123445.4388993787</v>
      </c>
      <c r="DG21" s="1">
        <f t="shared" si="30"/>
        <v>124679.89328837249</v>
      </c>
      <c r="DH21" s="1">
        <f t="shared" si="30"/>
        <v>125926.69222125622</v>
      </c>
      <c r="DI21" s="1">
        <f t="shared" si="30"/>
        <v>127185.95914346879</v>
      </c>
      <c r="DJ21" s="1">
        <f t="shared" si="30"/>
        <v>128457.81873490349</v>
      </c>
      <c r="DK21" s="1">
        <f t="shared" si="30"/>
        <v>129742.39692225252</v>
      </c>
      <c r="DL21" s="1">
        <f t="shared" si="30"/>
        <v>131039.82089147504</v>
      </c>
      <c r="DM21" s="1">
        <f t="shared" si="30"/>
        <v>132350.2191003898</v>
      </c>
      <c r="DN21" s="1">
        <f t="shared" si="30"/>
        <v>133673.72129139371</v>
      </c>
      <c r="DO21" s="1">
        <f t="shared" si="30"/>
        <v>135010.45850430764</v>
      </c>
      <c r="DP21" s="1">
        <f t="shared" si="30"/>
        <v>136360.5630893507</v>
      </c>
      <c r="DQ21" s="1">
        <f t="shared" si="30"/>
        <v>137724.16872024423</v>
      </c>
      <c r="DR21" s="1">
        <f t="shared" si="30"/>
        <v>139101.41040744667</v>
      </c>
      <c r="DS21" s="1">
        <f t="shared" si="30"/>
        <v>140492.42451152115</v>
      </c>
      <c r="DT21" s="1">
        <f t="shared" si="30"/>
        <v>141897.34875663638</v>
      </c>
      <c r="DU21" s="1">
        <f t="shared" si="30"/>
        <v>143316.32224420275</v>
      </c>
      <c r="DV21" s="1">
        <f t="shared" si="30"/>
        <v>144749.48546664478</v>
      </c>
      <c r="DW21" s="1">
        <f t="shared" si="30"/>
        <v>146196.98032131122</v>
      </c>
      <c r="DX21" s="1">
        <f t="shared" si="30"/>
        <v>147658.95012452433</v>
      </c>
      <c r="DY21" s="1">
        <f t="shared" si="30"/>
        <v>149135.53962576957</v>
      </c>
      <c r="DZ21" s="1">
        <f t="shared" si="30"/>
        <v>150626.89502202725</v>
      </c>
      <c r="EA21" s="1">
        <f t="shared" si="30"/>
        <v>152133.16397224754</v>
      </c>
      <c r="EB21" s="1">
        <f t="shared" si="30"/>
        <v>153654.49561197002</v>
      </c>
      <c r="EC21" s="1">
        <f t="shared" si="30"/>
        <v>155191.04056808972</v>
      </c>
      <c r="ED21" s="1">
        <f t="shared" si="30"/>
        <v>156742.95097377061</v>
      </c>
      <c r="EE21" s="1">
        <f t="shared" si="30"/>
        <v>158310.38048350831</v>
      </c>
      <c r="EF21" s="1">
        <f t="shared" si="30"/>
        <v>159893.4842883434</v>
      </c>
      <c r="EG21" s="1">
        <f t="shared" si="30"/>
        <v>161492.41913122684</v>
      </c>
      <c r="EH21" s="1">
        <f t="shared" si="30"/>
        <v>163107.34332253912</v>
      </c>
      <c r="EI21" s="1">
        <f t="shared" si="30"/>
        <v>164738.41675576451</v>
      </c>
      <c r="EJ21" s="1">
        <f t="shared" si="30"/>
        <v>166385.80092332215</v>
      </c>
      <c r="EK21" s="1">
        <f t="shared" si="30"/>
        <v>168049.65893255538</v>
      </c>
      <c r="EL21" s="1">
        <f t="shared" si="30"/>
        <v>169730.15552188092</v>
      </c>
      <c r="EM21" s="1">
        <f t="shared" si="30"/>
        <v>171427.45707709974</v>
      </c>
      <c r="EN21" s="1">
        <f t="shared" si="30"/>
        <v>173141.73164787074</v>
      </c>
      <c r="EO21" s="1">
        <f t="shared" si="30"/>
        <v>174873.14896434944</v>
      </c>
      <c r="EP21" s="1">
        <f t="shared" si="30"/>
        <v>176621.88045399293</v>
      </c>
      <c r="EQ21" s="1">
        <f t="shared" si="30"/>
        <v>178388.09925853286</v>
      </c>
      <c r="ER21" s="1">
        <f t="shared" si="30"/>
        <v>180171.98025111819</v>
      </c>
      <c r="ES21" s="1">
        <f t="shared" si="30"/>
        <v>181973.70005362938</v>
      </c>
      <c r="ET21" s="1">
        <f t="shared" si="30"/>
        <v>183793.43705416567</v>
      </c>
      <c r="EU21" s="1">
        <f t="shared" si="30"/>
        <v>185631.37142470732</v>
      </c>
      <c r="EV21" s="1">
        <f t="shared" si="30"/>
        <v>187487.6851389544</v>
      </c>
      <c r="EW21" s="1">
        <f t="shared" si="30"/>
        <v>189362.56199034394</v>
      </c>
      <c r="EX21" s="1">
        <f t="shared" si="30"/>
        <v>191256.18761024738</v>
      </c>
      <c r="EY21" s="1">
        <f t="shared" si="30"/>
        <v>193168.74948634984</v>
      </c>
      <c r="EZ21" s="1">
        <f t="shared" si="30"/>
        <v>195100.43698121334</v>
      </c>
      <c r="FA21" s="1">
        <f t="shared" si="30"/>
        <v>197051.44135102548</v>
      </c>
      <c r="FB21" s="1">
        <f t="shared" si="30"/>
        <v>199021.95576453573</v>
      </c>
      <c r="FC21" s="1">
        <f t="shared" si="30"/>
        <v>201012.17532218108</v>
      </c>
      <c r="FD21" s="1">
        <f t="shared" si="30"/>
        <v>203022.29707540289</v>
      </c>
      <c r="FE21" s="1">
        <f t="shared" si="30"/>
        <v>205052.52004615692</v>
      </c>
      <c r="FF21" s="1">
        <f t="shared" ref="FF21:GC21" si="31">+FE21*(1+$AJ$30)</f>
        <v>207103.04524661848</v>
      </c>
      <c r="FG21" s="1">
        <f t="shared" si="31"/>
        <v>209174.07569908467</v>
      </c>
      <c r="FH21" s="1">
        <f t="shared" si="31"/>
        <v>211265.81645607552</v>
      </c>
      <c r="FI21" s="1">
        <f t="shared" si="31"/>
        <v>213378.47462063629</v>
      </c>
      <c r="FJ21" s="1">
        <f t="shared" si="31"/>
        <v>215512.25936684266</v>
      </c>
      <c r="FK21" s="1">
        <f t="shared" si="31"/>
        <v>217667.38196051109</v>
      </c>
      <c r="FL21" s="1">
        <f t="shared" si="31"/>
        <v>219844.05578011621</v>
      </c>
      <c r="FM21" s="1">
        <f t="shared" si="31"/>
        <v>222042.49633791737</v>
      </c>
      <c r="FN21" s="1">
        <f t="shared" si="31"/>
        <v>224262.92130129653</v>
      </c>
      <c r="FO21" s="1">
        <f t="shared" si="31"/>
        <v>226505.55051430949</v>
      </c>
      <c r="FP21" s="1">
        <f t="shared" si="31"/>
        <v>228770.60601945259</v>
      </c>
      <c r="FQ21" s="1">
        <f t="shared" si="31"/>
        <v>231058.31207964712</v>
      </c>
      <c r="FR21" s="1">
        <f t="shared" si="31"/>
        <v>233368.8952004436</v>
      </c>
      <c r="FS21" s="1">
        <f t="shared" si="31"/>
        <v>235702.58415244805</v>
      </c>
      <c r="FT21" s="1">
        <f t="shared" si="31"/>
        <v>238059.60999397252</v>
      </c>
      <c r="FU21" s="1">
        <f t="shared" si="31"/>
        <v>240440.20609391225</v>
      </c>
      <c r="FV21" s="1">
        <f t="shared" si="31"/>
        <v>242844.60815485136</v>
      </c>
      <c r="FW21" s="1">
        <f t="shared" si="31"/>
        <v>245273.05423639988</v>
      </c>
      <c r="FX21" s="1">
        <f t="shared" si="31"/>
        <v>247725.78477876389</v>
      </c>
      <c r="FY21" s="1">
        <f t="shared" si="31"/>
        <v>250203.04262655153</v>
      </c>
      <c r="FZ21" s="1">
        <f t="shared" si="31"/>
        <v>252705.07305281705</v>
      </c>
      <c r="GA21" s="1">
        <f t="shared" si="31"/>
        <v>255232.12378334522</v>
      </c>
      <c r="GB21" s="1">
        <f t="shared" si="31"/>
        <v>257784.44502117866</v>
      </c>
      <c r="GC21" s="1">
        <f t="shared" si="31"/>
        <v>260362.28947139045</v>
      </c>
      <c r="GD21" s="1">
        <f t="shared" ref="GD21:HH21" si="32">+GC21*(1+$AJ$30)</f>
        <v>262965.91236610437</v>
      </c>
      <c r="GE21" s="1">
        <f t="shared" si="32"/>
        <v>265595.57148976543</v>
      </c>
      <c r="GF21" s="1">
        <f t="shared" si="32"/>
        <v>268251.52720466309</v>
      </c>
      <c r="GG21" s="1">
        <f t="shared" si="32"/>
        <v>270934.0424767097</v>
      </c>
      <c r="GH21" s="1">
        <f t="shared" si="32"/>
        <v>273643.38290147681</v>
      </c>
      <c r="GI21" s="1">
        <f t="shared" si="32"/>
        <v>276379.81673049158</v>
      </c>
      <c r="GJ21" s="1">
        <f t="shared" si="32"/>
        <v>279143.61489779648</v>
      </c>
      <c r="GK21" s="1">
        <f t="shared" si="32"/>
        <v>281935.05104677443</v>
      </c>
      <c r="GL21" s="1">
        <f t="shared" si="32"/>
        <v>284754.40155724221</v>
      </c>
      <c r="GM21" s="1">
        <f t="shared" si="32"/>
        <v>287601.94557281461</v>
      </c>
      <c r="GN21" s="1">
        <f t="shared" si="32"/>
        <v>290477.96502854273</v>
      </c>
      <c r="GO21" s="1">
        <f t="shared" si="32"/>
        <v>293382.74467882817</v>
      </c>
      <c r="GP21" s="1">
        <f t="shared" si="32"/>
        <v>296316.57212561643</v>
      </c>
      <c r="GQ21" s="1">
        <f t="shared" si="32"/>
        <v>299279.73784687259</v>
      </c>
      <c r="GR21" s="1">
        <f t="shared" si="32"/>
        <v>302272.53522534133</v>
      </c>
      <c r="GS21" s="1">
        <f t="shared" si="32"/>
        <v>305295.26057759474</v>
      </c>
      <c r="GT21" s="1">
        <f t="shared" si="32"/>
        <v>308348.21318337071</v>
      </c>
      <c r="GU21" s="1">
        <f t="shared" si="32"/>
        <v>311431.69531520444</v>
      </c>
      <c r="GV21" s="1">
        <f t="shared" si="32"/>
        <v>314546.01226835651</v>
      </c>
      <c r="GW21" s="1">
        <f t="shared" si="32"/>
        <v>317691.47239104006</v>
      </c>
      <c r="GX21" s="1">
        <f t="shared" si="32"/>
        <v>320868.38711495046</v>
      </c>
      <c r="GY21" s="1">
        <f t="shared" si="32"/>
        <v>324077.07098609995</v>
      </c>
      <c r="GZ21" s="1">
        <f t="shared" si="32"/>
        <v>327317.84169596096</v>
      </c>
      <c r="HA21" s="1">
        <f t="shared" si="32"/>
        <v>330591.02011292055</v>
      </c>
      <c r="HB21" s="1">
        <f t="shared" si="32"/>
        <v>333896.93031404977</v>
      </c>
      <c r="HC21" s="1">
        <f t="shared" si="32"/>
        <v>337235.89961719024</v>
      </c>
      <c r="HD21" s="1">
        <f t="shared" si="32"/>
        <v>340608.25861336215</v>
      </c>
      <c r="HE21" s="1">
        <f t="shared" si="32"/>
        <v>344014.34119949577</v>
      </c>
      <c r="HF21" s="1">
        <f t="shared" si="32"/>
        <v>347454.48461149074</v>
      </c>
      <c r="HG21" s="1">
        <f t="shared" si="32"/>
        <v>350929.02945760568</v>
      </c>
      <c r="HH21" s="1">
        <f t="shared" si="32"/>
        <v>354438.31975218176</v>
      </c>
      <c r="HI21" s="1">
        <f t="shared" ref="HI21:HX21" si="33">+HH21*(1+$AJ$30)</f>
        <v>357982.70294970361</v>
      </c>
      <c r="HJ21" s="1">
        <f t="shared" si="33"/>
        <v>361562.52997920063</v>
      </c>
      <c r="HK21" s="1">
        <f t="shared" si="33"/>
        <v>365178.15527899266</v>
      </c>
      <c r="HL21" s="1">
        <f t="shared" si="33"/>
        <v>368829.93683178257</v>
      </c>
      <c r="HM21" s="1">
        <f t="shared" si="33"/>
        <v>372518.23620010039</v>
      </c>
      <c r="HN21" s="1">
        <f t="shared" si="33"/>
        <v>376243.41856210137</v>
      </c>
      <c r="HO21" s="1">
        <f t="shared" si="33"/>
        <v>380005.85274772241</v>
      </c>
      <c r="HP21" s="1">
        <f t="shared" si="33"/>
        <v>383805.91127519961</v>
      </c>
      <c r="HQ21" s="1">
        <f t="shared" si="33"/>
        <v>387643.97038795159</v>
      </c>
      <c r="HR21" s="1">
        <f t="shared" si="33"/>
        <v>391520.41009183112</v>
      </c>
      <c r="HS21" s="1">
        <f t="shared" si="33"/>
        <v>395435.61419274943</v>
      </c>
      <c r="HT21" s="1">
        <f t="shared" si="33"/>
        <v>399389.97033467691</v>
      </c>
      <c r="HU21" s="1">
        <f t="shared" si="33"/>
        <v>403383.87003802368</v>
      </c>
      <c r="HV21" s="1">
        <f t="shared" si="33"/>
        <v>407417.70873840392</v>
      </c>
      <c r="HW21" s="1">
        <f t="shared" si="33"/>
        <v>411491.88582578796</v>
      </c>
      <c r="HX21" s="1">
        <f t="shared" si="33"/>
        <v>415606.80468404584</v>
      </c>
    </row>
    <row r="22" spans="2:232">
      <c r="B22" s="1" t="s">
        <v>28</v>
      </c>
      <c r="C22" s="1">
        <v>19288.718000000001</v>
      </c>
      <c r="D22" s="1">
        <v>18983.553</v>
      </c>
      <c r="E22" s="1">
        <v>18761.262999999999</v>
      </c>
      <c r="F22" s="1">
        <f>+F21/F23</f>
        <v>18006.983125838236</v>
      </c>
      <c r="G22" s="1">
        <v>18176.120999999999</v>
      </c>
      <c r="H22" s="1">
        <v>18154.920999999998</v>
      </c>
      <c r="I22" s="1">
        <v>17987.525000000001</v>
      </c>
      <c r="J22" s="1">
        <f>+J21/J23</f>
        <v>17380.195819337318</v>
      </c>
      <c r="K22" s="1">
        <v>17406.904999999999</v>
      </c>
      <c r="Q22" s="1">
        <v>17062.347000000002</v>
      </c>
      <c r="R22" s="1">
        <v>16824.395</v>
      </c>
      <c r="S22" s="1">
        <v>18396.334999999999</v>
      </c>
      <c r="T22" s="1">
        <v>20079.237000000001</v>
      </c>
      <c r="U22" s="1">
        <v>18793.455000000002</v>
      </c>
      <c r="V22" s="1">
        <v>17934.52</v>
      </c>
      <c r="W22" s="1">
        <f>+V22</f>
        <v>17934.52</v>
      </c>
      <c r="X22" s="1">
        <f t="shared" ref="X22:AF22" si="34">+W22</f>
        <v>17934.52</v>
      </c>
      <c r="Y22" s="1">
        <f t="shared" si="34"/>
        <v>17934.52</v>
      </c>
      <c r="Z22" s="1">
        <f t="shared" si="34"/>
        <v>17934.52</v>
      </c>
      <c r="AA22" s="1">
        <f t="shared" si="34"/>
        <v>17934.52</v>
      </c>
      <c r="AB22" s="1">
        <f t="shared" si="34"/>
        <v>17934.52</v>
      </c>
      <c r="AC22" s="1">
        <f t="shared" si="34"/>
        <v>17934.52</v>
      </c>
      <c r="AD22" s="1">
        <f t="shared" si="34"/>
        <v>17934.52</v>
      </c>
      <c r="AE22" s="1">
        <f t="shared" si="34"/>
        <v>17934.52</v>
      </c>
      <c r="AF22" s="1">
        <f t="shared" si="34"/>
        <v>17934.52</v>
      </c>
    </row>
    <row r="23" spans="2:232" s="2" customFormat="1">
      <c r="B23" s="2" t="s">
        <v>29</v>
      </c>
      <c r="C23" s="2">
        <f>+C21/C22</f>
        <v>0.35238215416908475</v>
      </c>
      <c r="D23" s="2">
        <f>+D21/D22</f>
        <v>0.45328711648446424</v>
      </c>
      <c r="E23" s="2">
        <f>+E21/E22</f>
        <v>0.32934882902073281</v>
      </c>
      <c r="F23" s="1">
        <f t="shared" si="12"/>
        <v>0.31798774730808499</v>
      </c>
      <c r="G23" s="2">
        <f>+G21/G22</f>
        <v>0.47276313796546582</v>
      </c>
      <c r="H23" s="2">
        <f>+H21/H22</f>
        <v>0.61779393036191133</v>
      </c>
      <c r="I23" s="2">
        <f>+I21/I22</f>
        <v>0.44981174452849959</v>
      </c>
      <c r="J23" s="1">
        <f>+V23-SUM(G23:I23)</f>
        <v>0.4947009854994735</v>
      </c>
      <c r="K23" s="2">
        <f>+K21/K22</f>
        <v>0.42247602316437072</v>
      </c>
      <c r="Q23" s="2">
        <f t="shared" ref="Q23:W23" si="35">+Q21/Q22</f>
        <v>1.0476284417378219</v>
      </c>
      <c r="R23" s="2">
        <f t="shared" si="35"/>
        <v>1.2487224652060296</v>
      </c>
      <c r="S23" s="2">
        <f t="shared" si="35"/>
        <v>1.2151876990715815</v>
      </c>
      <c r="T23" s="2">
        <f t="shared" si="35"/>
        <v>2.0099369313684576</v>
      </c>
      <c r="U23" s="2">
        <f t="shared" si="35"/>
        <v>1.4530058469823668</v>
      </c>
      <c r="V23" s="2">
        <f t="shared" si="35"/>
        <v>2.0350697983553503</v>
      </c>
      <c r="W23" s="2">
        <f t="shared" si="35"/>
        <v>2.1652837267167082</v>
      </c>
      <c r="X23" s="2">
        <f t="shared" ref="X23:AF23" si="36">+X21/X22</f>
        <v>2.2633690667036648</v>
      </c>
      <c r="Y23" s="2">
        <f t="shared" si="36"/>
        <v>2.364566079545384</v>
      </c>
      <c r="Z23" s="2">
        <f t="shared" si="36"/>
        <v>2.4689599980200621</v>
      </c>
      <c r="AA23" s="2">
        <f t="shared" si="36"/>
        <v>2.5766382195478759</v>
      </c>
      <c r="AB23" s="2">
        <f t="shared" si="36"/>
        <v>2.6876903586835552</v>
      </c>
      <c r="AC23" s="2">
        <f t="shared" si="36"/>
        <v>2.8022083008428087</v>
      </c>
      <c r="AD23" s="2">
        <f t="shared" si="36"/>
        <v>2.9202862572909312</v>
      </c>
      <c r="AE23" s="2">
        <f t="shared" si="36"/>
        <v>3.0420208214226094</v>
      </c>
      <c r="AF23" s="2">
        <f t="shared" si="36"/>
        <v>3.1675110263626074</v>
      </c>
    </row>
    <row r="26" spans="2:232" s="4" customFormat="1">
      <c r="B26" s="4" t="s">
        <v>36</v>
      </c>
      <c r="G26" s="4">
        <f>+G8/C8-1</f>
        <v>0.1195390402643155</v>
      </c>
      <c r="H26" s="4">
        <f>+H8/D8-1</f>
        <v>7.2602887891406676E-2</v>
      </c>
      <c r="I26" s="4">
        <f>+I8/E8-1</f>
        <v>6.3572111508970686E-2</v>
      </c>
      <c r="J26" s="4">
        <f>+J8/F8-1</f>
        <v>0.1176357575815794</v>
      </c>
      <c r="K26" s="4">
        <f>+K8/G8-1</f>
        <v>-1.8080321427936474E-2</v>
      </c>
      <c r="R26" s="4">
        <f>+R8/Q8-1</f>
        <v>7.071069814163744E-2</v>
      </c>
      <c r="S26" s="4">
        <f>+S8/R8-1</f>
        <v>-0.24722239813114366</v>
      </c>
      <c r="T26" s="4">
        <f>+T8/S8-1</f>
        <v>0.23528440389840233</v>
      </c>
      <c r="U26" s="4">
        <f>+U8/T8-1</f>
        <v>6.4943614474849198E-2</v>
      </c>
      <c r="V26" s="4">
        <f>+V8/U8-1</f>
        <v>9.2595004914557855E-2</v>
      </c>
      <c r="W26" s="4">
        <f t="shared" ref="W26:AF26" si="37">+W8/V8-1</f>
        <v>9.0693069306930774E-2</v>
      </c>
      <c r="X26" s="4">
        <f t="shared" si="37"/>
        <v>4.8333333333333339E-2</v>
      </c>
      <c r="Y26" s="4">
        <f t="shared" si="37"/>
        <v>4.7567567567567526E-2</v>
      </c>
      <c r="Z26" s="4">
        <f t="shared" si="37"/>
        <v>4.6842105263157796E-2</v>
      </c>
      <c r="AA26" s="4">
        <f t="shared" si="37"/>
        <v>4.6153846153846212E-2</v>
      </c>
      <c r="AB26" s="4">
        <f t="shared" si="37"/>
        <v>4.5500000000000096E-2</v>
      </c>
      <c r="AC26" s="4">
        <f t="shared" si="37"/>
        <v>4.4878048780487845E-2</v>
      </c>
      <c r="AD26" s="4">
        <f t="shared" si="37"/>
        <v>4.4285714285714262E-2</v>
      </c>
      <c r="AE26" s="4">
        <f t="shared" si="37"/>
        <v>4.3720930232558297E-2</v>
      </c>
      <c r="AF26" s="4">
        <f t="shared" si="37"/>
        <v>4.318181818181821E-2</v>
      </c>
    </row>
    <row r="27" spans="2:232" s="4" customFormat="1">
      <c r="B27" s="4" t="s">
        <v>37</v>
      </c>
      <c r="C27" s="4">
        <f t="shared" ref="C27:K27" si="38">+C17/C8</f>
        <v>7.3263937264892623E-2</v>
      </c>
      <c r="D27" s="4">
        <f t="shared" si="38"/>
        <v>8.4049898148648897E-2</v>
      </c>
      <c r="E27" s="4">
        <f t="shared" si="38"/>
        <v>6.2006711535216814E-2</v>
      </c>
      <c r="F27" s="4">
        <f t="shared" si="38"/>
        <v>5.2698821336970826E-2</v>
      </c>
      <c r="G27" s="4">
        <f t="shared" si="38"/>
        <v>7.7699159096161707E-2</v>
      </c>
      <c r="H27" s="4">
        <f t="shared" si="38"/>
        <v>0.10228485474911976</v>
      </c>
      <c r="I27" s="4">
        <f t="shared" si="38"/>
        <v>7.3723824296693219E-2</v>
      </c>
      <c r="J27" s="4">
        <f t="shared" si="38"/>
        <v>7.9924707985594812E-2</v>
      </c>
      <c r="K27" s="4">
        <f t="shared" si="38"/>
        <v>6.8456691772885284E-2</v>
      </c>
      <c r="Q27" s="4">
        <f t="shared" ref="Q27:V27" si="39">+Q17/Q8</f>
        <v>3.9186338523355096E-2</v>
      </c>
      <c r="R27" s="4">
        <f t="shared" si="39"/>
        <v>4.2757595160862846E-2</v>
      </c>
      <c r="S27" s="4">
        <f t="shared" si="39"/>
        <v>5.329457364341085E-2</v>
      </c>
      <c r="T27" s="4">
        <f t="shared" si="39"/>
        <v>0.11245324327119281</v>
      </c>
      <c r="U27" s="4">
        <f t="shared" si="39"/>
        <v>6.8183271555960823E-2</v>
      </c>
      <c r="V27" s="4">
        <f t="shared" si="39"/>
        <v>8.3624894322689727E-2</v>
      </c>
      <c r="W27" s="4">
        <f t="shared" ref="W27:AF27" si="40">+W17/W8</f>
        <v>8.3624894322689949E-2</v>
      </c>
      <c r="X27" s="4">
        <f t="shared" si="40"/>
        <v>8.3624894322689713E-2</v>
      </c>
      <c r="Y27" s="4">
        <f t="shared" si="40"/>
        <v>8.3624894322689672E-2</v>
      </c>
      <c r="Z27" s="4">
        <f t="shared" si="40"/>
        <v>8.3624894322689769E-2</v>
      </c>
      <c r="AA27" s="4">
        <f t="shared" si="40"/>
        <v>8.3624894322689866E-2</v>
      </c>
      <c r="AB27" s="4">
        <f t="shared" si="40"/>
        <v>8.3624894322689755E-2</v>
      </c>
      <c r="AC27" s="4">
        <f t="shared" si="40"/>
        <v>8.3624894322689616E-2</v>
      </c>
      <c r="AD27" s="4">
        <f t="shared" si="40"/>
        <v>8.3624894322689658E-2</v>
      </c>
      <c r="AE27" s="4">
        <f t="shared" si="40"/>
        <v>8.3624894322689727E-2</v>
      </c>
      <c r="AF27" s="4">
        <f t="shared" si="40"/>
        <v>8.3624894322689824E-2</v>
      </c>
    </row>
    <row r="28" spans="2:232" s="4" customFormat="1">
      <c r="B28" s="4" t="s">
        <v>38</v>
      </c>
      <c r="C28" s="4">
        <f t="shared" ref="C28:K28" si="41">+C19/C8</f>
        <v>7.2985291483390724E-2</v>
      </c>
      <c r="D28" s="4">
        <f t="shared" si="41"/>
        <v>8.4725902691399416E-2</v>
      </c>
      <c r="E28" s="4">
        <f t="shared" si="41"/>
        <v>6.5109390525112013E-2</v>
      </c>
      <c r="F28" s="4">
        <f t="shared" si="41"/>
        <v>5.7444212831769148E-2</v>
      </c>
      <c r="G28" s="4">
        <f t="shared" si="41"/>
        <v>8.4605948550196444E-2</v>
      </c>
      <c r="H28" s="4">
        <f t="shared" si="41"/>
        <v>0.10946126503138628</v>
      </c>
      <c r="I28" s="4">
        <f t="shared" si="41"/>
        <v>8.2052457167030954E-2</v>
      </c>
      <c r="J28" s="4">
        <f t="shared" si="41"/>
        <v>8.6413916989694625E-2</v>
      </c>
      <c r="K28" s="4">
        <f t="shared" si="41"/>
        <v>7.3942641946697571E-2</v>
      </c>
      <c r="Q28" s="4">
        <f t="shared" ref="Q28:V28" si="42">+Q19/Q8</f>
        <v>3.8977900552486185E-2</v>
      </c>
      <c r="R28" s="4">
        <f t="shared" si="42"/>
        <v>4.2471449982057291E-2</v>
      </c>
      <c r="S28" s="4">
        <f t="shared" si="42"/>
        <v>5.2493830853211694E-2</v>
      </c>
      <c r="T28" s="4">
        <f t="shared" si="42"/>
        <v>0.11209003523622395</v>
      </c>
      <c r="U28" s="4">
        <f t="shared" si="42"/>
        <v>7.0248570041329658E-2</v>
      </c>
      <c r="V28" s="4">
        <f t="shared" si="42"/>
        <v>9.084563525611844E-2</v>
      </c>
      <c r="W28" s="4">
        <f t="shared" ref="W28:AF28" si="43">+W19/W8</f>
        <v>8.9226331930820121E-2</v>
      </c>
      <c r="X28" s="4">
        <f t="shared" si="43"/>
        <v>8.8968078050635835E-2</v>
      </c>
      <c r="Y28" s="4">
        <f t="shared" si="43"/>
        <v>8.8725456704887989E-2</v>
      </c>
      <c r="Z28" s="4">
        <f t="shared" si="43"/>
        <v>8.8497226412270855E-2</v>
      </c>
      <c r="AA28" s="4">
        <f t="shared" si="43"/>
        <v>8.8282270584789435E-2</v>
      </c>
      <c r="AB28" s="4">
        <f t="shared" si="43"/>
        <v>8.8079582282612826E-2</v>
      </c>
      <c r="AC28" s="4">
        <f t="shared" si="43"/>
        <v>8.7888251147079113E-2</v>
      </c>
      <c r="AD28" s="4">
        <f t="shared" si="43"/>
        <v>8.7707452157262361E-2</v>
      </c>
      <c r="AE28" s="4">
        <f t="shared" si="43"/>
        <v>8.753643591998532E-2</v>
      </c>
      <c r="AF28" s="4">
        <f t="shared" si="43"/>
        <v>8.7374520254737895E-2</v>
      </c>
    </row>
    <row r="29" spans="2:232">
      <c r="AI29" s="1" t="s">
        <v>77</v>
      </c>
      <c r="AJ29" s="4">
        <v>0.05</v>
      </c>
      <c r="AM29" s="1" t="s">
        <v>78</v>
      </c>
      <c r="AN29" s="11">
        <v>4.2200000000000001E-2</v>
      </c>
    </row>
    <row r="30" spans="2:232">
      <c r="AI30" s="1" t="s">
        <v>47</v>
      </c>
      <c r="AJ30" s="4">
        <v>0.01</v>
      </c>
      <c r="AM30" s="1" t="s">
        <v>79</v>
      </c>
      <c r="AN30" s="11">
        <v>5.3400000000000003E-2</v>
      </c>
    </row>
    <row r="31" spans="2:232" s="10" customFormat="1">
      <c r="B31" s="10" t="s">
        <v>76</v>
      </c>
      <c r="C31" s="10">
        <f t="shared" ref="C31:K31" si="44">+C32</f>
        <v>89713</v>
      </c>
      <c r="D31" s="10">
        <f t="shared" si="44"/>
        <v>96258</v>
      </c>
      <c r="E31" s="10">
        <f t="shared" si="44"/>
        <v>84126</v>
      </c>
      <c r="F31" s="10">
        <f t="shared" si="44"/>
        <v>78028</v>
      </c>
      <c r="G31" s="10">
        <f t="shared" si="44"/>
        <v>82598</v>
      </c>
      <c r="H31" s="10">
        <f t="shared" si="44"/>
        <v>82624</v>
      </c>
      <c r="I31" s="10">
        <f t="shared" si="44"/>
        <v>69863</v>
      </c>
      <c r="J31" s="10">
        <f t="shared" si="44"/>
        <v>67774</v>
      </c>
      <c r="K31" s="10">
        <f t="shared" si="44"/>
        <v>56367</v>
      </c>
      <c r="V31" s="10">
        <f>+K31</f>
        <v>56367</v>
      </c>
      <c r="W31" s="10">
        <f>+V31+W21</f>
        <v>95200.324302475346</v>
      </c>
      <c r="X31" s="10">
        <f t="shared" ref="X31:AF31" si="45">+W31+X21</f>
        <v>135792.76209665355</v>
      </c>
      <c r="Y31" s="10">
        <f t="shared" si="45"/>
        <v>178200.11974158185</v>
      </c>
      <c r="Z31" s="10">
        <f t="shared" si="45"/>
        <v>222479.73220527259</v>
      </c>
      <c r="AA31" s="10">
        <f t="shared" si="45"/>
        <v>268690.50188651838</v>
      </c>
      <c r="AB31" s="10">
        <f t="shared" si="45"/>
        <v>316892.93837813579</v>
      </c>
      <c r="AC31" s="10">
        <f t="shared" si="45"/>
        <v>367149.19919376716</v>
      </c>
      <c r="AD31" s="10">
        <f t="shared" si="45"/>
        <v>419523.13148087653</v>
      </c>
      <c r="AE31" s="10">
        <f t="shared" si="45"/>
        <v>474080.31474309677</v>
      </c>
      <c r="AF31" s="10">
        <f t="shared" si="45"/>
        <v>530888.10459561751</v>
      </c>
      <c r="AI31" s="10" t="s">
        <v>48</v>
      </c>
      <c r="AJ31" s="7">
        <v>0.1</v>
      </c>
      <c r="AM31" s="10" t="s">
        <v>80</v>
      </c>
      <c r="AN31" s="12">
        <v>5.3800000000000001E-2</v>
      </c>
    </row>
    <row r="32" spans="2:232">
      <c r="B32" s="1" t="s">
        <v>9</v>
      </c>
      <c r="C32" s="1">
        <v>89713</v>
      </c>
      <c r="D32" s="1">
        <v>96258</v>
      </c>
      <c r="E32" s="1">
        <v>84126</v>
      </c>
      <c r="F32" s="1">
        <v>78028</v>
      </c>
      <c r="G32" s="1">
        <v>82598</v>
      </c>
      <c r="H32" s="1">
        <v>82624</v>
      </c>
      <c r="I32" s="1">
        <v>69863</v>
      </c>
      <c r="J32" s="1">
        <v>67774</v>
      </c>
      <c r="K32" s="1">
        <v>56367</v>
      </c>
      <c r="AI32" s="1" t="s">
        <v>49</v>
      </c>
      <c r="AJ32" s="1">
        <f>NPV(AJ31,W21:HX21)</f>
        <v>527906.83158642461</v>
      </c>
    </row>
    <row r="33" spans="2:36" s="14" customFormat="1">
      <c r="B33" s="14" t="s">
        <v>55</v>
      </c>
      <c r="C33" s="14">
        <v>1830</v>
      </c>
      <c r="D33" s="14">
        <v>1823</v>
      </c>
      <c r="E33" s="14">
        <v>1647</v>
      </c>
      <c r="F33" s="14">
        <v>2004</v>
      </c>
      <c r="G33" s="14">
        <v>1818</v>
      </c>
      <c r="H33" s="14">
        <v>2296</v>
      </c>
      <c r="I33" s="14">
        <v>2148</v>
      </c>
      <c r="J33" s="14">
        <v>1925</v>
      </c>
      <c r="K33" s="14">
        <v>2168</v>
      </c>
      <c r="AI33" s="14" t="s">
        <v>50</v>
      </c>
      <c r="AJ33" s="14">
        <f>+Main!G7*1000</f>
        <v>56367</v>
      </c>
    </row>
    <row r="34" spans="2:36" s="14" customFormat="1">
      <c r="B34" s="14" t="s">
        <v>56</v>
      </c>
      <c r="C34" s="14">
        <v>1000</v>
      </c>
      <c r="D34" s="14">
        <v>1000</v>
      </c>
      <c r="E34" s="14">
        <v>0</v>
      </c>
      <c r="F34" s="14">
        <v>900</v>
      </c>
      <c r="G34" s="14">
        <v>900</v>
      </c>
      <c r="H34" s="14">
        <v>900</v>
      </c>
      <c r="I34" s="14">
        <v>900</v>
      </c>
      <c r="J34" s="14">
        <v>1359</v>
      </c>
      <c r="K34" s="14">
        <v>2359</v>
      </c>
      <c r="AI34" s="14" t="s">
        <v>51</v>
      </c>
      <c r="AJ34" s="14">
        <f>+SUM(AJ32:AJ33)</f>
        <v>584273.83158642461</v>
      </c>
    </row>
    <row r="35" spans="2:36" s="14" customFormat="1">
      <c r="B35" s="14" t="s">
        <v>57</v>
      </c>
      <c r="C35" s="14">
        <v>1614</v>
      </c>
      <c r="D35" s="14">
        <v>1759</v>
      </c>
      <c r="E35" s="14">
        <v>1622</v>
      </c>
      <c r="F35" s="14">
        <v>2069</v>
      </c>
      <c r="G35" s="14">
        <v>1614</v>
      </c>
      <c r="H35" s="14">
        <v>1667</v>
      </c>
      <c r="I35" s="14">
        <v>1681</v>
      </c>
      <c r="J35" s="14">
        <v>1805</v>
      </c>
      <c r="K35" s="14">
        <v>1750</v>
      </c>
      <c r="AI35" s="14" t="s">
        <v>7</v>
      </c>
      <c r="AJ35" s="14">
        <f>+Main!G5*1000</f>
        <v>17230.087</v>
      </c>
    </row>
    <row r="36" spans="2:36" s="14" customFormat="1">
      <c r="B36" s="14" t="s">
        <v>86</v>
      </c>
      <c r="C36" s="14">
        <v>975</v>
      </c>
      <c r="D36" s="14">
        <v>980</v>
      </c>
      <c r="E36" s="14">
        <v>0</v>
      </c>
      <c r="F36" s="14">
        <v>0</v>
      </c>
      <c r="G36" s="14">
        <v>0</v>
      </c>
      <c r="H36" s="14">
        <v>0</v>
      </c>
      <c r="I36" s="14">
        <v>117</v>
      </c>
    </row>
    <row r="37" spans="2:36" s="14" customFormat="1">
      <c r="B37" s="14" t="s">
        <v>58</v>
      </c>
      <c r="C37" s="14">
        <v>3557</v>
      </c>
      <c r="D37" s="14">
        <v>5187</v>
      </c>
      <c r="E37" s="14">
        <v>5058</v>
      </c>
      <c r="F37" s="14">
        <v>4817</v>
      </c>
      <c r="G37" s="14">
        <v>4285</v>
      </c>
      <c r="H37" s="14">
        <v>6456</v>
      </c>
      <c r="I37" s="14">
        <v>5821</v>
      </c>
      <c r="J37" s="14">
        <v>7507</v>
      </c>
      <c r="K37" s="14">
        <v>7693</v>
      </c>
      <c r="AI37" s="14" t="s">
        <v>52</v>
      </c>
      <c r="AJ37" s="15">
        <f>+AJ34/AJ35</f>
        <v>33.910091782265788</v>
      </c>
    </row>
    <row r="38" spans="2:36" s="14" customFormat="1">
      <c r="B38" s="14" t="s">
        <v>59</v>
      </c>
      <c r="C38" s="14">
        <f t="shared" ref="C38:K38" si="46">+SUM(C32:C37)</f>
        <v>98689</v>
      </c>
      <c r="D38" s="14">
        <f t="shared" si="46"/>
        <v>107007</v>
      </c>
      <c r="E38" s="14">
        <f t="shared" si="46"/>
        <v>92453</v>
      </c>
      <c r="F38" s="14">
        <f t="shared" si="46"/>
        <v>87818</v>
      </c>
      <c r="G38" s="14">
        <f t="shared" si="46"/>
        <v>91215</v>
      </c>
      <c r="H38" s="14">
        <f t="shared" si="46"/>
        <v>93943</v>
      </c>
      <c r="I38" s="14">
        <f t="shared" si="46"/>
        <v>80530</v>
      </c>
      <c r="J38" s="14">
        <f t="shared" si="46"/>
        <v>80370</v>
      </c>
      <c r="K38" s="14">
        <f t="shared" si="46"/>
        <v>70337</v>
      </c>
      <c r="AI38" s="14" t="s">
        <v>53</v>
      </c>
      <c r="AJ38" s="14">
        <f>+Main!G4</f>
        <v>37.1</v>
      </c>
    </row>
    <row r="39" spans="2:36" s="14" customFormat="1">
      <c r="B39" s="14" t="s">
        <v>61</v>
      </c>
      <c r="C39" s="14">
        <v>177752</v>
      </c>
      <c r="D39" s="14">
        <v>180467</v>
      </c>
      <c r="E39" s="14">
        <v>184148</v>
      </c>
      <c r="F39" s="14">
        <v>185956</v>
      </c>
      <c r="G39" s="14">
        <v>189384</v>
      </c>
      <c r="H39" s="14">
        <v>196998</v>
      </c>
      <c r="I39" s="14">
        <v>200125</v>
      </c>
      <c r="J39" s="14">
        <v>201928</v>
      </c>
      <c r="K39" s="14">
        <v>207865</v>
      </c>
      <c r="AI39" s="14" t="s">
        <v>54</v>
      </c>
      <c r="AJ39" s="16">
        <f>+AJ37/AJ38-1</f>
        <v>-8.5981353577741615E-2</v>
      </c>
    </row>
    <row r="40" spans="2:36" s="14" customFormat="1">
      <c r="B40" s="14" t="s">
        <v>62</v>
      </c>
      <c r="C40" s="14">
        <v>150039</v>
      </c>
      <c r="D40" s="14">
        <v>148226</v>
      </c>
      <c r="E40" s="14">
        <v>149036</v>
      </c>
      <c r="F40" s="14">
        <v>146920</v>
      </c>
      <c r="G40" s="14">
        <v>144435</v>
      </c>
      <c r="H40" s="14">
        <v>142677</v>
      </c>
      <c r="I40" s="14">
        <v>139491</v>
      </c>
      <c r="J40" s="14">
        <v>140138</v>
      </c>
      <c r="K40" s="14">
        <v>139718</v>
      </c>
    </row>
    <row r="41" spans="2:36" s="14" customFormat="1">
      <c r="B41" s="14" t="s">
        <v>63</v>
      </c>
      <c r="C41" s="14">
        <v>5038</v>
      </c>
      <c r="D41" s="14">
        <v>4531</v>
      </c>
      <c r="E41" s="14">
        <v>4903</v>
      </c>
      <c r="F41" s="14">
        <v>4958</v>
      </c>
      <c r="G41" s="14">
        <v>4750</v>
      </c>
      <c r="H41" s="14">
        <v>4370</v>
      </c>
      <c r="I41" s="14">
        <v>3802</v>
      </c>
      <c r="J41" s="14">
        <v>3415</v>
      </c>
      <c r="K41" s="14">
        <v>3281</v>
      </c>
      <c r="AI41" s="14" t="s">
        <v>92</v>
      </c>
      <c r="AJ41" s="20">
        <f>+Main!G9/(Model!W21/1000)</f>
        <v>15.00951149996825</v>
      </c>
    </row>
    <row r="42" spans="2:36" s="14" customFormat="1">
      <c r="B42" s="14" t="s">
        <v>64</v>
      </c>
      <c r="C42" s="14">
        <v>2362</v>
      </c>
      <c r="D42" s="14">
        <v>2416</v>
      </c>
      <c r="E42" s="14">
        <v>2891</v>
      </c>
      <c r="F42" s="14">
        <v>3160</v>
      </c>
      <c r="G42" s="14">
        <v>3680</v>
      </c>
      <c r="H42" s="14">
        <v>3865</v>
      </c>
      <c r="I42" s="14">
        <v>4386</v>
      </c>
      <c r="J42" s="14">
        <v>4814</v>
      </c>
      <c r="K42" s="14">
        <v>5944</v>
      </c>
    </row>
    <row r="43" spans="2:36" s="14" customFormat="1">
      <c r="B43" s="14" t="s">
        <v>65</v>
      </c>
      <c r="C43" s="14">
        <v>21900</v>
      </c>
      <c r="D43" s="14">
        <v>21900</v>
      </c>
      <c r="E43" s="14">
        <v>21900</v>
      </c>
      <c r="F43" s="14">
        <v>21900</v>
      </c>
      <c r="G43" s="14">
        <v>21900</v>
      </c>
      <c r="H43" s="14">
        <v>21900</v>
      </c>
      <c r="I43" s="14">
        <v>21900</v>
      </c>
      <c r="J43" s="14">
        <v>21900</v>
      </c>
      <c r="K43" s="14">
        <v>21900</v>
      </c>
    </row>
    <row r="44" spans="2:36" s="14" customFormat="1">
      <c r="B44" s="14" t="s">
        <v>66</v>
      </c>
      <c r="C44" s="14">
        <v>24069</v>
      </c>
      <c r="D44" s="14">
        <v>24069</v>
      </c>
      <c r="E44" s="14">
        <v>24069</v>
      </c>
      <c r="F44" s="14">
        <v>24069</v>
      </c>
      <c r="G44" s="14">
        <v>24069</v>
      </c>
      <c r="H44" s="14">
        <v>24069</v>
      </c>
      <c r="I44" s="14">
        <v>24069</v>
      </c>
      <c r="J44" s="14">
        <v>24069</v>
      </c>
      <c r="K44" s="14">
        <v>24069</v>
      </c>
    </row>
    <row r="45" spans="2:36" s="14" customFormat="1">
      <c r="B45" s="14" t="s">
        <v>60</v>
      </c>
      <c r="C45" s="14">
        <f t="shared" ref="C45:K45" si="47">+SUM(C38:C44)</f>
        <v>479849</v>
      </c>
      <c r="D45" s="14">
        <f t="shared" si="47"/>
        <v>488616</v>
      </c>
      <c r="E45" s="14">
        <f t="shared" si="47"/>
        <v>479400</v>
      </c>
      <c r="F45" s="14">
        <f t="shared" si="47"/>
        <v>474781</v>
      </c>
      <c r="G45" s="14">
        <f t="shared" si="47"/>
        <v>479433</v>
      </c>
      <c r="H45" s="14">
        <f t="shared" si="47"/>
        <v>487822</v>
      </c>
      <c r="I45" s="14">
        <f t="shared" si="47"/>
        <v>474303</v>
      </c>
      <c r="J45" s="14">
        <f t="shared" si="47"/>
        <v>476634</v>
      </c>
      <c r="K45" s="14">
        <f t="shared" si="47"/>
        <v>473114</v>
      </c>
    </row>
    <row r="46" spans="2:36" s="14" customFormat="1"/>
    <row r="47" spans="2:36" s="14" customFormat="1">
      <c r="B47" s="14" t="s">
        <v>67</v>
      </c>
      <c r="C47" s="14">
        <v>5327</v>
      </c>
      <c r="D47" s="14">
        <v>5735</v>
      </c>
      <c r="E47" s="14">
        <v>6634</v>
      </c>
      <c r="F47" s="14">
        <v>8059</v>
      </c>
      <c r="G47" s="14">
        <v>7043</v>
      </c>
      <c r="H47" s="14">
        <v>5219</v>
      </c>
      <c r="I47" s="14">
        <v>5917</v>
      </c>
      <c r="J47" s="14">
        <v>5561</v>
      </c>
      <c r="K47" s="14">
        <v>6479</v>
      </c>
    </row>
    <row r="48" spans="2:36" s="14" customFormat="1">
      <c r="B48" s="14" t="s">
        <v>68</v>
      </c>
      <c r="C48" s="14">
        <v>20705</v>
      </c>
      <c r="D48" s="14">
        <v>24859</v>
      </c>
      <c r="E48" s="14">
        <v>23952</v>
      </c>
      <c r="F48" s="14">
        <v>23321</v>
      </c>
      <c r="G48" s="14">
        <v>22833</v>
      </c>
      <c r="H48" s="14">
        <v>27315</v>
      </c>
      <c r="I48" s="14">
        <v>29280</v>
      </c>
      <c r="J48" s="14">
        <v>29914</v>
      </c>
      <c r="K48" s="14">
        <v>24214</v>
      </c>
    </row>
    <row r="49" spans="2:11" s="14" customFormat="1">
      <c r="B49" s="14" t="s">
        <v>69</v>
      </c>
      <c r="C49" s="14">
        <v>13344</v>
      </c>
      <c r="D49" s="14">
        <v>12638</v>
      </c>
      <c r="E49" s="14">
        <v>12403</v>
      </c>
      <c r="F49" s="14">
        <v>12499</v>
      </c>
      <c r="G49" s="14">
        <v>12489</v>
      </c>
      <c r="H49" s="14">
        <v>12575</v>
      </c>
      <c r="I49" s="14">
        <v>12553</v>
      </c>
      <c r="J49" s="14">
        <v>12988</v>
      </c>
      <c r="K49" s="14">
        <v>13260</v>
      </c>
    </row>
    <row r="50" spans="2:11" s="14" customFormat="1">
      <c r="B50" s="14" t="s">
        <v>70</v>
      </c>
      <c r="C50" s="14">
        <v>0</v>
      </c>
      <c r="D50" s="14">
        <v>0</v>
      </c>
      <c r="E50" s="14">
        <v>53</v>
      </c>
      <c r="F50" s="14">
        <v>479</v>
      </c>
      <c r="G50" s="14">
        <v>1122</v>
      </c>
      <c r="H50" s="14">
        <v>102</v>
      </c>
      <c r="I50" s="14">
        <v>0</v>
      </c>
      <c r="J50" s="14">
        <v>303</v>
      </c>
      <c r="K50" s="14">
        <v>893</v>
      </c>
    </row>
    <row r="51" spans="2:11" s="14" customFormat="1">
      <c r="B51" s="14" t="s">
        <v>71</v>
      </c>
      <c r="C51" s="14">
        <f t="shared" ref="C51:K51" si="48">+SUM(C47:C50)</f>
        <v>39376</v>
      </c>
      <c r="D51" s="14">
        <f t="shared" si="48"/>
        <v>43232</v>
      </c>
      <c r="E51" s="14">
        <f t="shared" si="48"/>
        <v>43042</v>
      </c>
      <c r="F51" s="14">
        <f t="shared" si="48"/>
        <v>44358</v>
      </c>
      <c r="G51" s="14">
        <f t="shared" si="48"/>
        <v>43487</v>
      </c>
      <c r="H51" s="14">
        <f t="shared" si="48"/>
        <v>45211</v>
      </c>
      <c r="I51" s="14">
        <f t="shared" si="48"/>
        <v>47750</v>
      </c>
      <c r="J51" s="14">
        <f t="shared" si="48"/>
        <v>48766</v>
      </c>
      <c r="K51" s="14">
        <f t="shared" si="48"/>
        <v>44846</v>
      </c>
    </row>
    <row r="52" spans="2:11" s="14" customFormat="1">
      <c r="B52" s="14" t="s">
        <v>62</v>
      </c>
      <c r="C52" s="14">
        <v>190307</v>
      </c>
      <c r="D52" s="14">
        <v>187729</v>
      </c>
      <c r="E52" s="14">
        <v>185443</v>
      </c>
      <c r="F52" s="14">
        <v>183670</v>
      </c>
      <c r="G52" s="14">
        <v>180643</v>
      </c>
      <c r="H52" s="14">
        <v>178143</v>
      </c>
      <c r="I52" s="14">
        <v>173971</v>
      </c>
      <c r="J52" s="14">
        <v>174236</v>
      </c>
      <c r="K52" s="14">
        <v>174156</v>
      </c>
    </row>
    <row r="53" spans="2:11" s="14" customFormat="1">
      <c r="B53" s="14" t="s">
        <v>72</v>
      </c>
      <c r="C53" s="14">
        <v>1932</v>
      </c>
      <c r="D53" s="14">
        <v>1905</v>
      </c>
      <c r="E53" s="14">
        <v>1956</v>
      </c>
      <c r="F53" s="14">
        <v>2192</v>
      </c>
      <c r="G53" s="14">
        <v>2725</v>
      </c>
      <c r="H53" s="14">
        <v>3061</v>
      </c>
      <c r="I53" s="14">
        <v>3355</v>
      </c>
      <c r="J53" s="14">
        <v>3785</v>
      </c>
      <c r="K53" s="14">
        <v>4931</v>
      </c>
    </row>
    <row r="54" spans="2:11" s="14" customFormat="1">
      <c r="B54" s="14" t="s">
        <v>73</v>
      </c>
      <c r="C54" s="14">
        <f t="shared" ref="C54:K54" si="49">+SUM(C51:C53)</f>
        <v>231615</v>
      </c>
      <c r="D54" s="14">
        <f t="shared" si="49"/>
        <v>232866</v>
      </c>
      <c r="E54" s="14">
        <f t="shared" si="49"/>
        <v>230441</v>
      </c>
      <c r="F54" s="14">
        <f t="shared" si="49"/>
        <v>230220</v>
      </c>
      <c r="G54" s="14">
        <f t="shared" si="49"/>
        <v>226855</v>
      </c>
      <c r="H54" s="14">
        <f t="shared" si="49"/>
        <v>226415</v>
      </c>
      <c r="I54" s="14">
        <f t="shared" si="49"/>
        <v>225076</v>
      </c>
      <c r="J54" s="14">
        <f t="shared" si="49"/>
        <v>226787</v>
      </c>
      <c r="K54" s="14">
        <f t="shared" si="49"/>
        <v>223933</v>
      </c>
    </row>
    <row r="55" spans="2:11" s="14" customFormat="1">
      <c r="B55" s="14" t="s">
        <v>74</v>
      </c>
      <c r="C55" s="14">
        <v>248234</v>
      </c>
      <c r="D55" s="14">
        <v>255750</v>
      </c>
      <c r="E55" s="14">
        <v>248959</v>
      </c>
      <c r="F55" s="14">
        <v>244561</v>
      </c>
      <c r="G55" s="14">
        <v>252578</v>
      </c>
      <c r="H55" s="14">
        <v>261407</v>
      </c>
      <c r="I55" s="14">
        <v>249227</v>
      </c>
      <c r="J55" s="14">
        <v>249847</v>
      </c>
      <c r="K55" s="14">
        <v>249181</v>
      </c>
    </row>
    <row r="56" spans="2:11" s="14" customFormat="1">
      <c r="B56" s="14" t="s">
        <v>75</v>
      </c>
      <c r="C56" s="14">
        <f t="shared" ref="C56:K56" si="50">+SUM(C54:C55)</f>
        <v>479849</v>
      </c>
      <c r="D56" s="14">
        <f t="shared" si="50"/>
        <v>488616</v>
      </c>
      <c r="E56" s="14">
        <f t="shared" si="50"/>
        <v>479400</v>
      </c>
      <c r="F56" s="14">
        <f t="shared" si="50"/>
        <v>474781</v>
      </c>
      <c r="G56" s="14">
        <f t="shared" si="50"/>
        <v>479433</v>
      </c>
      <c r="H56" s="14">
        <f t="shared" si="50"/>
        <v>487822</v>
      </c>
      <c r="I56" s="14">
        <f t="shared" si="50"/>
        <v>474303</v>
      </c>
      <c r="J56" s="14">
        <f t="shared" si="50"/>
        <v>476634</v>
      </c>
      <c r="K56" s="14">
        <f t="shared" si="50"/>
        <v>473114</v>
      </c>
    </row>
    <row r="58" spans="2:11" s="17" customFormat="1">
      <c r="B58" s="17" t="s">
        <v>89</v>
      </c>
      <c r="F58" s="17">
        <f t="shared" ref="F58:J58" si="51">+SUM(C8:F8)/F33</f>
        <v>210.68612774451097</v>
      </c>
      <c r="G58" s="17">
        <f t="shared" si="51"/>
        <v>238.84873487348736</v>
      </c>
      <c r="H58" s="17">
        <f t="shared" si="51"/>
        <v>192.63153310104531</v>
      </c>
      <c r="I58" s="17">
        <f t="shared" si="51"/>
        <v>209.06145251396649</v>
      </c>
      <c r="J58" s="17">
        <f t="shared" si="51"/>
        <v>239.64155844155843</v>
      </c>
      <c r="K58" s="17">
        <f>+SUM(H8:K8)/K33</f>
        <v>211.84317343173433</v>
      </c>
    </row>
    <row r="59" spans="2:11" s="18" customFormat="1">
      <c r="B59" s="18" t="s">
        <v>90</v>
      </c>
      <c r="F59" s="18">
        <f t="shared" ref="F59:J59" si="52">+F58/52</f>
        <v>4.0516563027790573</v>
      </c>
      <c r="G59" s="18">
        <f t="shared" si="52"/>
        <v>4.5932449014132182</v>
      </c>
      <c r="H59" s="18">
        <f t="shared" si="52"/>
        <v>3.7044525596354867</v>
      </c>
      <c r="I59" s="18">
        <f t="shared" si="52"/>
        <v>4.0204125483455098</v>
      </c>
      <c r="J59" s="18">
        <f t="shared" si="52"/>
        <v>4.6084915084915083</v>
      </c>
      <c r="K59" s="18">
        <f>+K58/52</f>
        <v>4.0739071813795062</v>
      </c>
    </row>
    <row r="60" spans="2:11" s="17" customFormat="1">
      <c r="B60" s="17" t="s">
        <v>91</v>
      </c>
      <c r="K60" s="17">
        <f>+SUM(H9:K9)/K35</f>
        <v>65.698857142857136</v>
      </c>
    </row>
    <row r="61" spans="2:11" s="19" customFormat="1">
      <c r="K61" s="19">
        <f>52/K60</f>
        <v>0.79149017595435456</v>
      </c>
    </row>
    <row r="65" spans="2:11">
      <c r="B65" s="1" t="s">
        <v>81</v>
      </c>
      <c r="C65" s="1">
        <v>6851</v>
      </c>
      <c r="D65" s="1">
        <f>22267-C65</f>
        <v>15416</v>
      </c>
      <c r="E65" s="1">
        <f>32873-SUM(C65:D65)</f>
        <v>10606</v>
      </c>
      <c r="F65" s="1">
        <f>42806-SUM(C65:E65)</f>
        <v>9933</v>
      </c>
      <c r="G65" s="1">
        <v>12129</v>
      </c>
      <c r="H65" s="1">
        <f>29419-G65</f>
        <v>17290</v>
      </c>
      <c r="I65" s="1">
        <f>45175-SUM(G65:H65)</f>
        <v>15756</v>
      </c>
      <c r="J65" s="1">
        <f>59076-SUM(G65:I65)</f>
        <v>13901</v>
      </c>
      <c r="K65" s="1">
        <v>8136</v>
      </c>
    </row>
    <row r="66" spans="2:11">
      <c r="B66" s="1" t="s">
        <v>82</v>
      </c>
      <c r="C66" s="1">
        <v>-2613</v>
      </c>
      <c r="D66" s="1">
        <f>+-10142-C66</f>
        <v>-7529</v>
      </c>
      <c r="E66" s="1">
        <f>+-20113-SUM(C66:D66)</f>
        <v>-9971</v>
      </c>
      <c r="F66" s="1">
        <f>+-28300-SUM(C66:E66)</f>
        <v>-8187</v>
      </c>
      <c r="G66" s="1">
        <v>-6318</v>
      </c>
      <c r="H66" s="1">
        <f>+-20615-G66</f>
        <v>-14297</v>
      </c>
      <c r="I66" s="1">
        <f>+-28654-SUM(G66:H66)</f>
        <v>-8039</v>
      </c>
      <c r="J66" s="1">
        <f>+-38603-SUM(G66:I66)</f>
        <v>-9949</v>
      </c>
      <c r="K66" s="1">
        <v>-10830</v>
      </c>
    </row>
    <row r="67" spans="2:11" s="10" customFormat="1">
      <c r="B67" s="10" t="s">
        <v>83</v>
      </c>
      <c r="C67" s="10">
        <f t="shared" ref="C67:J67" si="53">+SUM(C65:C66)</f>
        <v>4238</v>
      </c>
      <c r="D67" s="10">
        <f t="shared" si="53"/>
        <v>7887</v>
      </c>
      <c r="E67" s="10">
        <f t="shared" si="53"/>
        <v>635</v>
      </c>
      <c r="F67" s="10">
        <f t="shared" si="53"/>
        <v>1746</v>
      </c>
      <c r="G67" s="10">
        <f t="shared" si="53"/>
        <v>5811</v>
      </c>
      <c r="H67" s="10">
        <f t="shared" si="53"/>
        <v>2993</v>
      </c>
      <c r="I67" s="10">
        <f t="shared" si="53"/>
        <v>7717</v>
      </c>
      <c r="J67" s="10">
        <f t="shared" si="53"/>
        <v>3952</v>
      </c>
      <c r="K67" s="10">
        <f>+SUM(K65:K66)</f>
        <v>-2694</v>
      </c>
    </row>
    <row r="68" spans="2:11">
      <c r="B68" s="1" t="s">
        <v>27</v>
      </c>
      <c r="C68" s="1">
        <f>+C21</f>
        <v>6797</v>
      </c>
      <c r="D68" s="1">
        <f t="shared" ref="D68:K68" si="54">+D21</f>
        <v>8605</v>
      </c>
      <c r="E68" s="1">
        <f t="shared" si="54"/>
        <v>6179</v>
      </c>
      <c r="F68" s="1">
        <f t="shared" si="54"/>
        <v>5726</v>
      </c>
      <c r="G68" s="1">
        <f t="shared" si="54"/>
        <v>8593</v>
      </c>
      <c r="H68" s="1">
        <f t="shared" si="54"/>
        <v>11216</v>
      </c>
      <c r="I68" s="1">
        <f t="shared" si="54"/>
        <v>8091</v>
      </c>
      <c r="J68" s="1">
        <f t="shared" si="54"/>
        <v>8598</v>
      </c>
      <c r="K68" s="1">
        <f t="shared" si="54"/>
        <v>7354</v>
      </c>
    </row>
    <row r="70" spans="2:11">
      <c r="B70" s="1" t="s">
        <v>87</v>
      </c>
      <c r="F70" s="1">
        <f t="shared" ref="F70:J70" si="55">SUM(C67:F67)</f>
        <v>14506</v>
      </c>
      <c r="G70" s="1">
        <f t="shared" si="55"/>
        <v>16079</v>
      </c>
      <c r="H70" s="1">
        <f t="shared" si="55"/>
        <v>11185</v>
      </c>
      <c r="I70" s="1">
        <f t="shared" si="55"/>
        <v>18267</v>
      </c>
      <c r="J70" s="1">
        <f t="shared" si="55"/>
        <v>20473</v>
      </c>
      <c r="K70" s="1">
        <f>SUM(H67:K67)</f>
        <v>11968</v>
      </c>
    </row>
    <row r="71" spans="2:11">
      <c r="B71" s="1" t="s">
        <v>88</v>
      </c>
      <c r="F71" s="1">
        <f t="shared" ref="F71:J71" si="56">SUM(C68:F68)</f>
        <v>27307</v>
      </c>
      <c r="G71" s="1">
        <f t="shared" si="56"/>
        <v>29103</v>
      </c>
      <c r="H71" s="1">
        <f t="shared" si="56"/>
        <v>31714</v>
      </c>
      <c r="I71" s="1">
        <f t="shared" si="56"/>
        <v>33626</v>
      </c>
      <c r="J71" s="1">
        <f t="shared" si="56"/>
        <v>36498</v>
      </c>
      <c r="K71" s="1">
        <f>SUM(H68:K68)</f>
        <v>35259</v>
      </c>
    </row>
  </sheetData>
  <pageMargins left="0.7" right="0.7" top="0.75" bottom="0.75" header="0.3" footer="0.3"/>
  <ignoredErrors>
    <ignoredError sqref="D16:J23 W20:AF20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CB99-5264-CA40-A359-1315E9377B64}">
  <dimension ref="B2:H13"/>
  <sheetViews>
    <sheetView tabSelected="1" zoomScale="210" zoomScaleNormal="210" workbookViewId="0">
      <selection activeCell="J18" sqref="J18"/>
    </sheetView>
  </sheetViews>
  <sheetFormatPr baseColWidth="10" defaultRowHeight="13"/>
  <cols>
    <col min="1" max="1" width="2.33203125" style="1" customWidth="1"/>
    <col min="2" max="3" width="10.83203125" style="1"/>
    <col min="4" max="4" width="6.6640625" style="1" bestFit="1" customWidth="1"/>
    <col min="5" max="5" width="5.6640625" style="1" bestFit="1" customWidth="1"/>
    <col min="6" max="6" width="13.5" style="1" bestFit="1" customWidth="1"/>
    <col min="7" max="7" width="5.6640625" style="1" bestFit="1" customWidth="1"/>
    <col min="8" max="8" width="5.5" style="1" bestFit="1" customWidth="1"/>
    <col min="9" max="16384" width="10.83203125" style="1"/>
  </cols>
  <sheetData>
    <row r="2" spans="2:8">
      <c r="B2" s="1" t="s">
        <v>43</v>
      </c>
      <c r="C2" s="1" t="s">
        <v>44</v>
      </c>
      <c r="G2" s="4"/>
    </row>
    <row r="3" spans="2:8">
      <c r="B3" s="1" t="s">
        <v>45</v>
      </c>
      <c r="C3" s="1" t="s">
        <v>46</v>
      </c>
      <c r="F3" s="1" t="s">
        <v>13</v>
      </c>
    </row>
    <row r="4" spans="2:8">
      <c r="F4" s="1" t="s">
        <v>6</v>
      </c>
      <c r="G4" s="2">
        <v>37.1</v>
      </c>
    </row>
    <row r="5" spans="2:8">
      <c r="F5" s="1" t="s">
        <v>7</v>
      </c>
      <c r="G5" s="1">
        <v>17.230087000000001</v>
      </c>
      <c r="H5" s="1" t="s">
        <v>12</v>
      </c>
    </row>
    <row r="6" spans="2:8">
      <c r="F6" s="1" t="s">
        <v>8</v>
      </c>
      <c r="G6" s="1">
        <f>+G4*G5</f>
        <v>639.23622770000009</v>
      </c>
    </row>
    <row r="7" spans="2:8">
      <c r="F7" s="1" t="s">
        <v>9</v>
      </c>
      <c r="G7" s="1">
        <v>56.366999999999997</v>
      </c>
      <c r="H7" s="1" t="str">
        <f>+H5</f>
        <v>Q124</v>
      </c>
    </row>
    <row r="8" spans="2:8">
      <c r="F8" s="1" t="s">
        <v>10</v>
      </c>
      <c r="G8" s="1">
        <v>0</v>
      </c>
      <c r="H8" s="1" t="str">
        <f>+H7</f>
        <v>Q124</v>
      </c>
    </row>
    <row r="9" spans="2:8">
      <c r="F9" s="1" t="s">
        <v>11</v>
      </c>
      <c r="G9" s="1">
        <f>+G6-G7+G8</f>
        <v>582.86922770000012</v>
      </c>
      <c r="H9"/>
    </row>
    <row r="11" spans="2:8">
      <c r="F11" s="1" t="s">
        <v>84</v>
      </c>
      <c r="G11" s="2">
        <f>+G7/G5</f>
        <v>3.2714286352703845</v>
      </c>
    </row>
    <row r="12" spans="2:8">
      <c r="B12" s="13" t="s">
        <v>39</v>
      </c>
      <c r="F12" s="1" t="s">
        <v>85</v>
      </c>
      <c r="G12" s="2">
        <f>+Model!K55/(Main!G5*1000)</f>
        <v>14.461969925050292</v>
      </c>
    </row>
    <row r="13" spans="2:8">
      <c r="B13" s="6" t="s">
        <v>12</v>
      </c>
      <c r="G13" s="4">
        <f>+G4/G12-1</f>
        <v>1.5653489941046868</v>
      </c>
    </row>
  </sheetData>
  <hyperlinks>
    <hyperlink ref="B13" r:id="rId1" xr:uid="{F0D1510E-A461-B745-9497-33592391BD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2024-06-16T22:00:19Z</dcterms:created>
  <dcterms:modified xsi:type="dcterms:W3CDTF">2024-08-14T02:22:04Z</dcterms:modified>
</cp:coreProperties>
</file>