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D003306D-B26D-4F44-BAC0-65F70EB0E6C0}" xr6:coauthVersionLast="47" xr6:coauthVersionMax="47" xr10:uidLastSave="{00000000-0000-0000-0000-000000000000}"/>
  <bookViews>
    <workbookView xWindow="11080" yWindow="500" windowWidth="40120" windowHeight="28300" activeTab="1" xr2:uid="{82FCCE46-EE95-5B4C-B4A5-8CE449B3E1D4}"/>
  </bookViews>
  <sheets>
    <sheet name="Main" sheetId="1" r:id="rId1"/>
    <sheet name="Model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8" i="2" l="1"/>
  <c r="AC47" i="2"/>
  <c r="AD45" i="2"/>
  <c r="AD44" i="2"/>
  <c r="AD43" i="2"/>
  <c r="AD42" i="2"/>
  <c r="AD41" i="2"/>
  <c r="AD40" i="2"/>
  <c r="T4" i="2"/>
  <c r="V4" i="2"/>
  <c r="W4" i="2" s="1"/>
  <c r="X4" i="2" s="1"/>
  <c r="Y4" i="2" s="1"/>
  <c r="Z4" i="2" s="1"/>
  <c r="AA4" i="2" s="1"/>
  <c r="AB4" i="2" s="1"/>
  <c r="Q35" i="2"/>
  <c r="Q34" i="2"/>
  <c r="Q33" i="2"/>
  <c r="Q32" i="2"/>
  <c r="Q31" i="2"/>
  <c r="Q29" i="2"/>
  <c r="U7" i="2"/>
  <c r="V7" i="2" s="1"/>
  <c r="W7" i="2" s="1"/>
  <c r="X7" i="2" s="1"/>
  <c r="Y7" i="2" s="1"/>
  <c r="Z7" i="2" s="1"/>
  <c r="AA7" i="2" s="1"/>
  <c r="AB7" i="2" s="1"/>
  <c r="T7" i="2"/>
  <c r="S8" i="2"/>
  <c r="S7" i="2"/>
  <c r="J7" i="2"/>
  <c r="R35" i="2"/>
  <c r="R34" i="2"/>
  <c r="R33" i="2"/>
  <c r="R32" i="2"/>
  <c r="R31" i="2"/>
  <c r="R29" i="2"/>
  <c r="K5" i="2"/>
  <c r="I35" i="2"/>
  <c r="H35" i="2"/>
  <c r="G35" i="2"/>
  <c r="F35" i="2"/>
  <c r="E35" i="2"/>
  <c r="D35" i="2"/>
  <c r="I34" i="2"/>
  <c r="H34" i="2"/>
  <c r="G34" i="2"/>
  <c r="F34" i="2"/>
  <c r="E34" i="2"/>
  <c r="D34" i="2"/>
  <c r="I33" i="2"/>
  <c r="H33" i="2"/>
  <c r="G33" i="2"/>
  <c r="F33" i="2"/>
  <c r="E33" i="2"/>
  <c r="D33" i="2"/>
  <c r="I32" i="2"/>
  <c r="H32" i="2"/>
  <c r="G32" i="2"/>
  <c r="F32" i="2"/>
  <c r="E32" i="2"/>
  <c r="D32" i="2"/>
  <c r="I31" i="2"/>
  <c r="H31" i="2"/>
  <c r="G31" i="2"/>
  <c r="F31" i="2"/>
  <c r="E31" i="2"/>
  <c r="D31" i="2"/>
  <c r="C35" i="2"/>
  <c r="C34" i="2"/>
  <c r="C33" i="2"/>
  <c r="C32" i="2"/>
  <c r="C31" i="2"/>
  <c r="AD1" i="2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HT1" i="2" s="1"/>
  <c r="R4" i="2"/>
  <c r="R7" i="2" s="1"/>
  <c r="J24" i="2"/>
  <c r="S4" i="2"/>
  <c r="H29" i="2"/>
  <c r="G29" i="2"/>
  <c r="E29" i="2"/>
  <c r="D29" i="2"/>
  <c r="C29" i="2"/>
  <c r="I29" i="2"/>
  <c r="Q70" i="2"/>
  <c r="R70" i="2"/>
  <c r="F6" i="2"/>
  <c r="F22" i="2"/>
  <c r="F20" i="2"/>
  <c r="F18" i="2"/>
  <c r="F17" i="2"/>
  <c r="F16" i="2"/>
  <c r="F15" i="2"/>
  <c r="F14" i="2"/>
  <c r="F13" i="2"/>
  <c r="F12" i="2"/>
  <c r="F11" i="2"/>
  <c r="F7" i="2" s="1"/>
  <c r="I64" i="2"/>
  <c r="I63" i="2"/>
  <c r="I47" i="2"/>
  <c r="E7" i="2"/>
  <c r="E6" i="2"/>
  <c r="I7" i="2"/>
  <c r="I6" i="2"/>
  <c r="E19" i="2"/>
  <c r="E21" i="2" s="1"/>
  <c r="E23" i="2" s="1"/>
  <c r="E25" i="2" s="1"/>
  <c r="I28" i="2"/>
  <c r="I19" i="2"/>
  <c r="I21" i="2" s="1"/>
  <c r="I23" i="2" s="1"/>
  <c r="I25" i="2" s="1"/>
  <c r="K9" i="1"/>
  <c r="K8" i="1"/>
  <c r="K6" i="1"/>
  <c r="R19" i="2"/>
  <c r="R21" i="2" s="1"/>
  <c r="R23" i="2" s="1"/>
  <c r="R25" i="2" s="1"/>
  <c r="C70" i="2"/>
  <c r="G70" i="2"/>
  <c r="C6" i="2"/>
  <c r="D6" i="2"/>
  <c r="G6" i="2"/>
  <c r="H6" i="2"/>
  <c r="D7" i="2"/>
  <c r="G64" i="2"/>
  <c r="G63" i="2"/>
  <c r="G47" i="2"/>
  <c r="F64" i="2"/>
  <c r="F63" i="2"/>
  <c r="F47" i="2"/>
  <c r="H64" i="2"/>
  <c r="H63" i="2"/>
  <c r="H47" i="2"/>
  <c r="C7" i="2"/>
  <c r="G7" i="2"/>
  <c r="H7" i="2"/>
  <c r="D69" i="2"/>
  <c r="E69" i="2" s="1"/>
  <c r="F69" i="2" s="1"/>
  <c r="D68" i="2"/>
  <c r="E68" i="2" s="1"/>
  <c r="E70" i="2" s="1"/>
  <c r="H69" i="2"/>
  <c r="I69" i="2" s="1"/>
  <c r="H68" i="2"/>
  <c r="I68" i="2" s="1"/>
  <c r="C19" i="2"/>
  <c r="C21" i="2" s="1"/>
  <c r="C23" i="2" s="1"/>
  <c r="C71" i="2" s="1"/>
  <c r="H28" i="2"/>
  <c r="G28" i="2"/>
  <c r="G20" i="2"/>
  <c r="G19" i="2"/>
  <c r="D19" i="2"/>
  <c r="D21" i="2" s="1"/>
  <c r="H19" i="2"/>
  <c r="H21" i="2" s="1"/>
  <c r="N2" i="2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L8" i="1"/>
  <c r="L9" i="1" s="1"/>
  <c r="K7" i="1"/>
  <c r="J11" i="2" l="1"/>
  <c r="J13" i="2" s="1"/>
  <c r="J16" i="2"/>
  <c r="J12" i="2"/>
  <c r="J14" i="2"/>
  <c r="J28" i="2"/>
  <c r="S18" i="2"/>
  <c r="J17" i="2"/>
  <c r="S17" i="2" s="1"/>
  <c r="I71" i="2"/>
  <c r="F19" i="2"/>
  <c r="F21" i="2"/>
  <c r="E71" i="2"/>
  <c r="F29" i="2"/>
  <c r="F68" i="2"/>
  <c r="F70" i="2" s="1"/>
  <c r="I70" i="2"/>
  <c r="I65" i="2"/>
  <c r="K10" i="1"/>
  <c r="H65" i="2"/>
  <c r="G65" i="2"/>
  <c r="G21" i="2"/>
  <c r="F65" i="2"/>
  <c r="D70" i="2"/>
  <c r="H70" i="2"/>
  <c r="D23" i="2"/>
  <c r="H23" i="2"/>
  <c r="J15" i="2" l="1"/>
  <c r="S14" i="2"/>
  <c r="J33" i="2"/>
  <c r="J29" i="2"/>
  <c r="S12" i="2"/>
  <c r="J31" i="2"/>
  <c r="S15" i="2"/>
  <c r="J34" i="2"/>
  <c r="S13" i="2"/>
  <c r="J32" i="2"/>
  <c r="S16" i="2"/>
  <c r="J35" i="2"/>
  <c r="G23" i="2"/>
  <c r="J19" i="2"/>
  <c r="I73" i="2"/>
  <c r="H25" i="2"/>
  <c r="H71" i="2"/>
  <c r="G25" i="2"/>
  <c r="G71" i="2"/>
  <c r="D25" i="2"/>
  <c r="F25" i="2" s="1"/>
  <c r="F23" i="2"/>
  <c r="D71" i="2"/>
  <c r="F73" i="2"/>
  <c r="G73" i="2"/>
  <c r="H73" i="2"/>
  <c r="J20" i="2" l="1"/>
  <c r="S20" i="2" s="1"/>
  <c r="S19" i="2"/>
  <c r="F71" i="2"/>
  <c r="F24" i="2"/>
  <c r="G74" i="2"/>
  <c r="F74" i="2"/>
  <c r="J21" i="2" l="1"/>
  <c r="J22" i="2" s="1"/>
  <c r="S22" i="2" s="1"/>
  <c r="I74" i="2"/>
  <c r="H74" i="2"/>
  <c r="S11" i="2"/>
  <c r="S29" i="2" l="1"/>
  <c r="S34" i="2"/>
  <c r="S31" i="2"/>
  <c r="S35" i="2"/>
  <c r="S32" i="2"/>
  <c r="S33" i="2"/>
  <c r="S21" i="2"/>
  <c r="S28" i="2"/>
  <c r="J23" i="2"/>
  <c r="J25" i="2" l="1"/>
  <c r="S25" i="2" s="1"/>
  <c r="S23" i="2"/>
  <c r="T11" i="2"/>
  <c r="S24" i="2" l="1"/>
  <c r="T24" i="2" s="1"/>
  <c r="U24" i="2" s="1"/>
  <c r="V24" i="2" s="1"/>
  <c r="W24" i="2" s="1"/>
  <c r="X24" i="2" s="1"/>
  <c r="Y24" i="2" s="1"/>
  <c r="Z24" i="2" s="1"/>
  <c r="AA24" i="2" s="1"/>
  <c r="AB24" i="2" s="1"/>
  <c r="T15" i="2"/>
  <c r="T34" i="2" s="1"/>
  <c r="T18" i="2"/>
  <c r="T14" i="2"/>
  <c r="T33" i="2" s="1"/>
  <c r="T12" i="2"/>
  <c r="T31" i="2" s="1"/>
  <c r="T13" i="2"/>
  <c r="T32" i="2" s="1"/>
  <c r="T17" i="2"/>
  <c r="T16" i="2"/>
  <c r="T35" i="2" s="1"/>
  <c r="T28" i="2"/>
  <c r="U11" i="2"/>
  <c r="T29" i="2" l="1"/>
  <c r="T19" i="2"/>
  <c r="T20" i="2" s="1"/>
  <c r="T21" i="2" s="1"/>
  <c r="T22" i="2" s="1"/>
  <c r="T23" i="2" s="1"/>
  <c r="U13" i="2"/>
  <c r="U32" i="2" s="1"/>
  <c r="U17" i="2"/>
  <c r="U12" i="2"/>
  <c r="U31" i="2" s="1"/>
  <c r="U18" i="2"/>
  <c r="U16" i="2"/>
  <c r="U35" i="2" s="1"/>
  <c r="U15" i="2"/>
  <c r="U34" i="2" s="1"/>
  <c r="U14" i="2"/>
  <c r="U33" i="2" s="1"/>
  <c r="U28" i="2"/>
  <c r="V11" i="2"/>
  <c r="T25" i="2" l="1"/>
  <c r="U29" i="2"/>
  <c r="V16" i="2"/>
  <c r="V35" i="2" s="1"/>
  <c r="V18" i="2"/>
  <c r="U19" i="2"/>
  <c r="U20" i="2" s="1"/>
  <c r="U21" i="2" s="1"/>
  <c r="U22" i="2" s="1"/>
  <c r="U23" i="2" s="1"/>
  <c r="U25" i="2" s="1"/>
  <c r="V15" i="2"/>
  <c r="V34" i="2" s="1"/>
  <c r="V28" i="2"/>
  <c r="W11" i="2"/>
  <c r="V12" i="2"/>
  <c r="V31" i="2" s="1"/>
  <c r="V17" i="2"/>
  <c r="V13" i="2"/>
  <c r="V32" i="2" s="1"/>
  <c r="V14" i="2"/>
  <c r="V33" i="2" s="1"/>
  <c r="V29" i="2" l="1"/>
  <c r="V19" i="2"/>
  <c r="V20" i="2" s="1"/>
  <c r="V21" i="2" s="1"/>
  <c r="V22" i="2" s="1"/>
  <c r="V23" i="2" s="1"/>
  <c r="V25" i="2" s="1"/>
  <c r="X11" i="2"/>
  <c r="W12" i="2"/>
  <c r="W31" i="2" s="1"/>
  <c r="W28" i="2"/>
  <c r="W14" i="2"/>
  <c r="W13" i="2"/>
  <c r="W32" i="2" s="1"/>
  <c r="W18" i="2"/>
  <c r="W17" i="2"/>
  <c r="W16" i="2"/>
  <c r="W35" i="2" s="1"/>
  <c r="W15" i="2"/>
  <c r="X14" i="2" l="1"/>
  <c r="X33" i="2" s="1"/>
  <c r="W33" i="2"/>
  <c r="X15" i="2"/>
  <c r="X34" i="2" s="1"/>
  <c r="W34" i="2"/>
  <c r="W29" i="2"/>
  <c r="X18" i="2"/>
  <c r="X13" i="2"/>
  <c r="X32" i="2" s="1"/>
  <c r="X16" i="2"/>
  <c r="X35" i="2" s="1"/>
  <c r="W19" i="2"/>
  <c r="W20" i="2" s="1"/>
  <c r="W21" i="2" s="1"/>
  <c r="X12" i="2"/>
  <c r="X31" i="2" s="1"/>
  <c r="X28" i="2"/>
  <c r="X17" i="2"/>
  <c r="Y11" i="2"/>
  <c r="X29" i="2" l="1"/>
  <c r="Y14" i="2"/>
  <c r="Y33" i="2" s="1"/>
  <c r="Y18" i="2"/>
  <c r="Y16" i="2"/>
  <c r="Y35" i="2" s="1"/>
  <c r="X19" i="2"/>
  <c r="X20" i="2" s="1"/>
  <c r="X21" i="2" s="1"/>
  <c r="Y17" i="2"/>
  <c r="Y12" i="2"/>
  <c r="Y31" i="2" s="1"/>
  <c r="Y28" i="2"/>
  <c r="Z11" i="2"/>
  <c r="Y15" i="2"/>
  <c r="Y34" i="2" s="1"/>
  <c r="W22" i="2"/>
  <c r="Y13" i="2"/>
  <c r="Y32" i="2" s="1"/>
  <c r="Z14" i="2" l="1"/>
  <c r="Z33" i="2" s="1"/>
  <c r="Y29" i="2"/>
  <c r="Y19" i="2"/>
  <c r="Y20" i="2" s="1"/>
  <c r="Y21" i="2" s="1"/>
  <c r="Z13" i="2"/>
  <c r="Z32" i="2" s="1"/>
  <c r="Z16" i="2"/>
  <c r="Z35" i="2" s="1"/>
  <c r="X22" i="2"/>
  <c r="X23" i="2" s="1"/>
  <c r="X25" i="2" s="1"/>
  <c r="Z17" i="2"/>
  <c r="Z15" i="2"/>
  <c r="Z34" i="2" s="1"/>
  <c r="W23" i="2"/>
  <c r="Z12" i="2"/>
  <c r="Z31" i="2" s="1"/>
  <c r="Z28" i="2"/>
  <c r="AB11" i="2"/>
  <c r="AA11" i="2"/>
  <c r="Z18" i="2"/>
  <c r="W25" i="2" l="1"/>
  <c r="Z29" i="2"/>
  <c r="AA15" i="2"/>
  <c r="Z19" i="2"/>
  <c r="Z20" i="2" s="1"/>
  <c r="Z21" i="2" s="1"/>
  <c r="AA14" i="2"/>
  <c r="AA17" i="2"/>
  <c r="AB17" i="2" s="1"/>
  <c r="AA18" i="2"/>
  <c r="AB18" i="2" s="1"/>
  <c r="Y22" i="2"/>
  <c r="Y23" i="2" s="1"/>
  <c r="Y25" i="2" s="1"/>
  <c r="AA13" i="2"/>
  <c r="AA12" i="2"/>
  <c r="AA28" i="2"/>
  <c r="AB28" i="2"/>
  <c r="AA16" i="2"/>
  <c r="AB14" i="2" l="1"/>
  <c r="AB33" i="2" s="1"/>
  <c r="AA33" i="2"/>
  <c r="AB15" i="2"/>
  <c r="AB34" i="2" s="1"/>
  <c r="AA34" i="2"/>
  <c r="AB12" i="2"/>
  <c r="AA31" i="2"/>
  <c r="AB16" i="2"/>
  <c r="AB35" i="2" s="1"/>
  <c r="AA35" i="2"/>
  <c r="AB13" i="2"/>
  <c r="AB32" i="2" s="1"/>
  <c r="AA32" i="2"/>
  <c r="AA29" i="2"/>
  <c r="Z22" i="2"/>
  <c r="Z23" i="2" s="1"/>
  <c r="AA19" i="2"/>
  <c r="AA20" i="2" s="1"/>
  <c r="AA21" i="2" s="1"/>
  <c r="Z25" i="2" l="1"/>
  <c r="AB19" i="2"/>
  <c r="AB20" i="2" s="1"/>
  <c r="AB21" i="2" s="1"/>
  <c r="AB31" i="2"/>
  <c r="AB29" i="2"/>
  <c r="AA22" i="2"/>
  <c r="AA23" i="2" s="1"/>
  <c r="AA25" i="2" s="1"/>
  <c r="AB22" i="2" l="1"/>
  <c r="AB23" i="2" s="1"/>
  <c r="AB25" i="2" l="1"/>
  <c r="AC23" i="2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X23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DO23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EF23" i="2" s="1"/>
  <c r="EG23" i="2" s="1"/>
  <c r="EH23" i="2" s="1"/>
  <c r="EI23" i="2" s="1"/>
  <c r="EJ23" i="2" s="1"/>
  <c r="EK23" i="2" s="1"/>
  <c r="EL23" i="2" s="1"/>
  <c r="EM23" i="2" s="1"/>
  <c r="EN23" i="2" s="1"/>
  <c r="EO23" i="2" s="1"/>
  <c r="EP23" i="2" s="1"/>
  <c r="EQ23" i="2" s="1"/>
  <c r="ER23" i="2" s="1"/>
  <c r="ES23" i="2" s="1"/>
  <c r="ET23" i="2" s="1"/>
  <c r="EU23" i="2" s="1"/>
  <c r="EV23" i="2" s="1"/>
  <c r="EW23" i="2" s="1"/>
  <c r="EX23" i="2" s="1"/>
  <c r="EY23" i="2" s="1"/>
  <c r="EZ23" i="2" s="1"/>
  <c r="FA23" i="2" s="1"/>
  <c r="FB23" i="2" s="1"/>
  <c r="FC23" i="2" s="1"/>
  <c r="FD23" i="2" s="1"/>
  <c r="FE23" i="2" s="1"/>
  <c r="FF23" i="2" s="1"/>
  <c r="FG23" i="2" s="1"/>
  <c r="FH23" i="2" s="1"/>
  <c r="FI23" i="2" s="1"/>
  <c r="FJ23" i="2" s="1"/>
  <c r="FK23" i="2" s="1"/>
  <c r="FL23" i="2" s="1"/>
  <c r="FM23" i="2" s="1"/>
  <c r="FN23" i="2" s="1"/>
  <c r="FO23" i="2" s="1"/>
  <c r="FP23" i="2" s="1"/>
  <c r="FQ23" i="2" s="1"/>
  <c r="FR23" i="2" s="1"/>
  <c r="FS23" i="2" s="1"/>
  <c r="FT23" i="2" s="1"/>
  <c r="FU23" i="2" s="1"/>
  <c r="FV23" i="2" s="1"/>
  <c r="FW23" i="2" s="1"/>
  <c r="FX23" i="2" s="1"/>
  <c r="FY23" i="2" s="1"/>
  <c r="FZ23" i="2" s="1"/>
  <c r="GA23" i="2" s="1"/>
  <c r="GB23" i="2" s="1"/>
  <c r="GC23" i="2" s="1"/>
  <c r="GD23" i="2" s="1"/>
  <c r="GE23" i="2" s="1"/>
  <c r="GF23" i="2" s="1"/>
  <c r="GG23" i="2" s="1"/>
  <c r="GH23" i="2" s="1"/>
  <c r="GI23" i="2" s="1"/>
  <c r="GJ23" i="2" s="1"/>
  <c r="GK23" i="2" s="1"/>
  <c r="GL23" i="2" s="1"/>
  <c r="GM23" i="2" s="1"/>
  <c r="GN23" i="2" s="1"/>
  <c r="GO23" i="2" s="1"/>
  <c r="GP23" i="2" s="1"/>
  <c r="GQ23" i="2" s="1"/>
  <c r="GR23" i="2" s="1"/>
  <c r="GS23" i="2" s="1"/>
  <c r="GT23" i="2" s="1"/>
  <c r="GU23" i="2" s="1"/>
  <c r="GV23" i="2" s="1"/>
  <c r="GW23" i="2" s="1"/>
  <c r="GX23" i="2" s="1"/>
  <c r="GY23" i="2" s="1"/>
  <c r="GZ23" i="2" s="1"/>
  <c r="HA23" i="2" s="1"/>
  <c r="HB23" i="2" s="1"/>
  <c r="HC23" i="2" s="1"/>
  <c r="HD23" i="2" s="1"/>
  <c r="HE23" i="2" s="1"/>
  <c r="HF23" i="2" s="1"/>
  <c r="HG23" i="2" s="1"/>
  <c r="HH23" i="2" s="1"/>
  <c r="HI23" i="2" s="1"/>
  <c r="HJ23" i="2" s="1"/>
  <c r="HK23" i="2" s="1"/>
  <c r="HL23" i="2" s="1"/>
  <c r="HM23" i="2" s="1"/>
  <c r="HN23" i="2" s="1"/>
  <c r="HO23" i="2" s="1"/>
  <c r="HP23" i="2" s="1"/>
  <c r="HQ23" i="2" s="1"/>
  <c r="HR23" i="2" s="1"/>
  <c r="HS23" i="2" s="1"/>
  <c r="HT23" i="2" s="1"/>
  <c r="AD39" i="2" s="1"/>
</calcChain>
</file>

<file path=xl/sharedStrings.xml><?xml version="1.0" encoding="utf-8"?>
<sst xmlns="http://schemas.openxmlformats.org/spreadsheetml/2006/main" count="111" uniqueCount="96">
  <si>
    <t>Price</t>
  </si>
  <si>
    <t xml:space="preserve">Cash </t>
  </si>
  <si>
    <t>Debt</t>
  </si>
  <si>
    <t>Shares</t>
  </si>
  <si>
    <t xml:space="preserve">Market Cap </t>
  </si>
  <si>
    <t xml:space="preserve">Enterprise Value </t>
  </si>
  <si>
    <t xml:space="preserve">Analyst Coverage </t>
  </si>
  <si>
    <t>Benchmark</t>
  </si>
  <si>
    <t xml:space="preserve">Craig-Hallum Capital Group </t>
  </si>
  <si>
    <t>ROTH MKM</t>
  </si>
  <si>
    <t xml:space="preserve">Firm </t>
  </si>
  <si>
    <t xml:space="preserve">Analyst </t>
  </si>
  <si>
    <t>Todd Brooks</t>
  </si>
  <si>
    <t>Jeremy Hamblin</t>
  </si>
  <si>
    <t xml:space="preserve">George Kelly </t>
  </si>
  <si>
    <t>Founded</t>
  </si>
  <si>
    <t xml:space="preserve">CFO </t>
  </si>
  <si>
    <t>COO</t>
  </si>
  <si>
    <t xml:space="preserve">IPO Date </t>
  </si>
  <si>
    <t>Earnings Calls</t>
  </si>
  <si>
    <t>Q224</t>
  </si>
  <si>
    <t>Q123</t>
  </si>
  <si>
    <t>Q223</t>
  </si>
  <si>
    <t>Q323</t>
  </si>
  <si>
    <t>Q423</t>
  </si>
  <si>
    <t>Q124</t>
  </si>
  <si>
    <t>Q324</t>
  </si>
  <si>
    <t xml:space="preserve">Revenue </t>
  </si>
  <si>
    <t xml:space="preserve">Food </t>
  </si>
  <si>
    <t xml:space="preserve">Payroll </t>
  </si>
  <si>
    <t>Occupancy</t>
  </si>
  <si>
    <t>OpEx</t>
  </si>
  <si>
    <t>D&amp;A</t>
  </si>
  <si>
    <t>Pre-opening</t>
  </si>
  <si>
    <t>G&amp;A</t>
  </si>
  <si>
    <t xml:space="preserve">Operating Income </t>
  </si>
  <si>
    <t xml:space="preserve">Interest Income </t>
  </si>
  <si>
    <t xml:space="preserve">EBT </t>
  </si>
  <si>
    <t>Taxes</t>
  </si>
  <si>
    <t xml:space="preserve">Net Income </t>
  </si>
  <si>
    <t>R Y/Y</t>
  </si>
  <si>
    <t xml:space="preserve">Units </t>
  </si>
  <si>
    <t>Diluted</t>
  </si>
  <si>
    <t>Eps</t>
  </si>
  <si>
    <t xml:space="preserve">Inventories </t>
  </si>
  <si>
    <t>Prepaid Exp</t>
  </si>
  <si>
    <t>Equity mthod inv</t>
  </si>
  <si>
    <t>PPE</t>
  </si>
  <si>
    <t>Op Lease</t>
  </si>
  <si>
    <t>Notes Rec</t>
  </si>
  <si>
    <t>Deferred tax asset</t>
  </si>
  <si>
    <t>OA</t>
  </si>
  <si>
    <t xml:space="preserve">Total Assets </t>
  </si>
  <si>
    <t>A/P</t>
  </si>
  <si>
    <t>Accrued Salaries</t>
  </si>
  <si>
    <t>Accrued interest</t>
  </si>
  <si>
    <t>Notes payable</t>
  </si>
  <si>
    <t>David Kim</t>
  </si>
  <si>
    <t xml:space="preserve">Jae Chang </t>
  </si>
  <si>
    <t>Co-CEO</t>
  </si>
  <si>
    <t xml:space="preserve">Thomas V. Croal </t>
  </si>
  <si>
    <t xml:space="preserve">IR Contact </t>
  </si>
  <si>
    <t>https://investor.genkoreanbbq.com/ir-resources/contact-ir</t>
  </si>
  <si>
    <t>CFFO</t>
  </si>
  <si>
    <t>Capex</t>
  </si>
  <si>
    <t xml:space="preserve">Free Cash Flow </t>
  </si>
  <si>
    <t>SSS</t>
  </si>
  <si>
    <t>AUV</t>
  </si>
  <si>
    <t xml:space="preserve">Average Revenue Per Unit </t>
  </si>
  <si>
    <t>Notes payable related</t>
  </si>
  <si>
    <t>Finance lease</t>
  </si>
  <si>
    <t>Deferred Restaurant Rev Fund grant</t>
  </si>
  <si>
    <t>Advances from members</t>
  </si>
  <si>
    <t>Other current liabilities</t>
  </si>
  <si>
    <t>Tax Rec</t>
  </si>
  <si>
    <t xml:space="preserve">Total Liabilities </t>
  </si>
  <si>
    <t>Equity</t>
  </si>
  <si>
    <t>Total Liabilities  + Equity</t>
  </si>
  <si>
    <t>Goodwill</t>
  </si>
  <si>
    <t>Restaurants Not in Base</t>
  </si>
  <si>
    <t>Comparable Base</t>
  </si>
  <si>
    <t>Gift Card</t>
  </si>
  <si>
    <t>4Q FCF</t>
  </si>
  <si>
    <t>4Q NI</t>
  </si>
  <si>
    <t>Launched Gift Cards</t>
  </si>
  <si>
    <t xml:space="preserve">Restaurant Margin </t>
  </si>
  <si>
    <t>Q424</t>
  </si>
  <si>
    <t xml:space="preserve">Terminal </t>
  </si>
  <si>
    <t xml:space="preserve">Discount </t>
  </si>
  <si>
    <t>NPV</t>
  </si>
  <si>
    <t xml:space="preserve">Net Cash </t>
  </si>
  <si>
    <t xml:space="preserve">Total Value </t>
  </si>
  <si>
    <t>Estimate</t>
  </si>
  <si>
    <t>% R</t>
  </si>
  <si>
    <t>Current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</si>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</sst>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5">
    <font>
      <sz val="10"/>
      <color theme="1"/>
      <name val="ArialMT"/>
      <family val="2"/>
    </font>
    <font>
      <u/>
      <sz val="10"/>
      <color theme="1"/>
      <name val="ArialMT"/>
      <family val="2"/>
    </font>
    <font>
      <u/>
      <sz val="10"/>
      <color theme="10"/>
      <name val="ArialMT"/>
      <family val="2"/>
    </font>
    <font>
      <b/>
      <sz val="10"/>
      <color theme="1"/>
      <name val="ArialMT"/>
    </font>
    <font>
      <sz val="10"/>
      <color theme="1"/>
      <name val="ArialMT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1" fillId="0" borderId="1" xfId="0" applyNumberFormat="1" applyFon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4" fontId="0" fillId="0" borderId="0" xfId="0" applyNumberFormat="1"/>
    <xf numFmtId="3" fontId="2" fillId="0" borderId="0" xfId="1" applyNumberFormat="1"/>
    <xf numFmtId="1" fontId="0" fillId="0" borderId="0" xfId="0" applyNumberFormat="1"/>
    <xf numFmtId="9" fontId="3" fillId="0" borderId="0" xfId="0" applyNumberFormat="1" applyFont="1"/>
    <xf numFmtId="3" fontId="3" fillId="0" borderId="0" xfId="0" applyNumberFormat="1" applyFont="1"/>
    <xf numFmtId="1" fontId="3" fillId="0" borderId="0" xfId="0" applyNumberFormat="1" applyFont="1"/>
    <xf numFmtId="164" fontId="3" fillId="0" borderId="0" xfId="0" applyNumberFormat="1" applyFont="1"/>
    <xf numFmtId="3" fontId="4" fillId="0" borderId="0" xfId="0" applyNumberFormat="1" applyFont="1"/>
    <xf numFmtId="165" fontId="0" fillId="0" borderId="0" xfId="0" applyNumberFormat="1"/>
    <xf numFmtId="1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573480</xdr:colOff>
      <xdr:row>0</xdr:row>
      <xdr:rowOff>0</xdr:rowOff>
    </xdr:from>
    <xdr:to>
      <xdr:col>9</xdr:col>
      <xdr:colOff>19538</xdr:colOff>
      <xdr:row>99</xdr:row>
      <xdr:rowOff>108254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656CFFB-CA4C-1988-67AB-EA6E89CEDF92}"/>
            </a:ext>
          </a:extLst>
        </xdr:cNvPr>
        <xdr:cNvCxnSpPr/>
      </xdr:nvCxnSpPr>
      <xdr:spPr>
        <a:xfrm>
          <a:off x="6337326" y="0"/>
          <a:ext cx="32212" cy="1555340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19538</xdr:colOff>
      <xdr:row>0</xdr:row>
      <xdr:rowOff>39077</xdr:rowOff>
    </xdr:from>
    <xdr:to>
      <xdr:col>18</xdr:col>
      <xdr:colOff>51750</xdr:colOff>
      <xdr:row>99</xdr:row>
      <xdr:rowOff>147331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9D045D4-2CF3-8F45-B689-DBB18B49B311}"/>
            </a:ext>
          </a:extLst>
        </xdr:cNvPr>
        <xdr:cNvCxnSpPr/>
      </xdr:nvCxnSpPr>
      <xdr:spPr>
        <a:xfrm>
          <a:off x="10541000" y="39077"/>
          <a:ext cx="32212" cy="1538733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nvestor.genkoreanbbq.com/ir-resources/contact-ir" TargetMode="External"/><Relationship Id="rId1" Type="http://schemas.openxmlformats.org/officeDocument/2006/relationships/hyperlink" Target="https://edge.media-server.com/mmc/p/4vfbxyxk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D249E-1316-DC46-9F0A-E758C0530493}">
  <dimension ref="B2:L28"/>
  <sheetViews>
    <sheetView topLeftCell="B1" zoomScale="168" zoomScaleNormal="95" workbookViewId="0">
      <selection activeCell="K10" sqref="K10"/>
    </sheetView>
  </sheetViews>
  <sheetFormatPr baseColWidth="10" defaultRowHeight="13"/>
  <cols>
    <col min="1" max="1" width="2.6640625" style="1" customWidth="1"/>
    <col min="2" max="2" width="10.83203125" style="1"/>
    <col min="3" max="3" width="12.83203125" style="1" bestFit="1" customWidth="1"/>
    <col min="4" max="9" width="10.83203125" style="1"/>
    <col min="10" max="10" width="22.83203125" style="1" bestFit="1" customWidth="1"/>
    <col min="11" max="11" width="13.33203125" style="1" bestFit="1" customWidth="1"/>
    <col min="12" max="12" width="5.5" style="1" bestFit="1" customWidth="1"/>
    <col min="13" max="16384" width="10.83203125" style="1"/>
  </cols>
  <sheetData>
    <row r="2" spans="2:12">
      <c r="B2" s="1" t="s">
        <v>15</v>
      </c>
    </row>
    <row r="3" spans="2:12">
      <c r="B3" s="1" t="s">
        <v>59</v>
      </c>
      <c r="C3" s="1" t="s">
        <v>57</v>
      </c>
    </row>
    <row r="4" spans="2:12">
      <c r="B4" s="1" t="s">
        <v>59</v>
      </c>
      <c r="C4" s="1" t="s">
        <v>58</v>
      </c>
    </row>
    <row r="5" spans="2:12">
      <c r="B5" s="1" t="s">
        <v>16</v>
      </c>
      <c r="C5" s="1" t="s">
        <v>60</v>
      </c>
      <c r="J5" s="1" t="s">
        <v>0</v>
      </c>
      <c r="K5" s="9">
        <v>8.2200000000000006</v>
      </c>
    </row>
    <row r="6" spans="2:12">
      <c r="B6" s="1" t="s">
        <v>17</v>
      </c>
      <c r="J6" s="1" t="s">
        <v>3</v>
      </c>
      <c r="K6" s="1">
        <f>4.913064+27.886912</f>
        <v>32.799976000000001</v>
      </c>
      <c r="L6" s="1" t="s">
        <v>20</v>
      </c>
    </row>
    <row r="7" spans="2:12">
      <c r="B7" s="1" t="s">
        <v>18</v>
      </c>
      <c r="J7" s="1" t="s">
        <v>4</v>
      </c>
      <c r="K7" s="1">
        <f>+K5*K6</f>
        <v>269.61580272000003</v>
      </c>
    </row>
    <row r="8" spans="2:12">
      <c r="B8" s="1" t="s">
        <v>61</v>
      </c>
      <c r="C8" s="10" t="s">
        <v>62</v>
      </c>
      <c r="J8" s="1" t="s">
        <v>1</v>
      </c>
      <c r="K8" s="1">
        <f>22.053+0</f>
        <v>22.053000000000001</v>
      </c>
      <c r="L8" s="1" t="str">
        <f>+L6</f>
        <v>Q224</v>
      </c>
    </row>
    <row r="9" spans="2:12">
      <c r="J9" s="1" t="s">
        <v>2</v>
      </c>
      <c r="K9" s="17">
        <f>0.078+1.677+0.31+5.567</f>
        <v>7.6319999999999997</v>
      </c>
      <c r="L9" s="1" t="str">
        <f>+L8</f>
        <v>Q224</v>
      </c>
    </row>
    <row r="10" spans="2:12">
      <c r="J10" s="1" t="s">
        <v>5</v>
      </c>
      <c r="K10" s="1">
        <f>+K7-K8+K9</f>
        <v>255.19480272000004</v>
      </c>
    </row>
    <row r="13" spans="2:12">
      <c r="C13" s="2" t="s">
        <v>19</v>
      </c>
    </row>
    <row r="14" spans="2:12">
      <c r="C14" s="1" t="s">
        <v>26</v>
      </c>
      <c r="J14" s="3" t="s">
        <v>6</v>
      </c>
      <c r="K14" s="4"/>
    </row>
    <row r="15" spans="2:12">
      <c r="D15" s="1" t="s">
        <v>84</v>
      </c>
      <c r="J15" s="5" t="s">
        <v>10</v>
      </c>
      <c r="K15" s="6" t="s">
        <v>11</v>
      </c>
    </row>
    <row r="16" spans="2:12">
      <c r="J16" s="5" t="s">
        <v>7</v>
      </c>
      <c r="K16" s="6" t="s">
        <v>12</v>
      </c>
    </row>
    <row r="17" spans="3:11">
      <c r="J17" s="5" t="s">
        <v>8</v>
      </c>
      <c r="K17" s="6" t="s">
        <v>13</v>
      </c>
    </row>
    <row r="18" spans="3:11">
      <c r="J18" s="7" t="s">
        <v>9</v>
      </c>
      <c r="K18" s="8" t="s">
        <v>14</v>
      </c>
    </row>
    <row r="28" spans="3:11">
      <c r="C28" s="10" t="s">
        <v>20</v>
      </c>
    </row>
  </sheetData>
  <hyperlinks>
    <hyperlink ref="C28" r:id="rId1" xr:uid="{FD950676-1E42-D74E-9F1D-CD278FB420BC}"/>
    <hyperlink ref="C8" r:id="rId2" xr:uid="{0E42297B-86A8-B74D-8B72-CA3B4A0E32C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96E45-657F-B74C-BD4B-753F1D0581A5}">
  <dimension ref="B1:HT74"/>
  <sheetViews>
    <sheetView tabSelected="1" zoomScale="158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21" sqref="H21"/>
    </sheetView>
  </sheetViews>
  <sheetFormatPr baseColWidth="10" defaultRowHeight="13"/>
  <cols>
    <col min="1" max="1" width="2.6640625" style="1" customWidth="1"/>
    <col min="2" max="2" width="29.83203125" style="1" bestFit="1" customWidth="1"/>
    <col min="3" max="5" width="6.6640625" style="1" bestFit="1" customWidth="1"/>
    <col min="6" max="9" width="7.6640625" style="1" bestFit="1" customWidth="1"/>
    <col min="10" max="10" width="6.6640625" style="1" bestFit="1" customWidth="1"/>
    <col min="11" max="12" width="10.83203125" style="1"/>
    <col min="13" max="16" width="5.1640625" style="1" bestFit="1" customWidth="1"/>
    <col min="17" max="28" width="7.6640625" style="1" bestFit="1" customWidth="1"/>
    <col min="29" max="29" width="10.5" style="1" bestFit="1" customWidth="1"/>
    <col min="30" max="228" width="8.1640625" style="1" bestFit="1" customWidth="1"/>
    <col min="229" max="16384" width="10.83203125" style="1"/>
  </cols>
  <sheetData>
    <row r="1" spans="2:228" s="9" customFormat="1">
      <c r="AC1" s="9">
        <v>1</v>
      </c>
      <c r="AD1" s="9">
        <f>+AC1+1</f>
        <v>2</v>
      </c>
      <c r="AE1" s="9">
        <f t="shared" ref="AE1:CP1" si="0">+AD1+1</f>
        <v>3</v>
      </c>
      <c r="AF1" s="9">
        <f t="shared" si="0"/>
        <v>4</v>
      </c>
      <c r="AG1" s="9">
        <f t="shared" si="0"/>
        <v>5</v>
      </c>
      <c r="AH1" s="9">
        <f t="shared" si="0"/>
        <v>6</v>
      </c>
      <c r="AI1" s="9">
        <f t="shared" si="0"/>
        <v>7</v>
      </c>
      <c r="AJ1" s="9">
        <f t="shared" si="0"/>
        <v>8</v>
      </c>
      <c r="AK1" s="9">
        <f t="shared" si="0"/>
        <v>9</v>
      </c>
      <c r="AL1" s="9">
        <f t="shared" si="0"/>
        <v>10</v>
      </c>
      <c r="AM1" s="9">
        <f t="shared" si="0"/>
        <v>11</v>
      </c>
      <c r="AN1" s="9">
        <f t="shared" si="0"/>
        <v>12</v>
      </c>
      <c r="AO1" s="9">
        <f t="shared" si="0"/>
        <v>13</v>
      </c>
      <c r="AP1" s="9">
        <f t="shared" si="0"/>
        <v>14</v>
      </c>
      <c r="AQ1" s="9">
        <f t="shared" si="0"/>
        <v>15</v>
      </c>
      <c r="AR1" s="9">
        <f t="shared" si="0"/>
        <v>16</v>
      </c>
      <c r="AS1" s="9">
        <f t="shared" si="0"/>
        <v>17</v>
      </c>
      <c r="AT1" s="9">
        <f t="shared" si="0"/>
        <v>18</v>
      </c>
      <c r="AU1" s="9">
        <f t="shared" si="0"/>
        <v>19</v>
      </c>
      <c r="AV1" s="9">
        <f t="shared" si="0"/>
        <v>20</v>
      </c>
      <c r="AW1" s="9">
        <f t="shared" si="0"/>
        <v>21</v>
      </c>
      <c r="AX1" s="9">
        <f t="shared" si="0"/>
        <v>22</v>
      </c>
      <c r="AY1" s="9">
        <f t="shared" si="0"/>
        <v>23</v>
      </c>
      <c r="AZ1" s="9">
        <f t="shared" si="0"/>
        <v>24</v>
      </c>
      <c r="BA1" s="9">
        <f t="shared" si="0"/>
        <v>25</v>
      </c>
      <c r="BB1" s="9">
        <f t="shared" si="0"/>
        <v>26</v>
      </c>
      <c r="BC1" s="9">
        <f t="shared" si="0"/>
        <v>27</v>
      </c>
      <c r="BD1" s="9">
        <f t="shared" si="0"/>
        <v>28</v>
      </c>
      <c r="BE1" s="9">
        <f t="shared" si="0"/>
        <v>29</v>
      </c>
      <c r="BF1" s="9">
        <f t="shared" si="0"/>
        <v>30</v>
      </c>
      <c r="BG1" s="9">
        <f t="shared" si="0"/>
        <v>31</v>
      </c>
      <c r="BH1" s="9">
        <f t="shared" si="0"/>
        <v>32</v>
      </c>
      <c r="BI1" s="9">
        <f t="shared" si="0"/>
        <v>33</v>
      </c>
      <c r="BJ1" s="9">
        <f t="shared" si="0"/>
        <v>34</v>
      </c>
      <c r="BK1" s="9">
        <f t="shared" si="0"/>
        <v>35</v>
      </c>
      <c r="BL1" s="9">
        <f t="shared" si="0"/>
        <v>36</v>
      </c>
      <c r="BM1" s="9">
        <f t="shared" si="0"/>
        <v>37</v>
      </c>
      <c r="BN1" s="9">
        <f t="shared" si="0"/>
        <v>38</v>
      </c>
      <c r="BO1" s="9">
        <f t="shared" si="0"/>
        <v>39</v>
      </c>
      <c r="BP1" s="9">
        <f t="shared" si="0"/>
        <v>40</v>
      </c>
      <c r="BQ1" s="9">
        <f t="shared" si="0"/>
        <v>41</v>
      </c>
      <c r="BR1" s="9">
        <f t="shared" si="0"/>
        <v>42</v>
      </c>
      <c r="BS1" s="9">
        <f t="shared" si="0"/>
        <v>43</v>
      </c>
      <c r="BT1" s="9">
        <f t="shared" si="0"/>
        <v>44</v>
      </c>
      <c r="BU1" s="9">
        <f t="shared" si="0"/>
        <v>45</v>
      </c>
      <c r="BV1" s="9">
        <f t="shared" si="0"/>
        <v>46</v>
      </c>
      <c r="BW1" s="9">
        <f t="shared" si="0"/>
        <v>47</v>
      </c>
      <c r="BX1" s="9">
        <f t="shared" si="0"/>
        <v>48</v>
      </c>
      <c r="BY1" s="9">
        <f t="shared" si="0"/>
        <v>49</v>
      </c>
      <c r="BZ1" s="9">
        <f t="shared" si="0"/>
        <v>50</v>
      </c>
      <c r="CA1" s="9">
        <f t="shared" si="0"/>
        <v>51</v>
      </c>
      <c r="CB1" s="9">
        <f t="shared" si="0"/>
        <v>52</v>
      </c>
      <c r="CC1" s="9">
        <f t="shared" si="0"/>
        <v>53</v>
      </c>
      <c r="CD1" s="9">
        <f t="shared" si="0"/>
        <v>54</v>
      </c>
      <c r="CE1" s="9">
        <f t="shared" si="0"/>
        <v>55</v>
      </c>
      <c r="CF1" s="9">
        <f t="shared" si="0"/>
        <v>56</v>
      </c>
      <c r="CG1" s="9">
        <f t="shared" si="0"/>
        <v>57</v>
      </c>
      <c r="CH1" s="9">
        <f t="shared" si="0"/>
        <v>58</v>
      </c>
      <c r="CI1" s="9">
        <f t="shared" si="0"/>
        <v>59</v>
      </c>
      <c r="CJ1" s="9">
        <f t="shared" si="0"/>
        <v>60</v>
      </c>
      <c r="CK1" s="9">
        <f t="shared" si="0"/>
        <v>61</v>
      </c>
      <c r="CL1" s="9">
        <f t="shared" si="0"/>
        <v>62</v>
      </c>
      <c r="CM1" s="9">
        <f t="shared" si="0"/>
        <v>63</v>
      </c>
      <c r="CN1" s="9">
        <f t="shared" si="0"/>
        <v>64</v>
      </c>
      <c r="CO1" s="9">
        <f t="shared" si="0"/>
        <v>65</v>
      </c>
      <c r="CP1" s="9">
        <f t="shared" si="0"/>
        <v>66</v>
      </c>
      <c r="CQ1" s="9">
        <f t="shared" ref="CQ1:FB1" si="1">+CP1+1</f>
        <v>67</v>
      </c>
      <c r="CR1" s="9">
        <f t="shared" si="1"/>
        <v>68</v>
      </c>
      <c r="CS1" s="9">
        <f t="shared" si="1"/>
        <v>69</v>
      </c>
      <c r="CT1" s="9">
        <f t="shared" si="1"/>
        <v>70</v>
      </c>
      <c r="CU1" s="9">
        <f t="shared" si="1"/>
        <v>71</v>
      </c>
      <c r="CV1" s="9">
        <f t="shared" si="1"/>
        <v>72</v>
      </c>
      <c r="CW1" s="9">
        <f t="shared" si="1"/>
        <v>73</v>
      </c>
      <c r="CX1" s="9">
        <f t="shared" si="1"/>
        <v>74</v>
      </c>
      <c r="CY1" s="9">
        <f t="shared" si="1"/>
        <v>75</v>
      </c>
      <c r="CZ1" s="9">
        <f t="shared" si="1"/>
        <v>76</v>
      </c>
      <c r="DA1" s="9">
        <f t="shared" si="1"/>
        <v>77</v>
      </c>
      <c r="DB1" s="9">
        <f t="shared" si="1"/>
        <v>78</v>
      </c>
      <c r="DC1" s="9">
        <f t="shared" si="1"/>
        <v>79</v>
      </c>
      <c r="DD1" s="9">
        <f t="shared" si="1"/>
        <v>80</v>
      </c>
      <c r="DE1" s="9">
        <f t="shared" si="1"/>
        <v>81</v>
      </c>
      <c r="DF1" s="9">
        <f t="shared" si="1"/>
        <v>82</v>
      </c>
      <c r="DG1" s="9">
        <f t="shared" si="1"/>
        <v>83</v>
      </c>
      <c r="DH1" s="9">
        <f t="shared" si="1"/>
        <v>84</v>
      </c>
      <c r="DI1" s="9">
        <f t="shared" si="1"/>
        <v>85</v>
      </c>
      <c r="DJ1" s="9">
        <f t="shared" si="1"/>
        <v>86</v>
      </c>
      <c r="DK1" s="9">
        <f t="shared" si="1"/>
        <v>87</v>
      </c>
      <c r="DL1" s="9">
        <f t="shared" si="1"/>
        <v>88</v>
      </c>
      <c r="DM1" s="9">
        <f t="shared" si="1"/>
        <v>89</v>
      </c>
      <c r="DN1" s="9">
        <f t="shared" si="1"/>
        <v>90</v>
      </c>
      <c r="DO1" s="9">
        <f t="shared" si="1"/>
        <v>91</v>
      </c>
      <c r="DP1" s="9">
        <f t="shared" si="1"/>
        <v>92</v>
      </c>
      <c r="DQ1" s="9">
        <f t="shared" si="1"/>
        <v>93</v>
      </c>
      <c r="DR1" s="9">
        <f t="shared" si="1"/>
        <v>94</v>
      </c>
      <c r="DS1" s="9">
        <f t="shared" si="1"/>
        <v>95</v>
      </c>
      <c r="DT1" s="9">
        <f t="shared" si="1"/>
        <v>96</v>
      </c>
      <c r="DU1" s="9">
        <f t="shared" si="1"/>
        <v>97</v>
      </c>
      <c r="DV1" s="9">
        <f t="shared" si="1"/>
        <v>98</v>
      </c>
      <c r="DW1" s="9">
        <f t="shared" si="1"/>
        <v>99</v>
      </c>
      <c r="DX1" s="9">
        <f t="shared" si="1"/>
        <v>100</v>
      </c>
      <c r="DY1" s="9">
        <f t="shared" si="1"/>
        <v>101</v>
      </c>
      <c r="DZ1" s="9">
        <f t="shared" si="1"/>
        <v>102</v>
      </c>
      <c r="EA1" s="9">
        <f t="shared" si="1"/>
        <v>103</v>
      </c>
      <c r="EB1" s="9">
        <f t="shared" si="1"/>
        <v>104</v>
      </c>
      <c r="EC1" s="9">
        <f t="shared" si="1"/>
        <v>105</v>
      </c>
      <c r="ED1" s="9">
        <f t="shared" si="1"/>
        <v>106</v>
      </c>
      <c r="EE1" s="9">
        <f t="shared" si="1"/>
        <v>107</v>
      </c>
      <c r="EF1" s="9">
        <f t="shared" si="1"/>
        <v>108</v>
      </c>
      <c r="EG1" s="9">
        <f t="shared" si="1"/>
        <v>109</v>
      </c>
      <c r="EH1" s="9">
        <f t="shared" si="1"/>
        <v>110</v>
      </c>
      <c r="EI1" s="9">
        <f t="shared" si="1"/>
        <v>111</v>
      </c>
      <c r="EJ1" s="9">
        <f t="shared" si="1"/>
        <v>112</v>
      </c>
      <c r="EK1" s="9">
        <f t="shared" si="1"/>
        <v>113</v>
      </c>
      <c r="EL1" s="9">
        <f t="shared" si="1"/>
        <v>114</v>
      </c>
      <c r="EM1" s="9">
        <f t="shared" si="1"/>
        <v>115</v>
      </c>
      <c r="EN1" s="9">
        <f t="shared" si="1"/>
        <v>116</v>
      </c>
      <c r="EO1" s="9">
        <f t="shared" si="1"/>
        <v>117</v>
      </c>
      <c r="EP1" s="9">
        <f t="shared" si="1"/>
        <v>118</v>
      </c>
      <c r="EQ1" s="9">
        <f t="shared" si="1"/>
        <v>119</v>
      </c>
      <c r="ER1" s="9">
        <f t="shared" si="1"/>
        <v>120</v>
      </c>
      <c r="ES1" s="9">
        <f t="shared" si="1"/>
        <v>121</v>
      </c>
      <c r="ET1" s="9">
        <f t="shared" si="1"/>
        <v>122</v>
      </c>
      <c r="EU1" s="9">
        <f t="shared" si="1"/>
        <v>123</v>
      </c>
      <c r="EV1" s="9">
        <f t="shared" si="1"/>
        <v>124</v>
      </c>
      <c r="EW1" s="9">
        <f t="shared" si="1"/>
        <v>125</v>
      </c>
      <c r="EX1" s="9">
        <f t="shared" si="1"/>
        <v>126</v>
      </c>
      <c r="EY1" s="9">
        <f t="shared" si="1"/>
        <v>127</v>
      </c>
      <c r="EZ1" s="9">
        <f t="shared" si="1"/>
        <v>128</v>
      </c>
      <c r="FA1" s="9">
        <f t="shared" si="1"/>
        <v>129</v>
      </c>
      <c r="FB1" s="9">
        <f t="shared" si="1"/>
        <v>130</v>
      </c>
      <c r="FC1" s="9">
        <f t="shared" ref="FC1:GV1" si="2">+FB1+1</f>
        <v>131</v>
      </c>
      <c r="FD1" s="9">
        <f t="shared" si="2"/>
        <v>132</v>
      </c>
      <c r="FE1" s="9">
        <f t="shared" si="2"/>
        <v>133</v>
      </c>
      <c r="FF1" s="9">
        <f t="shared" si="2"/>
        <v>134</v>
      </c>
      <c r="FG1" s="9">
        <f t="shared" si="2"/>
        <v>135</v>
      </c>
      <c r="FH1" s="9">
        <f t="shared" si="2"/>
        <v>136</v>
      </c>
      <c r="FI1" s="9">
        <f t="shared" si="2"/>
        <v>137</v>
      </c>
      <c r="FJ1" s="9">
        <f t="shared" si="2"/>
        <v>138</v>
      </c>
      <c r="FK1" s="9">
        <f t="shared" si="2"/>
        <v>139</v>
      </c>
      <c r="FL1" s="9">
        <f t="shared" si="2"/>
        <v>140</v>
      </c>
      <c r="FM1" s="9">
        <f t="shared" si="2"/>
        <v>141</v>
      </c>
      <c r="FN1" s="9">
        <f t="shared" si="2"/>
        <v>142</v>
      </c>
      <c r="FO1" s="9">
        <f t="shared" si="2"/>
        <v>143</v>
      </c>
      <c r="FP1" s="9">
        <f t="shared" si="2"/>
        <v>144</v>
      </c>
      <c r="FQ1" s="9">
        <f t="shared" si="2"/>
        <v>145</v>
      </c>
      <c r="FR1" s="9">
        <f t="shared" si="2"/>
        <v>146</v>
      </c>
      <c r="FS1" s="9">
        <f t="shared" si="2"/>
        <v>147</v>
      </c>
      <c r="FT1" s="9">
        <f t="shared" si="2"/>
        <v>148</v>
      </c>
      <c r="FU1" s="9">
        <f t="shared" si="2"/>
        <v>149</v>
      </c>
      <c r="FV1" s="9">
        <f t="shared" si="2"/>
        <v>150</v>
      </c>
      <c r="FW1" s="9">
        <f t="shared" si="2"/>
        <v>151</v>
      </c>
      <c r="FX1" s="9">
        <f t="shared" si="2"/>
        <v>152</v>
      </c>
      <c r="FY1" s="9">
        <f t="shared" si="2"/>
        <v>153</v>
      </c>
      <c r="FZ1" s="9">
        <f t="shared" si="2"/>
        <v>154</v>
      </c>
      <c r="GA1" s="9">
        <f t="shared" si="2"/>
        <v>155</v>
      </c>
      <c r="GB1" s="9">
        <f t="shared" si="2"/>
        <v>156</v>
      </c>
      <c r="GC1" s="9">
        <f t="shared" si="2"/>
        <v>157</v>
      </c>
      <c r="GD1" s="9">
        <f t="shared" si="2"/>
        <v>158</v>
      </c>
      <c r="GE1" s="9">
        <f t="shared" si="2"/>
        <v>159</v>
      </c>
      <c r="GF1" s="9">
        <f t="shared" si="2"/>
        <v>160</v>
      </c>
      <c r="GG1" s="9">
        <f t="shared" si="2"/>
        <v>161</v>
      </c>
      <c r="GH1" s="9">
        <f t="shared" si="2"/>
        <v>162</v>
      </c>
      <c r="GI1" s="9">
        <f t="shared" si="2"/>
        <v>163</v>
      </c>
      <c r="GJ1" s="9">
        <f t="shared" si="2"/>
        <v>164</v>
      </c>
      <c r="GK1" s="9">
        <f t="shared" si="2"/>
        <v>165</v>
      </c>
      <c r="GL1" s="9">
        <f t="shared" si="2"/>
        <v>166</v>
      </c>
      <c r="GM1" s="9">
        <f t="shared" si="2"/>
        <v>167</v>
      </c>
      <c r="GN1" s="9">
        <f t="shared" si="2"/>
        <v>168</v>
      </c>
      <c r="GO1" s="9">
        <f t="shared" si="2"/>
        <v>169</v>
      </c>
      <c r="GP1" s="9">
        <f t="shared" si="2"/>
        <v>170</v>
      </c>
      <c r="GQ1" s="9">
        <f t="shared" si="2"/>
        <v>171</v>
      </c>
      <c r="GR1" s="9">
        <f t="shared" si="2"/>
        <v>172</v>
      </c>
      <c r="GS1" s="9">
        <f t="shared" si="2"/>
        <v>173</v>
      </c>
      <c r="GT1" s="9">
        <f t="shared" si="2"/>
        <v>174</v>
      </c>
      <c r="GU1" s="9">
        <f t="shared" si="2"/>
        <v>175</v>
      </c>
      <c r="GV1" s="9">
        <f t="shared" si="2"/>
        <v>176</v>
      </c>
      <c r="GW1" s="9">
        <f t="shared" ref="GW1:HI1" si="3">+GV1+1</f>
        <v>177</v>
      </c>
      <c r="GX1" s="9">
        <f t="shared" si="3"/>
        <v>178</v>
      </c>
      <c r="GY1" s="9">
        <f t="shared" si="3"/>
        <v>179</v>
      </c>
      <c r="GZ1" s="9">
        <f t="shared" si="3"/>
        <v>180</v>
      </c>
      <c r="HA1" s="9">
        <f t="shared" si="3"/>
        <v>181</v>
      </c>
      <c r="HB1" s="9">
        <f t="shared" si="3"/>
        <v>182</v>
      </c>
      <c r="HC1" s="9">
        <f t="shared" si="3"/>
        <v>183</v>
      </c>
      <c r="HD1" s="9">
        <f t="shared" si="3"/>
        <v>184</v>
      </c>
      <c r="HE1" s="9">
        <f t="shared" si="3"/>
        <v>185</v>
      </c>
      <c r="HF1" s="9">
        <f t="shared" si="3"/>
        <v>186</v>
      </c>
      <c r="HG1" s="9">
        <f t="shared" si="3"/>
        <v>187</v>
      </c>
      <c r="HH1" s="9">
        <f t="shared" si="3"/>
        <v>188</v>
      </c>
      <c r="HI1" s="9">
        <f t="shared" si="3"/>
        <v>189</v>
      </c>
      <c r="HJ1" s="9">
        <f t="shared" ref="HJ1:HQ1" si="4">+HI1+1</f>
        <v>190</v>
      </c>
      <c r="HK1" s="9">
        <f t="shared" si="4"/>
        <v>191</v>
      </c>
      <c r="HL1" s="9">
        <f t="shared" si="4"/>
        <v>192</v>
      </c>
      <c r="HM1" s="9">
        <f t="shared" si="4"/>
        <v>193</v>
      </c>
      <c r="HN1" s="9">
        <f t="shared" si="4"/>
        <v>194</v>
      </c>
      <c r="HO1" s="9">
        <f t="shared" si="4"/>
        <v>195</v>
      </c>
      <c r="HP1" s="9">
        <f t="shared" si="4"/>
        <v>196</v>
      </c>
      <c r="HQ1" s="9">
        <f t="shared" si="4"/>
        <v>197</v>
      </c>
      <c r="HR1" s="9">
        <f t="shared" ref="HR1:HS1" si="5">+HQ1+1</f>
        <v>198</v>
      </c>
      <c r="HS1" s="9">
        <f t="shared" si="5"/>
        <v>199</v>
      </c>
      <c r="HT1" s="9">
        <f t="shared" ref="HT1" si="6">+HS1+1</f>
        <v>200</v>
      </c>
    </row>
    <row r="2" spans="2:228" s="18" customFormat="1">
      <c r="C2" s="18" t="s">
        <v>21</v>
      </c>
      <c r="D2" s="18" t="s">
        <v>22</v>
      </c>
      <c r="E2" s="18" t="s">
        <v>23</v>
      </c>
      <c r="F2" s="18" t="s">
        <v>24</v>
      </c>
      <c r="G2" s="18" t="s">
        <v>25</v>
      </c>
      <c r="H2" s="18" t="s">
        <v>20</v>
      </c>
      <c r="I2" s="18" t="s">
        <v>26</v>
      </c>
      <c r="J2" s="18" t="s">
        <v>86</v>
      </c>
      <c r="M2" s="18">
        <v>2018</v>
      </c>
      <c r="N2" s="18">
        <f>+M2+1</f>
        <v>2019</v>
      </c>
      <c r="O2" s="18">
        <f t="shared" ref="O2:AB2" si="7">+N2+1</f>
        <v>2020</v>
      </c>
      <c r="P2" s="18">
        <f t="shared" si="7"/>
        <v>2021</v>
      </c>
      <c r="Q2" s="18">
        <f t="shared" si="7"/>
        <v>2022</v>
      </c>
      <c r="R2" s="18">
        <f t="shared" si="7"/>
        <v>2023</v>
      </c>
      <c r="S2" s="18">
        <f t="shared" si="7"/>
        <v>2024</v>
      </c>
      <c r="T2" s="18">
        <f t="shared" si="7"/>
        <v>2025</v>
      </c>
      <c r="U2" s="18">
        <f t="shared" si="7"/>
        <v>2026</v>
      </c>
      <c r="V2" s="18">
        <f t="shared" si="7"/>
        <v>2027</v>
      </c>
      <c r="W2" s="18">
        <f t="shared" si="7"/>
        <v>2028</v>
      </c>
      <c r="X2" s="18">
        <f t="shared" si="7"/>
        <v>2029</v>
      </c>
      <c r="Y2" s="18">
        <f t="shared" si="7"/>
        <v>2030</v>
      </c>
      <c r="Z2" s="18">
        <f t="shared" si="7"/>
        <v>2031</v>
      </c>
      <c r="AA2" s="18">
        <f t="shared" si="7"/>
        <v>2032</v>
      </c>
      <c r="AB2" s="18">
        <f t="shared" si="7"/>
        <v>2033</v>
      </c>
      <c r="AC2" s="18">
        <f>+AB2+1</f>
        <v>2034</v>
      </c>
      <c r="AD2" s="18">
        <f>+AC2+1</f>
        <v>2035</v>
      </c>
      <c r="AE2" s="18">
        <f t="shared" ref="AE2:CP2" si="8">+AD2+1</f>
        <v>2036</v>
      </c>
      <c r="AF2" s="18">
        <f t="shared" si="8"/>
        <v>2037</v>
      </c>
      <c r="AG2" s="18">
        <f t="shared" si="8"/>
        <v>2038</v>
      </c>
      <c r="AH2" s="18">
        <f t="shared" si="8"/>
        <v>2039</v>
      </c>
      <c r="AI2" s="18">
        <f t="shared" si="8"/>
        <v>2040</v>
      </c>
      <c r="AJ2" s="18">
        <f t="shared" si="8"/>
        <v>2041</v>
      </c>
      <c r="AK2" s="18">
        <f t="shared" si="8"/>
        <v>2042</v>
      </c>
      <c r="AL2" s="18">
        <f t="shared" si="8"/>
        <v>2043</v>
      </c>
      <c r="AM2" s="18">
        <f t="shared" si="8"/>
        <v>2044</v>
      </c>
      <c r="AN2" s="18">
        <f t="shared" si="8"/>
        <v>2045</v>
      </c>
      <c r="AO2" s="18">
        <f t="shared" si="8"/>
        <v>2046</v>
      </c>
      <c r="AP2" s="18">
        <f t="shared" si="8"/>
        <v>2047</v>
      </c>
      <c r="AQ2" s="18">
        <f t="shared" si="8"/>
        <v>2048</v>
      </c>
      <c r="AR2" s="18">
        <f t="shared" si="8"/>
        <v>2049</v>
      </c>
      <c r="AS2" s="18">
        <f t="shared" si="8"/>
        <v>2050</v>
      </c>
      <c r="AT2" s="18">
        <f t="shared" si="8"/>
        <v>2051</v>
      </c>
      <c r="AU2" s="18">
        <f t="shared" si="8"/>
        <v>2052</v>
      </c>
      <c r="AV2" s="18">
        <f t="shared" si="8"/>
        <v>2053</v>
      </c>
      <c r="AW2" s="18">
        <f t="shared" si="8"/>
        <v>2054</v>
      </c>
      <c r="AX2" s="18">
        <f t="shared" si="8"/>
        <v>2055</v>
      </c>
      <c r="AY2" s="18">
        <f t="shared" si="8"/>
        <v>2056</v>
      </c>
      <c r="AZ2" s="18">
        <f t="shared" si="8"/>
        <v>2057</v>
      </c>
      <c r="BA2" s="18">
        <f t="shared" si="8"/>
        <v>2058</v>
      </c>
      <c r="BB2" s="18">
        <f t="shared" si="8"/>
        <v>2059</v>
      </c>
      <c r="BC2" s="18">
        <f t="shared" si="8"/>
        <v>2060</v>
      </c>
      <c r="BD2" s="18">
        <f t="shared" si="8"/>
        <v>2061</v>
      </c>
      <c r="BE2" s="18">
        <f t="shared" si="8"/>
        <v>2062</v>
      </c>
      <c r="BF2" s="18">
        <f t="shared" si="8"/>
        <v>2063</v>
      </c>
      <c r="BG2" s="18">
        <f t="shared" si="8"/>
        <v>2064</v>
      </c>
      <c r="BH2" s="18">
        <f t="shared" si="8"/>
        <v>2065</v>
      </c>
      <c r="BI2" s="18">
        <f t="shared" si="8"/>
        <v>2066</v>
      </c>
      <c r="BJ2" s="18">
        <f t="shared" si="8"/>
        <v>2067</v>
      </c>
      <c r="BK2" s="18">
        <f t="shared" si="8"/>
        <v>2068</v>
      </c>
      <c r="BL2" s="18">
        <f t="shared" si="8"/>
        <v>2069</v>
      </c>
      <c r="BM2" s="18">
        <f t="shared" si="8"/>
        <v>2070</v>
      </c>
      <c r="BN2" s="18">
        <f t="shared" si="8"/>
        <v>2071</v>
      </c>
      <c r="BO2" s="18">
        <f t="shared" si="8"/>
        <v>2072</v>
      </c>
      <c r="BP2" s="18">
        <f t="shared" si="8"/>
        <v>2073</v>
      </c>
      <c r="BQ2" s="18">
        <f t="shared" si="8"/>
        <v>2074</v>
      </c>
      <c r="BR2" s="18">
        <f t="shared" si="8"/>
        <v>2075</v>
      </c>
      <c r="BS2" s="18">
        <f t="shared" si="8"/>
        <v>2076</v>
      </c>
      <c r="BT2" s="18">
        <f t="shared" si="8"/>
        <v>2077</v>
      </c>
      <c r="BU2" s="18">
        <f t="shared" si="8"/>
        <v>2078</v>
      </c>
      <c r="BV2" s="18">
        <f t="shared" si="8"/>
        <v>2079</v>
      </c>
      <c r="BW2" s="18">
        <f t="shared" si="8"/>
        <v>2080</v>
      </c>
      <c r="BX2" s="18">
        <f t="shared" si="8"/>
        <v>2081</v>
      </c>
      <c r="BY2" s="18">
        <f t="shared" si="8"/>
        <v>2082</v>
      </c>
      <c r="BZ2" s="18">
        <f t="shared" si="8"/>
        <v>2083</v>
      </c>
      <c r="CA2" s="18">
        <f t="shared" si="8"/>
        <v>2084</v>
      </c>
      <c r="CB2" s="18">
        <f t="shared" si="8"/>
        <v>2085</v>
      </c>
      <c r="CC2" s="18">
        <f t="shared" si="8"/>
        <v>2086</v>
      </c>
      <c r="CD2" s="18">
        <f t="shared" si="8"/>
        <v>2087</v>
      </c>
      <c r="CE2" s="18">
        <f t="shared" si="8"/>
        <v>2088</v>
      </c>
      <c r="CF2" s="18">
        <f t="shared" si="8"/>
        <v>2089</v>
      </c>
      <c r="CG2" s="18">
        <f t="shared" si="8"/>
        <v>2090</v>
      </c>
      <c r="CH2" s="18">
        <f t="shared" si="8"/>
        <v>2091</v>
      </c>
      <c r="CI2" s="18">
        <f t="shared" si="8"/>
        <v>2092</v>
      </c>
      <c r="CJ2" s="18">
        <f t="shared" si="8"/>
        <v>2093</v>
      </c>
      <c r="CK2" s="18">
        <f t="shared" si="8"/>
        <v>2094</v>
      </c>
      <c r="CL2" s="18">
        <f t="shared" si="8"/>
        <v>2095</v>
      </c>
      <c r="CM2" s="18">
        <f t="shared" si="8"/>
        <v>2096</v>
      </c>
      <c r="CN2" s="18">
        <f t="shared" si="8"/>
        <v>2097</v>
      </c>
      <c r="CO2" s="18">
        <f t="shared" si="8"/>
        <v>2098</v>
      </c>
      <c r="CP2" s="18">
        <f t="shared" si="8"/>
        <v>2099</v>
      </c>
      <c r="CQ2" s="18">
        <f t="shared" ref="CQ2:FB2" si="9">+CP2+1</f>
        <v>2100</v>
      </c>
      <c r="CR2" s="18">
        <f t="shared" si="9"/>
        <v>2101</v>
      </c>
      <c r="CS2" s="18">
        <f t="shared" si="9"/>
        <v>2102</v>
      </c>
      <c r="CT2" s="18">
        <f t="shared" si="9"/>
        <v>2103</v>
      </c>
      <c r="CU2" s="18">
        <f t="shared" si="9"/>
        <v>2104</v>
      </c>
      <c r="CV2" s="18">
        <f t="shared" si="9"/>
        <v>2105</v>
      </c>
      <c r="CW2" s="18">
        <f t="shared" si="9"/>
        <v>2106</v>
      </c>
      <c r="CX2" s="18">
        <f t="shared" si="9"/>
        <v>2107</v>
      </c>
      <c r="CY2" s="18">
        <f t="shared" si="9"/>
        <v>2108</v>
      </c>
      <c r="CZ2" s="18">
        <f t="shared" si="9"/>
        <v>2109</v>
      </c>
      <c r="DA2" s="18">
        <f t="shared" si="9"/>
        <v>2110</v>
      </c>
      <c r="DB2" s="18">
        <f t="shared" si="9"/>
        <v>2111</v>
      </c>
      <c r="DC2" s="18">
        <f t="shared" si="9"/>
        <v>2112</v>
      </c>
      <c r="DD2" s="18">
        <f t="shared" si="9"/>
        <v>2113</v>
      </c>
      <c r="DE2" s="18">
        <f t="shared" si="9"/>
        <v>2114</v>
      </c>
      <c r="DF2" s="18">
        <f t="shared" si="9"/>
        <v>2115</v>
      </c>
      <c r="DG2" s="18">
        <f t="shared" si="9"/>
        <v>2116</v>
      </c>
      <c r="DH2" s="18">
        <f t="shared" si="9"/>
        <v>2117</v>
      </c>
      <c r="DI2" s="18">
        <f t="shared" si="9"/>
        <v>2118</v>
      </c>
      <c r="DJ2" s="18">
        <f t="shared" si="9"/>
        <v>2119</v>
      </c>
      <c r="DK2" s="18">
        <f t="shared" si="9"/>
        <v>2120</v>
      </c>
      <c r="DL2" s="18">
        <f t="shared" si="9"/>
        <v>2121</v>
      </c>
      <c r="DM2" s="18">
        <f t="shared" si="9"/>
        <v>2122</v>
      </c>
      <c r="DN2" s="18">
        <f t="shared" si="9"/>
        <v>2123</v>
      </c>
      <c r="DO2" s="18">
        <f t="shared" si="9"/>
        <v>2124</v>
      </c>
      <c r="DP2" s="18">
        <f t="shared" si="9"/>
        <v>2125</v>
      </c>
      <c r="DQ2" s="18">
        <f t="shared" si="9"/>
        <v>2126</v>
      </c>
      <c r="DR2" s="18">
        <f t="shared" si="9"/>
        <v>2127</v>
      </c>
      <c r="DS2" s="18">
        <f t="shared" si="9"/>
        <v>2128</v>
      </c>
      <c r="DT2" s="18">
        <f t="shared" si="9"/>
        <v>2129</v>
      </c>
      <c r="DU2" s="18">
        <f t="shared" si="9"/>
        <v>2130</v>
      </c>
      <c r="DV2" s="18">
        <f t="shared" si="9"/>
        <v>2131</v>
      </c>
      <c r="DW2" s="18">
        <f t="shared" si="9"/>
        <v>2132</v>
      </c>
      <c r="DX2" s="18">
        <f t="shared" si="9"/>
        <v>2133</v>
      </c>
      <c r="DY2" s="18">
        <f t="shared" si="9"/>
        <v>2134</v>
      </c>
      <c r="DZ2" s="18">
        <f t="shared" si="9"/>
        <v>2135</v>
      </c>
      <c r="EA2" s="18">
        <f t="shared" si="9"/>
        <v>2136</v>
      </c>
      <c r="EB2" s="18">
        <f t="shared" si="9"/>
        <v>2137</v>
      </c>
      <c r="EC2" s="18">
        <f t="shared" si="9"/>
        <v>2138</v>
      </c>
      <c r="ED2" s="18">
        <f t="shared" si="9"/>
        <v>2139</v>
      </c>
      <c r="EE2" s="18">
        <f t="shared" si="9"/>
        <v>2140</v>
      </c>
      <c r="EF2" s="18">
        <f t="shared" si="9"/>
        <v>2141</v>
      </c>
      <c r="EG2" s="18">
        <f t="shared" si="9"/>
        <v>2142</v>
      </c>
      <c r="EH2" s="18">
        <f t="shared" si="9"/>
        <v>2143</v>
      </c>
      <c r="EI2" s="18">
        <f t="shared" si="9"/>
        <v>2144</v>
      </c>
      <c r="EJ2" s="18">
        <f t="shared" si="9"/>
        <v>2145</v>
      </c>
      <c r="EK2" s="18">
        <f t="shared" si="9"/>
        <v>2146</v>
      </c>
      <c r="EL2" s="18">
        <f t="shared" si="9"/>
        <v>2147</v>
      </c>
      <c r="EM2" s="18">
        <f t="shared" si="9"/>
        <v>2148</v>
      </c>
      <c r="EN2" s="18">
        <f t="shared" si="9"/>
        <v>2149</v>
      </c>
      <c r="EO2" s="18">
        <f t="shared" si="9"/>
        <v>2150</v>
      </c>
      <c r="EP2" s="18">
        <f t="shared" si="9"/>
        <v>2151</v>
      </c>
      <c r="EQ2" s="18">
        <f t="shared" si="9"/>
        <v>2152</v>
      </c>
      <c r="ER2" s="18">
        <f t="shared" si="9"/>
        <v>2153</v>
      </c>
      <c r="ES2" s="18">
        <f t="shared" si="9"/>
        <v>2154</v>
      </c>
      <c r="ET2" s="18">
        <f t="shared" si="9"/>
        <v>2155</v>
      </c>
      <c r="EU2" s="18">
        <f t="shared" si="9"/>
        <v>2156</v>
      </c>
      <c r="EV2" s="18">
        <f t="shared" si="9"/>
        <v>2157</v>
      </c>
      <c r="EW2" s="18">
        <f t="shared" si="9"/>
        <v>2158</v>
      </c>
      <c r="EX2" s="18">
        <f t="shared" si="9"/>
        <v>2159</v>
      </c>
      <c r="EY2" s="18">
        <f t="shared" si="9"/>
        <v>2160</v>
      </c>
      <c r="EZ2" s="18">
        <f t="shared" si="9"/>
        <v>2161</v>
      </c>
      <c r="FA2" s="18">
        <f t="shared" si="9"/>
        <v>2162</v>
      </c>
      <c r="FB2" s="18">
        <f t="shared" si="9"/>
        <v>2163</v>
      </c>
      <c r="FC2" s="18">
        <f t="shared" ref="FC2:GV2" si="10">+FB2+1</f>
        <v>2164</v>
      </c>
      <c r="FD2" s="18">
        <f t="shared" si="10"/>
        <v>2165</v>
      </c>
      <c r="FE2" s="18">
        <f t="shared" si="10"/>
        <v>2166</v>
      </c>
      <c r="FF2" s="18">
        <f t="shared" si="10"/>
        <v>2167</v>
      </c>
      <c r="FG2" s="18">
        <f t="shared" si="10"/>
        <v>2168</v>
      </c>
      <c r="FH2" s="18">
        <f t="shared" si="10"/>
        <v>2169</v>
      </c>
      <c r="FI2" s="18">
        <f t="shared" si="10"/>
        <v>2170</v>
      </c>
      <c r="FJ2" s="18">
        <f t="shared" si="10"/>
        <v>2171</v>
      </c>
      <c r="FK2" s="18">
        <f t="shared" si="10"/>
        <v>2172</v>
      </c>
      <c r="FL2" s="18">
        <f t="shared" si="10"/>
        <v>2173</v>
      </c>
      <c r="FM2" s="18">
        <f t="shared" si="10"/>
        <v>2174</v>
      </c>
      <c r="FN2" s="18">
        <f t="shared" si="10"/>
        <v>2175</v>
      </c>
      <c r="FO2" s="18">
        <f t="shared" si="10"/>
        <v>2176</v>
      </c>
      <c r="FP2" s="18">
        <f t="shared" si="10"/>
        <v>2177</v>
      </c>
      <c r="FQ2" s="18">
        <f t="shared" si="10"/>
        <v>2178</v>
      </c>
      <c r="FR2" s="18">
        <f t="shared" si="10"/>
        <v>2179</v>
      </c>
      <c r="FS2" s="18">
        <f t="shared" si="10"/>
        <v>2180</v>
      </c>
      <c r="FT2" s="18">
        <f t="shared" si="10"/>
        <v>2181</v>
      </c>
      <c r="FU2" s="18">
        <f t="shared" si="10"/>
        <v>2182</v>
      </c>
      <c r="FV2" s="18">
        <f t="shared" si="10"/>
        <v>2183</v>
      </c>
      <c r="FW2" s="18">
        <f t="shared" si="10"/>
        <v>2184</v>
      </c>
      <c r="FX2" s="18">
        <f t="shared" si="10"/>
        <v>2185</v>
      </c>
      <c r="FY2" s="18">
        <f t="shared" si="10"/>
        <v>2186</v>
      </c>
      <c r="FZ2" s="18">
        <f t="shared" si="10"/>
        <v>2187</v>
      </c>
      <c r="GA2" s="18">
        <f t="shared" si="10"/>
        <v>2188</v>
      </c>
      <c r="GB2" s="18">
        <f t="shared" si="10"/>
        <v>2189</v>
      </c>
      <c r="GC2" s="18">
        <f t="shared" si="10"/>
        <v>2190</v>
      </c>
      <c r="GD2" s="18">
        <f t="shared" si="10"/>
        <v>2191</v>
      </c>
      <c r="GE2" s="18">
        <f t="shared" si="10"/>
        <v>2192</v>
      </c>
      <c r="GF2" s="18">
        <f t="shared" si="10"/>
        <v>2193</v>
      </c>
      <c r="GG2" s="18">
        <f t="shared" si="10"/>
        <v>2194</v>
      </c>
      <c r="GH2" s="18">
        <f t="shared" si="10"/>
        <v>2195</v>
      </c>
      <c r="GI2" s="18">
        <f t="shared" si="10"/>
        <v>2196</v>
      </c>
      <c r="GJ2" s="18">
        <f t="shared" si="10"/>
        <v>2197</v>
      </c>
      <c r="GK2" s="18">
        <f t="shared" si="10"/>
        <v>2198</v>
      </c>
      <c r="GL2" s="18">
        <f t="shared" si="10"/>
        <v>2199</v>
      </c>
      <c r="GM2" s="18">
        <f t="shared" si="10"/>
        <v>2200</v>
      </c>
      <c r="GN2" s="18">
        <f t="shared" si="10"/>
        <v>2201</v>
      </c>
      <c r="GO2" s="18">
        <f t="shared" si="10"/>
        <v>2202</v>
      </c>
      <c r="GP2" s="18">
        <f t="shared" si="10"/>
        <v>2203</v>
      </c>
      <c r="GQ2" s="18">
        <f t="shared" si="10"/>
        <v>2204</v>
      </c>
      <c r="GR2" s="18">
        <f t="shared" si="10"/>
        <v>2205</v>
      </c>
      <c r="GS2" s="18">
        <f t="shared" si="10"/>
        <v>2206</v>
      </c>
      <c r="GT2" s="18">
        <f t="shared" si="10"/>
        <v>2207</v>
      </c>
      <c r="GU2" s="18">
        <f t="shared" si="10"/>
        <v>2208</v>
      </c>
      <c r="GV2" s="18">
        <f t="shared" si="10"/>
        <v>2209</v>
      </c>
      <c r="GW2" s="18">
        <f t="shared" ref="GW2:HI2" si="11">+GV2+1</f>
        <v>2210</v>
      </c>
      <c r="GX2" s="18">
        <f t="shared" si="11"/>
        <v>2211</v>
      </c>
      <c r="GY2" s="18">
        <f t="shared" si="11"/>
        <v>2212</v>
      </c>
      <c r="GZ2" s="18">
        <f t="shared" si="11"/>
        <v>2213</v>
      </c>
      <c r="HA2" s="18">
        <f t="shared" si="11"/>
        <v>2214</v>
      </c>
      <c r="HB2" s="18">
        <f t="shared" si="11"/>
        <v>2215</v>
      </c>
      <c r="HC2" s="18">
        <f t="shared" si="11"/>
        <v>2216</v>
      </c>
      <c r="HD2" s="18">
        <f t="shared" si="11"/>
        <v>2217</v>
      </c>
      <c r="HE2" s="18">
        <f t="shared" si="11"/>
        <v>2218</v>
      </c>
      <c r="HF2" s="18">
        <f t="shared" si="11"/>
        <v>2219</v>
      </c>
      <c r="HG2" s="18">
        <f t="shared" si="11"/>
        <v>2220</v>
      </c>
      <c r="HH2" s="18">
        <f t="shared" si="11"/>
        <v>2221</v>
      </c>
      <c r="HI2" s="18">
        <f t="shared" si="11"/>
        <v>2222</v>
      </c>
      <c r="HJ2" s="18">
        <f t="shared" ref="HJ2:HQ2" si="12">+HI2+1</f>
        <v>2223</v>
      </c>
      <c r="HK2" s="18">
        <f t="shared" si="12"/>
        <v>2224</v>
      </c>
      <c r="HL2" s="18">
        <f t="shared" si="12"/>
        <v>2225</v>
      </c>
      <c r="HM2" s="18">
        <f t="shared" si="12"/>
        <v>2226</v>
      </c>
      <c r="HN2" s="18">
        <f t="shared" si="12"/>
        <v>2227</v>
      </c>
      <c r="HO2" s="18">
        <f t="shared" si="12"/>
        <v>2228</v>
      </c>
      <c r="HP2" s="18">
        <f t="shared" si="12"/>
        <v>2229</v>
      </c>
      <c r="HQ2" s="18">
        <f t="shared" si="12"/>
        <v>2230</v>
      </c>
      <c r="HR2" s="18">
        <f t="shared" ref="HR2:HS2" si="13">+HQ2+1</f>
        <v>2231</v>
      </c>
      <c r="HS2" s="18">
        <f t="shared" si="13"/>
        <v>2232</v>
      </c>
      <c r="HT2" s="18">
        <f t="shared" ref="HT2" si="14">+HS2+1</f>
        <v>2233</v>
      </c>
    </row>
    <row r="3" spans="2:228">
      <c r="B3" s="1" t="s">
        <v>67</v>
      </c>
      <c r="C3" s="1">
        <v>5960</v>
      </c>
      <c r="D3" s="1">
        <v>5981</v>
      </c>
      <c r="E3" s="1">
        <v>5963</v>
      </c>
      <c r="F3" s="1">
        <v>5875</v>
      </c>
      <c r="G3" s="1">
        <v>5842</v>
      </c>
      <c r="H3" s="1">
        <v>5706</v>
      </c>
      <c r="I3" s="1">
        <v>5514</v>
      </c>
    </row>
    <row r="4" spans="2:228" s="11" customFormat="1">
      <c r="B4" s="14" t="s">
        <v>41</v>
      </c>
      <c r="C4" s="11">
        <v>31</v>
      </c>
      <c r="D4" s="11">
        <v>34</v>
      </c>
      <c r="E4" s="11">
        <v>34</v>
      </c>
      <c r="F4" s="11">
        <v>37</v>
      </c>
      <c r="G4" s="11">
        <v>39</v>
      </c>
      <c r="H4" s="11">
        <v>40</v>
      </c>
      <c r="I4" s="11">
        <v>41</v>
      </c>
      <c r="J4" s="11">
        <v>47</v>
      </c>
      <c r="R4" s="11">
        <f>+F4</f>
        <v>37</v>
      </c>
      <c r="S4" s="11">
        <f>+J4</f>
        <v>47</v>
      </c>
      <c r="T4" s="11">
        <f>+S4+10</f>
        <v>57</v>
      </c>
      <c r="U4" s="11">
        <v>77</v>
      </c>
      <c r="V4" s="11">
        <f t="shared" ref="V4:AB4" si="15">+U4+3</f>
        <v>80</v>
      </c>
      <c r="W4" s="11">
        <f t="shared" si="15"/>
        <v>83</v>
      </c>
      <c r="X4" s="11">
        <f t="shared" si="15"/>
        <v>86</v>
      </c>
      <c r="Y4" s="11">
        <f t="shared" si="15"/>
        <v>89</v>
      </c>
      <c r="Z4" s="11">
        <f t="shared" si="15"/>
        <v>92</v>
      </c>
      <c r="AA4" s="11">
        <f t="shared" si="15"/>
        <v>95</v>
      </c>
      <c r="AB4" s="11">
        <f t="shared" si="15"/>
        <v>98</v>
      </c>
    </row>
    <row r="5" spans="2:228" s="11" customFormat="1">
      <c r="B5" s="11" t="s">
        <v>80</v>
      </c>
      <c r="C5" s="11">
        <v>27</v>
      </c>
      <c r="D5" s="11">
        <v>28</v>
      </c>
      <c r="E5" s="11">
        <v>28</v>
      </c>
      <c r="F5" s="11">
        <v>29</v>
      </c>
      <c r="G5" s="11">
        <v>31</v>
      </c>
      <c r="H5" s="11">
        <v>33</v>
      </c>
      <c r="I5" s="11">
        <v>33</v>
      </c>
      <c r="K5" s="11">
        <f>+J4-F4</f>
        <v>10</v>
      </c>
    </row>
    <row r="6" spans="2:228" s="11" customFormat="1">
      <c r="B6" s="11" t="s">
        <v>79</v>
      </c>
      <c r="C6" s="11">
        <f>+C4-C5</f>
        <v>4</v>
      </c>
      <c r="D6" s="11">
        <f>+D4-D5</f>
        <v>6</v>
      </c>
      <c r="E6" s="11">
        <f>+E4-E5</f>
        <v>6</v>
      </c>
      <c r="F6" s="11">
        <f>+F4-F5</f>
        <v>8</v>
      </c>
      <c r="G6" s="11">
        <f>+G4-G5</f>
        <v>8</v>
      </c>
      <c r="H6" s="11">
        <f>+H4-H5</f>
        <v>7</v>
      </c>
      <c r="I6" s="11">
        <f>+I4-I5</f>
        <v>8</v>
      </c>
    </row>
    <row r="7" spans="2:228">
      <c r="B7" s="1" t="s">
        <v>68</v>
      </c>
      <c r="C7" s="1">
        <f>+C11/C4</f>
        <v>1414.9032258064517</v>
      </c>
      <c r="D7" s="1">
        <f>+D11/D4</f>
        <v>1366.8529411764705</v>
      </c>
      <c r="E7" s="1">
        <f>+E11/E4</f>
        <v>1340.1176470588234</v>
      </c>
      <c r="F7" s="1">
        <f>+F11/F4</f>
        <v>1219.1351351351352</v>
      </c>
      <c r="G7" s="1">
        <f>+G11/G4</f>
        <v>1301.5384615384614</v>
      </c>
      <c r="H7" s="1">
        <f>+H11/H4</f>
        <v>1346.5</v>
      </c>
      <c r="I7" s="1">
        <f>+I11/I4</f>
        <v>1197.6829268292684</v>
      </c>
      <c r="J7" s="1">
        <f>+F7*0.85</f>
        <v>1036.2648648648649</v>
      </c>
      <c r="R7" s="1">
        <f>+R11/R4</f>
        <v>4892.0810810810808</v>
      </c>
      <c r="S7" s="1">
        <f>+S11/S4</f>
        <v>4307.0095457159287</v>
      </c>
      <c r="T7" s="1">
        <f>+S7*0.95</f>
        <v>4091.6590684301318</v>
      </c>
      <c r="U7" s="1">
        <f>+T7*0.9</f>
        <v>3682.4931615871187</v>
      </c>
      <c r="V7" s="1">
        <f t="shared" ref="U7:AB7" si="16">+U7*0.95</f>
        <v>3498.3685035077624</v>
      </c>
      <c r="W7" s="1">
        <f t="shared" si="16"/>
        <v>3323.4500783323742</v>
      </c>
      <c r="X7" s="1">
        <f t="shared" si="16"/>
        <v>3157.2775744157552</v>
      </c>
      <c r="Y7" s="1">
        <f t="shared" si="16"/>
        <v>2999.4136956949674</v>
      </c>
      <c r="Z7" s="1">
        <f t="shared" si="16"/>
        <v>2849.4430109102191</v>
      </c>
      <c r="AA7" s="1">
        <f t="shared" si="16"/>
        <v>2706.9708603647082</v>
      </c>
      <c r="AB7" s="1">
        <f t="shared" si="16"/>
        <v>2571.6223173464728</v>
      </c>
    </row>
    <row r="8" spans="2:228" s="19" customFormat="1">
      <c r="S8" s="19">
        <f>+S7/R7-1</f>
        <v>-0.11959563336506673</v>
      </c>
    </row>
    <row r="9" spans="2:228" s="9" customFormat="1"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2:228" s="15" customFormat="1">
      <c r="B10" s="15" t="s">
        <v>66</v>
      </c>
      <c r="C10" s="15">
        <v>3.9E-2</v>
      </c>
      <c r="D10" s="15">
        <v>1.4E-2</v>
      </c>
      <c r="E10" s="15">
        <v>-1.2E-2</v>
      </c>
      <c r="F10" s="15">
        <v>6.0000000000000001E-3</v>
      </c>
      <c r="G10" s="15">
        <v>-1.7999999999999999E-2</v>
      </c>
      <c r="H10" s="15">
        <v>-5.6000000000000001E-2</v>
      </c>
      <c r="I10" s="15">
        <v>-9.6000000000000002E-2</v>
      </c>
    </row>
    <row r="11" spans="2:228">
      <c r="B11" s="1" t="s">
        <v>27</v>
      </c>
      <c r="C11" s="1">
        <v>43862</v>
      </c>
      <c r="D11" s="1">
        <v>46473</v>
      </c>
      <c r="E11" s="1">
        <v>45564</v>
      </c>
      <c r="F11" s="1">
        <f>+R11-SUM(C11:E11)</f>
        <v>45108</v>
      </c>
      <c r="G11" s="1">
        <v>50760</v>
      </c>
      <c r="H11" s="1">
        <v>53860</v>
      </c>
      <c r="I11" s="1">
        <v>49105</v>
      </c>
      <c r="J11" s="1">
        <f>+J7*J4</f>
        <v>48704.448648648649</v>
      </c>
      <c r="Q11" s="1">
        <v>163729</v>
      </c>
      <c r="R11" s="1">
        <v>181007</v>
      </c>
      <c r="S11" s="1">
        <f>SUM(G11:J11)</f>
        <v>202429.44864864866</v>
      </c>
      <c r="T11" s="1">
        <f>+T7*T4</f>
        <v>233224.5669005175</v>
      </c>
      <c r="U11" s="1">
        <f t="shared" ref="U11:AB11" si="17">+U7*U4</f>
        <v>283551.97344220814</v>
      </c>
      <c r="V11" s="1">
        <f t="shared" si="17"/>
        <v>279869.48028062098</v>
      </c>
      <c r="W11" s="1">
        <f t="shared" si="17"/>
        <v>275846.35650158708</v>
      </c>
      <c r="X11" s="1">
        <f t="shared" si="17"/>
        <v>271525.87139975495</v>
      </c>
      <c r="Y11" s="1">
        <f t="shared" si="17"/>
        <v>266947.81891685212</v>
      </c>
      <c r="Z11" s="1">
        <f t="shared" si="17"/>
        <v>262148.75700374017</v>
      </c>
      <c r="AA11" s="1">
        <f t="shared" si="17"/>
        <v>257162.23173464727</v>
      </c>
      <c r="AB11" s="1">
        <f t="shared" si="17"/>
        <v>252018.98709995433</v>
      </c>
    </row>
    <row r="12" spans="2:228">
      <c r="B12" s="1" t="s">
        <v>28</v>
      </c>
      <c r="C12" s="1">
        <v>14305</v>
      </c>
      <c r="D12" s="1">
        <v>14786</v>
      </c>
      <c r="E12" s="1">
        <v>14523</v>
      </c>
      <c r="F12" s="1">
        <f t="shared" ref="F12:F25" si="18">+R12-SUM(C12:E12)</f>
        <v>14708</v>
      </c>
      <c r="G12" s="1">
        <v>16968</v>
      </c>
      <c r="H12" s="1">
        <v>17700</v>
      </c>
      <c r="I12" s="1">
        <v>15442</v>
      </c>
      <c r="J12" s="1">
        <f>+J$11*(I12/I$11)</f>
        <v>15316.039019090365</v>
      </c>
      <c r="Q12" s="1">
        <v>54357</v>
      </c>
      <c r="R12" s="1">
        <v>58322</v>
      </c>
      <c r="S12" s="1">
        <f t="shared" ref="S12:S25" si="19">SUM(G12:J12)</f>
        <v>65426.039019090364</v>
      </c>
      <c r="T12" s="1">
        <f>+T$11*(S12/S$11)</f>
        <v>75379.149210292395</v>
      </c>
      <c r="U12" s="1">
        <f t="shared" ref="U12:AB12" si="20">+U$11*(T12/T$11)</f>
        <v>91645.176145144971</v>
      </c>
      <c r="V12" s="1">
        <f t="shared" si="20"/>
        <v>90454.979052350871</v>
      </c>
      <c r="W12" s="1">
        <f t="shared" si="20"/>
        <v>89154.688728473338</v>
      </c>
      <c r="X12" s="1">
        <f t="shared" si="20"/>
        <v>87758.289989352648</v>
      </c>
      <c r="Y12" s="1">
        <f t="shared" si="20"/>
        <v>86278.644402322869</v>
      </c>
      <c r="Z12" s="1">
        <f t="shared" si="20"/>
        <v>84727.567649022691</v>
      </c>
      <c r="AA12" s="1">
        <f t="shared" si="20"/>
        <v>83115.9019600467</v>
      </c>
      <c r="AB12" s="1">
        <f t="shared" si="20"/>
        <v>81453.583920845776</v>
      </c>
    </row>
    <row r="13" spans="2:228">
      <c r="B13" s="1" t="s">
        <v>29</v>
      </c>
      <c r="C13" s="1">
        <v>13652</v>
      </c>
      <c r="D13" s="1">
        <v>14323</v>
      </c>
      <c r="E13" s="1">
        <v>14444</v>
      </c>
      <c r="F13" s="1">
        <f t="shared" si="18"/>
        <v>14470</v>
      </c>
      <c r="G13" s="1">
        <v>16152</v>
      </c>
      <c r="H13" s="1">
        <v>16362</v>
      </c>
      <c r="I13" s="1">
        <v>14977</v>
      </c>
      <c r="J13" s="1">
        <f>+J$11*(I13/I$11)</f>
        <v>14854.832041763788</v>
      </c>
      <c r="Q13" s="1">
        <v>48866</v>
      </c>
      <c r="R13" s="1">
        <v>56889</v>
      </c>
      <c r="S13" s="1">
        <f t="shared" si="19"/>
        <v>62345.832041763788</v>
      </c>
      <c r="T13" s="1">
        <f>+T$11*(S13/S$11)</f>
        <v>71830.35755450018</v>
      </c>
      <c r="U13" s="1">
        <f t="shared" ref="U13:AB13" si="21">+U$11*(T13/T$11)</f>
        <v>87330.592605734448</v>
      </c>
      <c r="V13" s="1">
        <f t="shared" si="21"/>
        <v>86196.429065400211</v>
      </c>
      <c r="W13" s="1">
        <f t="shared" si="21"/>
        <v>84957.355397585095</v>
      </c>
      <c r="X13" s="1">
        <f t="shared" si="21"/>
        <v>83626.698023887962</v>
      </c>
      <c r="Y13" s="1">
        <f t="shared" si="21"/>
        <v>82216.7129990666</v>
      </c>
      <c r="Z13" s="1">
        <f t="shared" si="21"/>
        <v>80738.659731667649</v>
      </c>
      <c r="AA13" s="1">
        <f t="shared" si="21"/>
        <v>79202.87000851093</v>
      </c>
      <c r="AB13" s="1">
        <f t="shared" si="21"/>
        <v>77618.812608340711</v>
      </c>
    </row>
    <row r="14" spans="2:228">
      <c r="B14" s="1" t="s">
        <v>30</v>
      </c>
      <c r="C14" s="1">
        <v>3432</v>
      </c>
      <c r="D14" s="1">
        <v>3673</v>
      </c>
      <c r="E14" s="1">
        <v>3772</v>
      </c>
      <c r="F14" s="1">
        <f t="shared" si="18"/>
        <v>3776</v>
      </c>
      <c r="G14" s="1">
        <v>4293</v>
      </c>
      <c r="H14" s="1">
        <v>4389</v>
      </c>
      <c r="I14" s="1">
        <v>4116</v>
      </c>
      <c r="J14" s="1">
        <f>+J$11*(I14/I$11)</f>
        <v>4082.4256315617117</v>
      </c>
      <c r="Q14" s="1">
        <v>12110</v>
      </c>
      <c r="R14" s="1">
        <v>14653</v>
      </c>
      <c r="S14" s="1">
        <f t="shared" si="19"/>
        <v>16880.425631561713</v>
      </c>
      <c r="T14" s="1">
        <f>+T$11*(S14/S$11)</f>
        <v>19448.405275512057</v>
      </c>
      <c r="U14" s="1">
        <f t="shared" ref="U14:AB14" si="22">+U$11*(T14/T$11)</f>
        <v>23645.166413912026</v>
      </c>
      <c r="V14" s="1">
        <f t="shared" si="22"/>
        <v>23338.086330614464</v>
      </c>
      <c r="W14" s="1">
        <f t="shared" si="22"/>
        <v>23002.601339611883</v>
      </c>
      <c r="X14" s="1">
        <f t="shared" si="22"/>
        <v>22642.31963188302</v>
      </c>
      <c r="Y14" s="1">
        <f t="shared" si="22"/>
        <v>22260.559591578018</v>
      </c>
      <c r="Z14" s="1">
        <f t="shared" si="22"/>
        <v>21860.369756223805</v>
      </c>
      <c r="AA14" s="1">
        <f t="shared" si="22"/>
        <v>21444.547505426068</v>
      </c>
      <c r="AB14" s="1">
        <f t="shared" si="22"/>
        <v>21015.65655531755</v>
      </c>
    </row>
    <row r="15" spans="2:228">
      <c r="B15" s="1" t="s">
        <v>31</v>
      </c>
      <c r="C15" s="1">
        <v>4126</v>
      </c>
      <c r="D15" s="1">
        <v>4299</v>
      </c>
      <c r="E15" s="1">
        <v>4582</v>
      </c>
      <c r="F15" s="1">
        <f t="shared" si="18"/>
        <v>5036</v>
      </c>
      <c r="G15" s="1">
        <v>5098</v>
      </c>
      <c r="H15" s="1">
        <v>5358</v>
      </c>
      <c r="I15" s="1">
        <v>5728</v>
      </c>
      <c r="J15" s="1">
        <f>+J$11*(I15/I$11)</f>
        <v>5681.2764862938493</v>
      </c>
      <c r="Q15" s="1">
        <v>15019</v>
      </c>
      <c r="R15" s="1">
        <v>18043</v>
      </c>
      <c r="S15" s="1">
        <f t="shared" si="19"/>
        <v>21865.276486293849</v>
      </c>
      <c r="T15" s="1">
        <f>+T$11*(S15/S$11)</f>
        <v>25191.589824102375</v>
      </c>
      <c r="U15" s="1">
        <f t="shared" ref="U15:AB15" si="23">+U$11*(T15/T$11)</f>
        <v>30627.669733513943</v>
      </c>
      <c r="V15" s="1">
        <f t="shared" si="23"/>
        <v>30229.90778892285</v>
      </c>
      <c r="W15" s="1">
        <f t="shared" si="23"/>
        <v>29795.352864457087</v>
      </c>
      <c r="X15" s="1">
        <f t="shared" si="23"/>
        <v>29328.678662965583</v>
      </c>
      <c r="Y15" s="1">
        <f t="shared" si="23"/>
        <v>28834.183499462099</v>
      </c>
      <c r="Z15" s="1">
        <f t="shared" si="23"/>
        <v>28315.816155651544</v>
      </c>
      <c r="AA15" s="1">
        <f t="shared" si="23"/>
        <v>27777.200087473386</v>
      </c>
      <c r="AB15" s="1">
        <f t="shared" si="23"/>
        <v>27221.65608572392</v>
      </c>
    </row>
    <row r="16" spans="2:228">
      <c r="B16" s="1" t="s">
        <v>32</v>
      </c>
      <c r="C16" s="1">
        <v>113</v>
      </c>
      <c r="D16" s="1">
        <v>1131</v>
      </c>
      <c r="E16" s="1">
        <v>1232</v>
      </c>
      <c r="F16" s="1">
        <f t="shared" si="18"/>
        <v>2332</v>
      </c>
      <c r="G16" s="1">
        <v>1537</v>
      </c>
      <c r="H16" s="1">
        <v>1706</v>
      </c>
      <c r="I16" s="1">
        <v>1695</v>
      </c>
      <c r="J16" s="1">
        <f>+J$11*(I16/I$11)</f>
        <v>1681.1738205775271</v>
      </c>
      <c r="R16" s="1">
        <v>4808</v>
      </c>
      <c r="S16" s="1">
        <f t="shared" si="19"/>
        <v>6619.1738205775273</v>
      </c>
      <c r="T16" s="1">
        <f>+T$11*(S16/S$11)</f>
        <v>7626.1332422185742</v>
      </c>
      <c r="U16" s="1">
        <f t="shared" ref="U16:AB16" si="24">+U$11*(T16/T$11)</f>
        <v>9271.772520802584</v>
      </c>
      <c r="V16" s="1">
        <f t="shared" si="24"/>
        <v>9151.3598906622883</v>
      </c>
      <c r="W16" s="1">
        <f t="shared" si="24"/>
        <v>9019.8090922340198</v>
      </c>
      <c r="X16" s="1">
        <f t="shared" si="24"/>
        <v>8878.5349739219182</v>
      </c>
      <c r="Y16" s="1">
        <f t="shared" si="24"/>
        <v>8728.8387447104451</v>
      </c>
      <c r="Z16" s="1">
        <f t="shared" si="24"/>
        <v>8571.9158009853127</v>
      </c>
      <c r="AA16" s="1">
        <f t="shared" si="24"/>
        <v>8408.8630547709181</v>
      </c>
      <c r="AB16" s="1">
        <f t="shared" si="24"/>
        <v>8240.6857936755005</v>
      </c>
    </row>
    <row r="17" spans="2:228">
      <c r="B17" s="1" t="s">
        <v>33</v>
      </c>
      <c r="C17" s="1">
        <v>519</v>
      </c>
      <c r="D17" s="1">
        <v>881</v>
      </c>
      <c r="E17" s="1">
        <v>723</v>
      </c>
      <c r="F17" s="1">
        <f t="shared" si="18"/>
        <v>1557</v>
      </c>
      <c r="G17" s="1">
        <v>1901</v>
      </c>
      <c r="H17" s="1">
        <v>1645</v>
      </c>
      <c r="I17" s="1">
        <v>1807</v>
      </c>
      <c r="J17" s="1">
        <f>+J$11*(I17/I$11)</f>
        <v>1792.2602323207029</v>
      </c>
      <c r="R17" s="1">
        <v>3680</v>
      </c>
      <c r="S17" s="1">
        <f t="shared" si="19"/>
        <v>7145.2602323207029</v>
      </c>
      <c r="T17" s="1">
        <f>+T$11*(S17/S$11)</f>
        <v>8232.2519485141693</v>
      </c>
      <c r="U17" s="1">
        <f t="shared" ref="U17:AB17" si="25">+U$11*(T17/T$11)</f>
        <v>10008.685263719861</v>
      </c>
      <c r="V17" s="1">
        <f t="shared" si="25"/>
        <v>9878.7023382170028</v>
      </c>
      <c r="W17" s="1">
        <f t="shared" si="25"/>
        <v>9736.6959921051348</v>
      </c>
      <c r="X17" s="1">
        <f t="shared" si="25"/>
        <v>9584.1935247589081</v>
      </c>
      <c r="Y17" s="1">
        <f t="shared" si="25"/>
        <v>9422.5995641670434</v>
      </c>
      <c r="Z17" s="1">
        <f t="shared" si="25"/>
        <v>9253.2045158224682</v>
      </c>
      <c r="AA17" s="1">
        <f t="shared" si="25"/>
        <v>9077.1924734019303</v>
      </c>
      <c r="AB17" s="1">
        <f t="shared" si="25"/>
        <v>8895.6486239338919</v>
      </c>
    </row>
    <row r="18" spans="2:228">
      <c r="B18" s="1" t="s">
        <v>34</v>
      </c>
      <c r="C18" s="1">
        <v>2055</v>
      </c>
      <c r="D18" s="1">
        <v>1958</v>
      </c>
      <c r="E18" s="1">
        <v>3802</v>
      </c>
      <c r="F18" s="1">
        <f t="shared" si="18"/>
        <v>5122</v>
      </c>
      <c r="G18" s="1">
        <v>4674</v>
      </c>
      <c r="H18" s="1">
        <v>5058</v>
      </c>
      <c r="I18" s="1">
        <v>5221</v>
      </c>
      <c r="J18" s="1">
        <v>3800</v>
      </c>
      <c r="R18" s="1">
        <v>12937</v>
      </c>
      <c r="S18" s="1">
        <f t="shared" si="19"/>
        <v>18753</v>
      </c>
      <c r="T18" s="1">
        <f>+T$11*(S18/S$11)</f>
        <v>21605.849999999995</v>
      </c>
      <c r="U18" s="1">
        <f t="shared" ref="U18:AB18" si="26">+U$11*(T18/T$11)</f>
        <v>26268.164999999997</v>
      </c>
      <c r="V18" s="1">
        <f t="shared" si="26"/>
        <v>25927.019999999993</v>
      </c>
      <c r="W18" s="1">
        <f t="shared" si="26"/>
        <v>25554.319087499996</v>
      </c>
      <c r="X18" s="1">
        <f t="shared" si="26"/>
        <v>25154.070716249993</v>
      </c>
      <c r="Y18" s="1">
        <f t="shared" si="26"/>
        <v>24729.961384406244</v>
      </c>
      <c r="Z18" s="1">
        <f t="shared" si="26"/>
        <v>24285.377808956244</v>
      </c>
      <c r="AA18" s="1">
        <f t="shared" si="26"/>
        <v>23823.427687590225</v>
      </c>
      <c r="AB18" s="1">
        <f t="shared" si="26"/>
        <v>23346.959133838423</v>
      </c>
    </row>
    <row r="19" spans="2:228">
      <c r="B19" s="1" t="s">
        <v>35</v>
      </c>
      <c r="C19" s="1">
        <f>+C11-SUM(C12:C18)</f>
        <v>5660</v>
      </c>
      <c r="D19" s="1">
        <f>+D11-SUM(D12:D18)</f>
        <v>5422</v>
      </c>
      <c r="E19" s="1">
        <f>+E11-SUM(E12:E18)</f>
        <v>2486</v>
      </c>
      <c r="F19" s="1">
        <f t="shared" si="18"/>
        <v>-1893</v>
      </c>
      <c r="G19" s="1">
        <f>+G11-SUM(G12:G18)</f>
        <v>137</v>
      </c>
      <c r="H19" s="1">
        <f>+H11-SUM(H12:H18)</f>
        <v>1642</v>
      </c>
      <c r="I19" s="1">
        <f>+I11-SUM(I12:I18)</f>
        <v>119</v>
      </c>
      <c r="J19" s="1">
        <f>+J11-SUM(J12:J18)</f>
        <v>1496.4414170407108</v>
      </c>
      <c r="R19" s="1">
        <f>+R11-SUM(R12:R18)</f>
        <v>11675</v>
      </c>
      <c r="S19" s="1">
        <f t="shared" si="19"/>
        <v>3394.4414170407108</v>
      </c>
      <c r="T19" s="1">
        <f>+T11-SUM(T12:T18)</f>
        <v>3910.8298453777388</v>
      </c>
      <c r="U19" s="1">
        <f t="shared" ref="U19:AB19" si="27">+U11-SUM(U12:U18)</f>
        <v>4754.745759380341</v>
      </c>
      <c r="V19" s="1">
        <f t="shared" si="27"/>
        <v>4692.9958144533448</v>
      </c>
      <c r="W19" s="1">
        <f t="shared" si="27"/>
        <v>4625.5339996204711</v>
      </c>
      <c r="X19" s="1">
        <f t="shared" si="27"/>
        <v>4553.0858767348691</v>
      </c>
      <c r="Y19" s="1">
        <f t="shared" si="27"/>
        <v>4476.3187311388319</v>
      </c>
      <c r="Z19" s="1">
        <f t="shared" si="27"/>
        <v>4395.845585410425</v>
      </c>
      <c r="AA19" s="1">
        <f t="shared" si="27"/>
        <v>4312.2289574271417</v>
      </c>
      <c r="AB19" s="1">
        <f t="shared" si="27"/>
        <v>4225.9843782785465</v>
      </c>
    </row>
    <row r="20" spans="2:228">
      <c r="B20" s="1" t="s">
        <v>36</v>
      </c>
      <c r="C20" s="1">
        <v>-189</v>
      </c>
      <c r="D20" s="1">
        <v>-207</v>
      </c>
      <c r="E20" s="1">
        <v>190</v>
      </c>
      <c r="F20" s="1">
        <f t="shared" si="18"/>
        <v>468</v>
      </c>
      <c r="G20" s="1">
        <f>276-17</f>
        <v>259</v>
      </c>
      <c r="H20" s="1">
        <v>262</v>
      </c>
      <c r="I20" s="1">
        <v>196</v>
      </c>
      <c r="J20" s="1">
        <f>+J19*(I20/I19)</f>
        <v>2464.7270398317587</v>
      </c>
      <c r="R20" s="1">
        <v>262</v>
      </c>
      <c r="S20" s="1">
        <f t="shared" si="19"/>
        <v>3181.7270398317587</v>
      </c>
      <c r="T20" s="1">
        <f>+T19*(S20/S19)</f>
        <v>3665.7557278061495</v>
      </c>
      <c r="U20" s="1">
        <f t="shared" ref="U20:AB20" si="28">+U19*(T20/T19)</f>
        <v>4456.787226964354</v>
      </c>
      <c r="V20" s="1">
        <f t="shared" si="28"/>
        <v>4398.9068733674339</v>
      </c>
      <c r="W20" s="1">
        <f t="shared" si="28"/>
        <v>4335.6725870626769</v>
      </c>
      <c r="X20" s="1">
        <f t="shared" si="28"/>
        <v>4267.7644622050875</v>
      </c>
      <c r="Y20" s="1">
        <f t="shared" si="28"/>
        <v>4195.8079683656524</v>
      </c>
      <c r="Z20" s="1">
        <f t="shared" si="28"/>
        <v>4120.3777127545209</v>
      </c>
      <c r="AA20" s="1">
        <f t="shared" si="28"/>
        <v>4042.0009627837098</v>
      </c>
      <c r="AB20" s="1">
        <f t="shared" si="28"/>
        <v>3961.1609435279865</v>
      </c>
    </row>
    <row r="21" spans="2:228">
      <c r="B21" s="1" t="s">
        <v>37</v>
      </c>
      <c r="C21" s="1">
        <f>+SUM(C19:C20)</f>
        <v>5471</v>
      </c>
      <c r="D21" s="1">
        <f>+SUM(D19:D20)</f>
        <v>5215</v>
      </c>
      <c r="E21" s="1">
        <f>+SUM(E19:E20)</f>
        <v>2676</v>
      </c>
      <c r="F21" s="1">
        <f t="shared" si="18"/>
        <v>-1425</v>
      </c>
      <c r="G21" s="1">
        <f>+SUM(G19:G20)</f>
        <v>396</v>
      </c>
      <c r="H21" s="1">
        <f>+SUM(H19:H20)</f>
        <v>1904</v>
      </c>
      <c r="I21" s="1">
        <f>+SUM(I19:I20)</f>
        <v>315</v>
      </c>
      <c r="J21" s="1">
        <f>+SUM(J19:J20)</f>
        <v>3961.1684568724695</v>
      </c>
      <c r="R21" s="1">
        <f>+SUM(R19:R20)</f>
        <v>11937</v>
      </c>
      <c r="S21" s="1">
        <f t="shared" si="19"/>
        <v>6576.1684568724695</v>
      </c>
      <c r="T21" s="1">
        <f>+SUM(T19:T20)</f>
        <v>7576.5855731838883</v>
      </c>
      <c r="U21" s="1">
        <f t="shared" ref="U21:AB21" si="29">+SUM(U19:U20)</f>
        <v>9211.532986344695</v>
      </c>
      <c r="V21" s="1">
        <f t="shared" si="29"/>
        <v>9091.9026878207787</v>
      </c>
      <c r="W21" s="1">
        <f t="shared" si="29"/>
        <v>8961.2065866831472</v>
      </c>
      <c r="X21" s="1">
        <f t="shared" si="29"/>
        <v>8820.8503389399557</v>
      </c>
      <c r="Y21" s="1">
        <f t="shared" si="29"/>
        <v>8672.1266995044843</v>
      </c>
      <c r="Z21" s="1">
        <f t="shared" si="29"/>
        <v>8516.2232981649468</v>
      </c>
      <c r="AA21" s="1">
        <f t="shared" si="29"/>
        <v>8354.2299202108516</v>
      </c>
      <c r="AB21" s="1">
        <f t="shared" si="29"/>
        <v>8187.1453218065326</v>
      </c>
    </row>
    <row r="22" spans="2:228">
      <c r="B22" s="1" t="s">
        <v>38</v>
      </c>
      <c r="C22" s="1">
        <v>0</v>
      </c>
      <c r="D22" s="1">
        <v>-96</v>
      </c>
      <c r="E22" s="1">
        <v>-74</v>
      </c>
      <c r="F22" s="1">
        <f t="shared" si="18"/>
        <v>159</v>
      </c>
      <c r="G22" s="1">
        <v>-71</v>
      </c>
      <c r="H22" s="1">
        <v>-11</v>
      </c>
      <c r="I22" s="1">
        <v>-115</v>
      </c>
      <c r="J22" s="1">
        <f>+J21*(I22/I21)</f>
        <v>-1446.1408652074094</v>
      </c>
      <c r="R22" s="1">
        <v>-11</v>
      </c>
      <c r="S22" s="1">
        <f t="shared" si="19"/>
        <v>-1643.1408652074094</v>
      </c>
      <c r="T22" s="1">
        <f>+T21*(S22/S21)</f>
        <v>-1893.1080393825714</v>
      </c>
      <c r="U22" s="1">
        <f t="shared" ref="U22:AB22" si="30">+U21*(T22/T21)</f>
        <v>-2301.6208268283021</v>
      </c>
      <c r="V22" s="1">
        <f t="shared" si="30"/>
        <v>-2271.7296472591138</v>
      </c>
      <c r="W22" s="1">
        <f t="shared" si="30"/>
        <v>-2239.0735335797121</v>
      </c>
      <c r="X22" s="1">
        <f t="shared" si="30"/>
        <v>-2204.0037071501602</v>
      </c>
      <c r="Y22" s="1">
        <f t="shared" si="30"/>
        <v>-2166.843179529641</v>
      </c>
      <c r="Z22" s="1">
        <f t="shared" si="30"/>
        <v>-2127.8886954032328</v>
      </c>
      <c r="AA22" s="1">
        <f t="shared" si="30"/>
        <v>-2087.4125517407033</v>
      </c>
      <c r="AB22" s="1">
        <f t="shared" si="30"/>
        <v>-2045.6643007058638</v>
      </c>
    </row>
    <row r="23" spans="2:228">
      <c r="B23" s="1" t="s">
        <v>39</v>
      </c>
      <c r="C23" s="1">
        <f>+C21+C22</f>
        <v>5471</v>
      </c>
      <c r="D23" s="1">
        <f>+D21+D22</f>
        <v>5119</v>
      </c>
      <c r="E23" s="1">
        <f>+E21+E22</f>
        <v>2602</v>
      </c>
      <c r="F23" s="1">
        <f t="shared" si="18"/>
        <v>-1266</v>
      </c>
      <c r="G23" s="1">
        <f>+G21+G22</f>
        <v>325</v>
      </c>
      <c r="H23" s="1">
        <f>+H21+H22</f>
        <v>1893</v>
      </c>
      <c r="I23" s="1">
        <f>+I21+I22</f>
        <v>200</v>
      </c>
      <c r="J23" s="1">
        <f>+J21+J22</f>
        <v>2515.0275916650598</v>
      </c>
      <c r="R23" s="1">
        <f>+R21+R22</f>
        <v>11926</v>
      </c>
      <c r="S23" s="1">
        <f t="shared" si="19"/>
        <v>4933.0275916650598</v>
      </c>
      <c r="T23" s="1">
        <f>+T21+T22</f>
        <v>5683.4775338013169</v>
      </c>
      <c r="U23" s="1">
        <f t="shared" ref="U23:AB23" si="31">+U21+U22</f>
        <v>6909.9121595163924</v>
      </c>
      <c r="V23" s="1">
        <f t="shared" si="31"/>
        <v>6820.1730405616654</v>
      </c>
      <c r="W23" s="1">
        <f t="shared" si="31"/>
        <v>6722.1330531034346</v>
      </c>
      <c r="X23" s="1">
        <f t="shared" si="31"/>
        <v>6616.8466317897955</v>
      </c>
      <c r="Y23" s="1">
        <f t="shared" si="31"/>
        <v>6505.2835199748433</v>
      </c>
      <c r="Z23" s="1">
        <f t="shared" si="31"/>
        <v>6388.3346027617135</v>
      </c>
      <c r="AA23" s="1">
        <f t="shared" si="31"/>
        <v>6266.8173684701487</v>
      </c>
      <c r="AB23" s="1">
        <f t="shared" si="31"/>
        <v>6141.4810211006688</v>
      </c>
      <c r="AC23" s="1">
        <f>+AB23*(1+$AD$37)</f>
        <v>6080.0662108896622</v>
      </c>
      <c r="AD23" s="1">
        <f>+AC23*(1+$AD$37)</f>
        <v>6019.2655487807651</v>
      </c>
      <c r="AE23" s="1">
        <f t="shared" ref="AE23:CP23" si="32">+AD23*(1+$AD$37)</f>
        <v>5959.0728932929578</v>
      </c>
      <c r="AF23" s="1">
        <f t="shared" si="32"/>
        <v>5899.482164360028</v>
      </c>
      <c r="AG23" s="1">
        <f t="shared" si="32"/>
        <v>5840.4873427164275</v>
      </c>
      <c r="AH23" s="1">
        <f t="shared" si="32"/>
        <v>5782.0824692892629</v>
      </c>
      <c r="AI23" s="1">
        <f t="shared" si="32"/>
        <v>5724.2616445963704</v>
      </c>
      <c r="AJ23" s="1">
        <f t="shared" si="32"/>
        <v>5667.0190281504065</v>
      </c>
      <c r="AK23" s="1">
        <f t="shared" si="32"/>
        <v>5610.3488378689026</v>
      </c>
      <c r="AL23" s="1">
        <f t="shared" si="32"/>
        <v>5554.2453494902138</v>
      </c>
      <c r="AM23" s="1">
        <f t="shared" si="32"/>
        <v>5498.7028959953113</v>
      </c>
      <c r="AN23" s="1">
        <f t="shared" si="32"/>
        <v>5443.7158670353583</v>
      </c>
      <c r="AO23" s="1">
        <f t="shared" si="32"/>
        <v>5389.2787083650046</v>
      </c>
      <c r="AP23" s="1">
        <f t="shared" si="32"/>
        <v>5335.3859212813541</v>
      </c>
      <c r="AQ23" s="1">
        <f t="shared" si="32"/>
        <v>5282.0320620685407</v>
      </c>
      <c r="AR23" s="1">
        <f t="shared" si="32"/>
        <v>5229.2117414478553</v>
      </c>
      <c r="AS23" s="1">
        <f t="shared" si="32"/>
        <v>5176.9196240333767</v>
      </c>
      <c r="AT23" s="1">
        <f t="shared" si="32"/>
        <v>5125.1504277930426</v>
      </c>
      <c r="AU23" s="1">
        <f t="shared" si="32"/>
        <v>5073.8989235151121</v>
      </c>
      <c r="AV23" s="1">
        <f t="shared" si="32"/>
        <v>5023.1599342799609</v>
      </c>
      <c r="AW23" s="1">
        <f t="shared" si="32"/>
        <v>4972.9283349371617</v>
      </c>
      <c r="AX23" s="1">
        <f t="shared" si="32"/>
        <v>4923.1990515877897</v>
      </c>
      <c r="AY23" s="1">
        <f t="shared" si="32"/>
        <v>4873.9670610719113</v>
      </c>
      <c r="AZ23" s="1">
        <f t="shared" si="32"/>
        <v>4825.227390461192</v>
      </c>
      <c r="BA23" s="1">
        <f t="shared" si="32"/>
        <v>4776.9751165565804</v>
      </c>
      <c r="BB23" s="1">
        <f t="shared" si="32"/>
        <v>4729.2053653910143</v>
      </c>
      <c r="BC23" s="1">
        <f t="shared" si="32"/>
        <v>4681.9133117371039</v>
      </c>
      <c r="BD23" s="1">
        <f t="shared" si="32"/>
        <v>4635.0941786197327</v>
      </c>
      <c r="BE23" s="1">
        <f t="shared" si="32"/>
        <v>4588.7432368335358</v>
      </c>
      <c r="BF23" s="1">
        <f t="shared" si="32"/>
        <v>4542.8558044652</v>
      </c>
      <c r="BG23" s="1">
        <f t="shared" si="32"/>
        <v>4497.4272464205478</v>
      </c>
      <c r="BH23" s="1">
        <f t="shared" si="32"/>
        <v>4452.4529739563422</v>
      </c>
      <c r="BI23" s="1">
        <f t="shared" si="32"/>
        <v>4407.9284442167791</v>
      </c>
      <c r="BJ23" s="1">
        <f t="shared" si="32"/>
        <v>4363.8491597746115</v>
      </c>
      <c r="BK23" s="1">
        <f t="shared" si="32"/>
        <v>4320.2106681768655</v>
      </c>
      <c r="BL23" s="1">
        <f t="shared" si="32"/>
        <v>4277.0085614950967</v>
      </c>
      <c r="BM23" s="1">
        <f t="shared" si="32"/>
        <v>4234.2384758801454</v>
      </c>
      <c r="BN23" s="1">
        <f t="shared" si="32"/>
        <v>4191.8960911213435</v>
      </c>
      <c r="BO23" s="1">
        <f t="shared" si="32"/>
        <v>4149.9771302101299</v>
      </c>
      <c r="BP23" s="1">
        <f t="shared" si="32"/>
        <v>4108.4773589080287</v>
      </c>
      <c r="BQ23" s="1">
        <f t="shared" si="32"/>
        <v>4067.3925853189485</v>
      </c>
      <c r="BR23" s="1">
        <f t="shared" si="32"/>
        <v>4026.7186594657592</v>
      </c>
      <c r="BS23" s="1">
        <f t="shared" si="32"/>
        <v>3986.4514728711015</v>
      </c>
      <c r="BT23" s="1">
        <f t="shared" si="32"/>
        <v>3946.5869581423904</v>
      </c>
      <c r="BU23" s="1">
        <f t="shared" si="32"/>
        <v>3907.1210885609662</v>
      </c>
      <c r="BV23" s="1">
        <f t="shared" si="32"/>
        <v>3868.0498776753566</v>
      </c>
      <c r="BW23" s="1">
        <f t="shared" si="32"/>
        <v>3829.3693788986029</v>
      </c>
      <c r="BX23" s="1">
        <f t="shared" si="32"/>
        <v>3791.0756851096166</v>
      </c>
      <c r="BY23" s="1">
        <f t="shared" si="32"/>
        <v>3753.1649282585204</v>
      </c>
      <c r="BZ23" s="1">
        <f t="shared" si="32"/>
        <v>3715.6332789759354</v>
      </c>
      <c r="CA23" s="1">
        <f t="shared" si="32"/>
        <v>3678.4769461861761</v>
      </c>
      <c r="CB23" s="1">
        <f t="shared" si="32"/>
        <v>3641.6921767243143</v>
      </c>
      <c r="CC23" s="1">
        <f t="shared" si="32"/>
        <v>3605.275254957071</v>
      </c>
      <c r="CD23" s="1">
        <f t="shared" si="32"/>
        <v>3569.2225024075001</v>
      </c>
      <c r="CE23" s="1">
        <f t="shared" si="32"/>
        <v>3533.5302773834251</v>
      </c>
      <c r="CF23" s="1">
        <f t="shared" si="32"/>
        <v>3498.1949746095906</v>
      </c>
      <c r="CG23" s="1">
        <f t="shared" si="32"/>
        <v>3463.2130248634949</v>
      </c>
      <c r="CH23" s="1">
        <f t="shared" si="32"/>
        <v>3428.58089461486</v>
      </c>
      <c r="CI23" s="1">
        <f t="shared" si="32"/>
        <v>3394.2950856687112</v>
      </c>
      <c r="CJ23" s="1">
        <f t="shared" si="32"/>
        <v>3360.3521348120239</v>
      </c>
      <c r="CK23" s="1">
        <f t="shared" si="32"/>
        <v>3326.7486134639034</v>
      </c>
      <c r="CL23" s="1">
        <f t="shared" si="32"/>
        <v>3293.4811273292644</v>
      </c>
      <c r="CM23" s="1">
        <f t="shared" si="32"/>
        <v>3260.5463160559716</v>
      </c>
      <c r="CN23" s="1">
        <f t="shared" si="32"/>
        <v>3227.9408528954118</v>
      </c>
      <c r="CO23" s="1">
        <f t="shared" si="32"/>
        <v>3195.6614443664575</v>
      </c>
      <c r="CP23" s="1">
        <f t="shared" si="32"/>
        <v>3163.7048299227931</v>
      </c>
      <c r="CQ23" s="1">
        <f t="shared" ref="CQ23:FB23" si="33">+CP23*(1+$AD$37)</f>
        <v>3132.0677816235652</v>
      </c>
      <c r="CR23" s="1">
        <f t="shared" si="33"/>
        <v>3100.7471038073295</v>
      </c>
      <c r="CS23" s="1">
        <f t="shared" si="33"/>
        <v>3069.7396327692563</v>
      </c>
      <c r="CT23" s="1">
        <f t="shared" si="33"/>
        <v>3039.0422364415635</v>
      </c>
      <c r="CU23" s="1">
        <f t="shared" si="33"/>
        <v>3008.6518140771477</v>
      </c>
      <c r="CV23" s="1">
        <f t="shared" si="33"/>
        <v>2978.5652959363761</v>
      </c>
      <c r="CW23" s="1">
        <f t="shared" si="33"/>
        <v>2948.7796429770124</v>
      </c>
      <c r="CX23" s="1">
        <f t="shared" si="33"/>
        <v>2919.2918465472421</v>
      </c>
      <c r="CY23" s="1">
        <f t="shared" si="33"/>
        <v>2890.0989280817698</v>
      </c>
      <c r="CZ23" s="1">
        <f t="shared" si="33"/>
        <v>2861.1979388009522</v>
      </c>
      <c r="DA23" s="1">
        <f t="shared" si="33"/>
        <v>2832.5859594129429</v>
      </c>
      <c r="DB23" s="1">
        <f t="shared" si="33"/>
        <v>2804.2600998188136</v>
      </c>
      <c r="DC23" s="1">
        <f t="shared" si="33"/>
        <v>2776.2174988206257</v>
      </c>
      <c r="DD23" s="1">
        <f t="shared" si="33"/>
        <v>2748.4553238324193</v>
      </c>
      <c r="DE23" s="1">
        <f t="shared" si="33"/>
        <v>2720.970770594095</v>
      </c>
      <c r="DF23" s="1">
        <f t="shared" si="33"/>
        <v>2693.7610628881539</v>
      </c>
      <c r="DG23" s="1">
        <f t="shared" si="33"/>
        <v>2666.8234522592725</v>
      </c>
      <c r="DH23" s="1">
        <f t="shared" si="33"/>
        <v>2640.1552177366798</v>
      </c>
      <c r="DI23" s="1">
        <f t="shared" si="33"/>
        <v>2613.753665559313</v>
      </c>
      <c r="DJ23" s="1">
        <f t="shared" si="33"/>
        <v>2587.61612890372</v>
      </c>
      <c r="DK23" s="1">
        <f t="shared" si="33"/>
        <v>2561.7399676146829</v>
      </c>
      <c r="DL23" s="1">
        <f t="shared" si="33"/>
        <v>2536.1225679385361</v>
      </c>
      <c r="DM23" s="1">
        <f t="shared" si="33"/>
        <v>2510.7613422591508</v>
      </c>
      <c r="DN23" s="1">
        <f t="shared" si="33"/>
        <v>2485.6537288365594</v>
      </c>
      <c r="DO23" s="1">
        <f t="shared" si="33"/>
        <v>2460.797191548194</v>
      </c>
      <c r="DP23" s="1">
        <f t="shared" si="33"/>
        <v>2436.1892196327121</v>
      </c>
      <c r="DQ23" s="1">
        <f t="shared" si="33"/>
        <v>2411.8273274363851</v>
      </c>
      <c r="DR23" s="1">
        <f t="shared" si="33"/>
        <v>2387.7090541620214</v>
      </c>
      <c r="DS23" s="1">
        <f t="shared" si="33"/>
        <v>2363.831963620401</v>
      </c>
      <c r="DT23" s="1">
        <f t="shared" si="33"/>
        <v>2340.193643984197</v>
      </c>
      <c r="DU23" s="1">
        <f t="shared" si="33"/>
        <v>2316.7917075443552</v>
      </c>
      <c r="DV23" s="1">
        <f t="shared" si="33"/>
        <v>2293.6237904689115</v>
      </c>
      <c r="DW23" s="1">
        <f t="shared" si="33"/>
        <v>2270.6875525642222</v>
      </c>
      <c r="DX23" s="1">
        <f t="shared" si="33"/>
        <v>2247.9806770385799</v>
      </c>
      <c r="DY23" s="1">
        <f t="shared" si="33"/>
        <v>2225.5008702681939</v>
      </c>
      <c r="DZ23" s="1">
        <f t="shared" si="33"/>
        <v>2203.2458615655119</v>
      </c>
      <c r="EA23" s="1">
        <f t="shared" si="33"/>
        <v>2181.2134029498566</v>
      </c>
      <c r="EB23" s="1">
        <f t="shared" si="33"/>
        <v>2159.4012689203578</v>
      </c>
      <c r="EC23" s="1">
        <f t="shared" si="33"/>
        <v>2137.807256231154</v>
      </c>
      <c r="ED23" s="1">
        <f t="shared" si="33"/>
        <v>2116.4291836688426</v>
      </c>
      <c r="EE23" s="1">
        <f t="shared" si="33"/>
        <v>2095.2648918321543</v>
      </c>
      <c r="EF23" s="1">
        <f t="shared" si="33"/>
        <v>2074.3122429138325</v>
      </c>
      <c r="EG23" s="1">
        <f t="shared" si="33"/>
        <v>2053.5691204846939</v>
      </c>
      <c r="EH23" s="1">
        <f t="shared" si="33"/>
        <v>2033.033429279847</v>
      </c>
      <c r="EI23" s="1">
        <f t="shared" si="33"/>
        <v>2012.7030949870486</v>
      </c>
      <c r="EJ23" s="1">
        <f t="shared" si="33"/>
        <v>1992.5760640371782</v>
      </c>
      <c r="EK23" s="1">
        <f t="shared" si="33"/>
        <v>1972.6503033968063</v>
      </c>
      <c r="EL23" s="1">
        <f t="shared" si="33"/>
        <v>1952.9238003628382</v>
      </c>
      <c r="EM23" s="1">
        <f t="shared" si="33"/>
        <v>1933.3945623592097</v>
      </c>
      <c r="EN23" s="1">
        <f t="shared" si="33"/>
        <v>1914.0606167356175</v>
      </c>
      <c r="EO23" s="1">
        <f t="shared" si="33"/>
        <v>1894.9200105682612</v>
      </c>
      <c r="EP23" s="1">
        <f t="shared" si="33"/>
        <v>1875.9708104625786</v>
      </c>
      <c r="EQ23" s="1">
        <f t="shared" si="33"/>
        <v>1857.2111023579528</v>
      </c>
      <c r="ER23" s="1">
        <f t="shared" si="33"/>
        <v>1838.6389913343733</v>
      </c>
      <c r="ES23" s="1">
        <f t="shared" si="33"/>
        <v>1820.2526014210296</v>
      </c>
      <c r="ET23" s="1">
        <f t="shared" si="33"/>
        <v>1802.0500754068194</v>
      </c>
      <c r="EU23" s="1">
        <f t="shared" si="33"/>
        <v>1784.0295746527511</v>
      </c>
      <c r="EV23" s="1">
        <f t="shared" si="33"/>
        <v>1766.1892789062235</v>
      </c>
      <c r="EW23" s="1">
        <f t="shared" si="33"/>
        <v>1748.5273861171613</v>
      </c>
      <c r="EX23" s="1">
        <f t="shared" si="33"/>
        <v>1731.0421122559897</v>
      </c>
      <c r="EY23" s="1">
        <f t="shared" si="33"/>
        <v>1713.7316911334296</v>
      </c>
      <c r="EZ23" s="1">
        <f t="shared" si="33"/>
        <v>1696.5943742220954</v>
      </c>
      <c r="FA23" s="1">
        <f t="shared" si="33"/>
        <v>1679.6284304798744</v>
      </c>
      <c r="FB23" s="1">
        <f t="shared" si="33"/>
        <v>1662.8321461750756</v>
      </c>
      <c r="FC23" s="1">
        <f t="shared" ref="FC23:GV23" si="34">+FB23*(1+$AD$37)</f>
        <v>1646.2038247133248</v>
      </c>
      <c r="FD23" s="1">
        <f t="shared" si="34"/>
        <v>1629.7417864661916</v>
      </c>
      <c r="FE23" s="1">
        <f t="shared" si="34"/>
        <v>1613.4443686015297</v>
      </c>
      <c r="FF23" s="1">
        <f t="shared" si="34"/>
        <v>1597.3099249155143</v>
      </c>
      <c r="FG23" s="1">
        <f t="shared" si="34"/>
        <v>1581.3368256663591</v>
      </c>
      <c r="FH23" s="1">
        <f t="shared" si="34"/>
        <v>1565.5234574096955</v>
      </c>
      <c r="FI23" s="1">
        <f t="shared" si="34"/>
        <v>1549.8682228355985</v>
      </c>
      <c r="FJ23" s="1">
        <f t="shared" si="34"/>
        <v>1534.3695406072425</v>
      </c>
      <c r="FK23" s="1">
        <f t="shared" si="34"/>
        <v>1519.0258452011701</v>
      </c>
      <c r="FL23" s="1">
        <f t="shared" si="34"/>
        <v>1503.8355867491584</v>
      </c>
      <c r="FM23" s="1">
        <f t="shared" si="34"/>
        <v>1488.7972308816668</v>
      </c>
      <c r="FN23" s="1">
        <f t="shared" si="34"/>
        <v>1473.9092585728501</v>
      </c>
      <c r="FO23" s="1">
        <f t="shared" si="34"/>
        <v>1459.1701659871217</v>
      </c>
      <c r="FP23" s="1">
        <f t="shared" si="34"/>
        <v>1444.5784643272505</v>
      </c>
      <c r="FQ23" s="1">
        <f t="shared" si="34"/>
        <v>1430.132679683978</v>
      </c>
      <c r="FR23" s="1">
        <f t="shared" si="34"/>
        <v>1415.8313528871383</v>
      </c>
      <c r="FS23" s="1">
        <f t="shared" si="34"/>
        <v>1401.673039358267</v>
      </c>
      <c r="FT23" s="1">
        <f t="shared" si="34"/>
        <v>1387.6563089646843</v>
      </c>
      <c r="FU23" s="1">
        <f t="shared" si="34"/>
        <v>1373.7797458750374</v>
      </c>
      <c r="FV23" s="1">
        <f t="shared" si="34"/>
        <v>1360.0419484162869</v>
      </c>
      <c r="FW23" s="1">
        <f t="shared" si="34"/>
        <v>1346.4415289321241</v>
      </c>
      <c r="FX23" s="1">
        <f t="shared" si="34"/>
        <v>1332.9771136428028</v>
      </c>
      <c r="FY23" s="1">
        <f t="shared" si="34"/>
        <v>1319.6473425063748</v>
      </c>
      <c r="FZ23" s="1">
        <f t="shared" si="34"/>
        <v>1306.4508690813111</v>
      </c>
      <c r="GA23" s="1">
        <f t="shared" si="34"/>
        <v>1293.3863603904979</v>
      </c>
      <c r="GB23" s="1">
        <f t="shared" si="34"/>
        <v>1280.452496786593</v>
      </c>
      <c r="GC23" s="1">
        <f t="shared" si="34"/>
        <v>1267.647971818727</v>
      </c>
      <c r="GD23" s="1">
        <f t="shared" si="34"/>
        <v>1254.9714921005398</v>
      </c>
      <c r="GE23" s="1">
        <f t="shared" si="34"/>
        <v>1242.4217771795343</v>
      </c>
      <c r="GF23" s="1">
        <f t="shared" si="34"/>
        <v>1229.9975594077389</v>
      </c>
      <c r="GG23" s="1">
        <f t="shared" si="34"/>
        <v>1217.6975838136616</v>
      </c>
      <c r="GH23" s="1">
        <f t="shared" si="34"/>
        <v>1205.5206079755251</v>
      </c>
      <c r="GI23" s="1">
        <f t="shared" si="34"/>
        <v>1193.4654018957699</v>
      </c>
      <c r="GJ23" s="1">
        <f t="shared" si="34"/>
        <v>1181.5307478768123</v>
      </c>
      <c r="GK23" s="1">
        <f t="shared" si="34"/>
        <v>1169.7154403980442</v>
      </c>
      <c r="GL23" s="1">
        <f t="shared" si="34"/>
        <v>1158.0182859940637</v>
      </c>
      <c r="GM23" s="1">
        <f t="shared" si="34"/>
        <v>1146.4381031341231</v>
      </c>
      <c r="GN23" s="1">
        <f t="shared" si="34"/>
        <v>1134.9737221027819</v>
      </c>
      <c r="GO23" s="1">
        <f t="shared" si="34"/>
        <v>1123.623984881754</v>
      </c>
      <c r="GP23" s="1">
        <f t="shared" si="34"/>
        <v>1112.3877450329364</v>
      </c>
      <c r="GQ23" s="1">
        <f t="shared" si="34"/>
        <v>1101.263867582607</v>
      </c>
      <c r="GR23" s="1">
        <f t="shared" si="34"/>
        <v>1090.2512289067809</v>
      </c>
      <c r="GS23" s="1">
        <f t="shared" si="34"/>
        <v>1079.3487166177131</v>
      </c>
      <c r="GT23" s="1">
        <f t="shared" si="34"/>
        <v>1068.555229451536</v>
      </c>
      <c r="GU23" s="1">
        <f t="shared" si="34"/>
        <v>1057.8696771570205</v>
      </c>
      <c r="GV23" s="1">
        <f t="shared" si="34"/>
        <v>1047.2909803854502</v>
      </c>
      <c r="GW23" s="1">
        <f t="shared" ref="GW23:HI23" si="35">+GV23*(1+$AD$37)</f>
        <v>1036.8180705815957</v>
      </c>
      <c r="GX23" s="1">
        <f t="shared" si="35"/>
        <v>1026.4498898757797</v>
      </c>
      <c r="GY23" s="1">
        <f t="shared" si="35"/>
        <v>1016.1853909770219</v>
      </c>
      <c r="GZ23" s="1">
        <f t="shared" si="35"/>
        <v>1006.0235370672517</v>
      </c>
      <c r="HA23" s="1">
        <f t="shared" si="35"/>
        <v>995.96330169657915</v>
      </c>
      <c r="HB23" s="1">
        <f t="shared" si="35"/>
        <v>986.00366867961338</v>
      </c>
      <c r="HC23" s="1">
        <f t="shared" si="35"/>
        <v>976.14363199281729</v>
      </c>
      <c r="HD23" s="1">
        <f t="shared" si="35"/>
        <v>966.38219567288911</v>
      </c>
      <c r="HE23" s="1">
        <f t="shared" si="35"/>
        <v>956.71837371616016</v>
      </c>
      <c r="HF23" s="1">
        <f t="shared" si="35"/>
        <v>947.15118997899856</v>
      </c>
      <c r="HG23" s="1">
        <f t="shared" si="35"/>
        <v>937.67967807920854</v>
      </c>
      <c r="HH23" s="1">
        <f t="shared" si="35"/>
        <v>928.30288129841642</v>
      </c>
      <c r="HI23" s="1">
        <f t="shared" si="35"/>
        <v>919.01985248543224</v>
      </c>
      <c r="HJ23" s="1">
        <f t="shared" ref="HJ23:HQ23" si="36">+HI23*(1+$AD$37)</f>
        <v>909.82965396057796</v>
      </c>
      <c r="HK23" s="1">
        <f t="shared" si="36"/>
        <v>900.73135742097213</v>
      </c>
      <c r="HL23" s="1">
        <f t="shared" si="36"/>
        <v>891.72404384676236</v>
      </c>
      <c r="HM23" s="1">
        <f t="shared" si="36"/>
        <v>882.80680340829474</v>
      </c>
      <c r="HN23" s="1">
        <f t="shared" si="36"/>
        <v>873.97873537421174</v>
      </c>
      <c r="HO23" s="1">
        <f t="shared" si="36"/>
        <v>865.23894802046959</v>
      </c>
      <c r="HP23" s="1">
        <f t="shared" si="36"/>
        <v>856.58655854026495</v>
      </c>
      <c r="HQ23" s="1">
        <f t="shared" si="36"/>
        <v>848.02069295486228</v>
      </c>
      <c r="HR23" s="1">
        <f t="shared" ref="HR23:HS23" si="37">+HQ23*(1+$AD$37)</f>
        <v>839.54048602531361</v>
      </c>
      <c r="HS23" s="1">
        <f t="shared" si="37"/>
        <v>831.14508116506045</v>
      </c>
      <c r="HT23" s="1">
        <f t="shared" ref="HT23" si="38">+HS23*(1+$AD$37)</f>
        <v>822.83363035340983</v>
      </c>
    </row>
    <row r="24" spans="2:228">
      <c r="B24" s="1" t="s">
        <v>42</v>
      </c>
      <c r="D24" s="1">
        <v>4249</v>
      </c>
      <c r="E24" s="1">
        <v>4140</v>
      </c>
      <c r="F24" s="1">
        <f>+F23/F25</f>
        <v>-1633.0638118492298</v>
      </c>
      <c r="G24" s="1">
        <v>4324</v>
      </c>
      <c r="H24" s="1">
        <v>4572</v>
      </c>
      <c r="I24" s="1">
        <v>4861</v>
      </c>
      <c r="J24" s="1">
        <f>+I24</f>
        <v>4861</v>
      </c>
      <c r="R24" s="1">
        <v>4572</v>
      </c>
      <c r="S24" s="1">
        <f>+S23/S25</f>
        <v>4708.270708744747</v>
      </c>
      <c r="T24" s="1">
        <f>+S24</f>
        <v>4708.270708744747</v>
      </c>
      <c r="U24" s="1">
        <f t="shared" ref="U24:AB24" si="39">+T24</f>
        <v>4708.270708744747</v>
      </c>
      <c r="V24" s="1">
        <f t="shared" si="39"/>
        <v>4708.270708744747</v>
      </c>
      <c r="W24" s="1">
        <f t="shared" si="39"/>
        <v>4708.270708744747</v>
      </c>
      <c r="X24" s="1">
        <f t="shared" si="39"/>
        <v>4708.270708744747</v>
      </c>
      <c r="Y24" s="1">
        <f t="shared" si="39"/>
        <v>4708.270708744747</v>
      </c>
      <c r="Z24" s="1">
        <f t="shared" si="39"/>
        <v>4708.270708744747</v>
      </c>
      <c r="AA24" s="1">
        <f t="shared" si="39"/>
        <v>4708.270708744747</v>
      </c>
      <c r="AB24" s="1">
        <f t="shared" si="39"/>
        <v>4708.270708744747</v>
      </c>
    </row>
    <row r="25" spans="2:228" s="22" customFormat="1">
      <c r="B25" s="22" t="s">
        <v>43</v>
      </c>
      <c r="D25" s="22">
        <f>+D23/D24</f>
        <v>1.2047540597787714</v>
      </c>
      <c r="E25" s="22">
        <f>+E23/E24</f>
        <v>0.62850241545893715</v>
      </c>
      <c r="F25" s="22">
        <f t="shared" si="18"/>
        <v>0.7752299639573923</v>
      </c>
      <c r="G25" s="22">
        <f>+G23/G24</f>
        <v>7.5161887141535613E-2</v>
      </c>
      <c r="H25" s="22">
        <f>+H23/H24</f>
        <v>0.41404199475065617</v>
      </c>
      <c r="I25" s="22">
        <f>+I23/I24</f>
        <v>4.114379757251594E-2</v>
      </c>
      <c r="J25" s="22">
        <f>+J23/J24</f>
        <v>0.51738893060379754</v>
      </c>
      <c r="R25" s="22">
        <f>+R23/R24</f>
        <v>2.6084864391951008</v>
      </c>
      <c r="S25" s="22">
        <f t="shared" si="19"/>
        <v>1.0477366100685053</v>
      </c>
      <c r="T25" s="22">
        <f>+T23/T24</f>
        <v>1.207126328408709</v>
      </c>
      <c r="U25" s="22">
        <f t="shared" ref="U25:AB25" si="40">+U23/U24</f>
        <v>1.4676114834863894</v>
      </c>
      <c r="V25" s="22">
        <f t="shared" si="40"/>
        <v>1.448551594090469</v>
      </c>
      <c r="W25" s="22">
        <f t="shared" si="40"/>
        <v>1.4277286649253851</v>
      </c>
      <c r="X25" s="22">
        <f t="shared" si="40"/>
        <v>1.4053666496916202</v>
      </c>
      <c r="Y25" s="22">
        <f t="shared" si="40"/>
        <v>1.3816715143189358</v>
      </c>
      <c r="Z25" s="22">
        <f t="shared" si="40"/>
        <v>1.3568324758592485</v>
      </c>
      <c r="AA25" s="22">
        <f t="shared" si="40"/>
        <v>1.3310231624597728</v>
      </c>
      <c r="AB25" s="22">
        <f t="shared" si="40"/>
        <v>1.3044026992105608</v>
      </c>
    </row>
    <row r="27" spans="2:228" s="20" customFormat="1"/>
    <row r="28" spans="2:228" s="12" customFormat="1">
      <c r="B28" s="12" t="s">
        <v>40</v>
      </c>
      <c r="G28" s="12">
        <f>+G11/C11-1</f>
        <v>0.15726597054397895</v>
      </c>
      <c r="H28" s="12">
        <f>+H11/D11-1</f>
        <v>0.15895251005960453</v>
      </c>
      <c r="I28" s="12">
        <f>+I11/E11-1</f>
        <v>7.7714862610833046E-2</v>
      </c>
      <c r="J28" s="12">
        <f>+J11/F11-1</f>
        <v>7.9729729729729693E-2</v>
      </c>
      <c r="S28" s="12">
        <f>+S11/R11-1</f>
        <v>0.11835149275248291</v>
      </c>
      <c r="T28" s="12">
        <f t="shared" ref="T28:AA28" si="41">+T11/S11-1</f>
        <v>0.15212765957446783</v>
      </c>
      <c r="U28" s="12">
        <f t="shared" si="41"/>
        <v>0.21578947368421053</v>
      </c>
      <c r="V28" s="12">
        <f t="shared" si="41"/>
        <v>-1.2987012987013102E-2</v>
      </c>
      <c r="W28" s="12">
        <f t="shared" si="41"/>
        <v>-1.4374999999999916E-2</v>
      </c>
      <c r="X28" s="12">
        <f t="shared" si="41"/>
        <v>-1.5662650602409789E-2</v>
      </c>
      <c r="Y28" s="12">
        <f t="shared" si="41"/>
        <v>-1.6860465116279033E-2</v>
      </c>
      <c r="Z28" s="12">
        <f t="shared" si="41"/>
        <v>-1.7977528089887618E-2</v>
      </c>
      <c r="AA28" s="12">
        <f t="shared" si="41"/>
        <v>-1.9021739130434812E-2</v>
      </c>
      <c r="AB28" s="12">
        <f t="shared" ref="AB28" si="42">+AB11/AA11-1</f>
        <v>-1.9999999999999907E-2</v>
      </c>
    </row>
    <row r="29" spans="2:228" s="19" customFormat="1">
      <c r="B29" s="19" t="s">
        <v>85</v>
      </c>
      <c r="C29" s="19">
        <f t="shared" ref="C29:I29" si="43">+(C11-SUM(C12:C15))/C11</f>
        <v>0.1903013998449683</v>
      </c>
      <c r="D29" s="19">
        <f t="shared" si="43"/>
        <v>0.20209584059561467</v>
      </c>
      <c r="E29" s="19">
        <f t="shared" si="43"/>
        <v>0.18091036783425513</v>
      </c>
      <c r="F29" s="19">
        <f t="shared" si="43"/>
        <v>0.1577990600336969</v>
      </c>
      <c r="G29" s="19">
        <f t="shared" si="43"/>
        <v>0.16250985027580772</v>
      </c>
      <c r="H29" s="19">
        <f t="shared" si="43"/>
        <v>0.18661344225770515</v>
      </c>
      <c r="I29" s="19">
        <f>+(I11-SUM(I12:I15))/I11</f>
        <v>0.18006313002749211</v>
      </c>
      <c r="J29" s="19">
        <f>+(J11-SUM(J12:J15))/J11</f>
        <v>0.18006313002749222</v>
      </c>
      <c r="Q29" s="19">
        <f>+(Q11-SUM(Q12:Q15))/Q11</f>
        <v>0.20385515088957973</v>
      </c>
      <c r="R29" s="19">
        <f>+(R11-SUM(R12:R15))/R11</f>
        <v>0.18286585601661814</v>
      </c>
      <c r="S29" s="19">
        <f>+(S11-SUM(S12:S15))/S11</f>
        <v>0.1774044029150631</v>
      </c>
      <c r="T29" s="19">
        <f t="shared" ref="T29:AB29" si="44">+(T11-SUM(T12:T15))/T11</f>
        <v>0.1774044029150631</v>
      </c>
      <c r="U29" s="19">
        <f t="shared" si="44"/>
        <v>0.1774044029150631</v>
      </c>
      <c r="V29" s="19">
        <f t="shared" si="44"/>
        <v>0.17740440291506318</v>
      </c>
      <c r="W29" s="19">
        <f t="shared" si="44"/>
        <v>0.17740440291506301</v>
      </c>
      <c r="X29" s="19">
        <f t="shared" si="44"/>
        <v>0.17740440291506307</v>
      </c>
      <c r="Y29" s="19">
        <f t="shared" si="44"/>
        <v>0.17740440291506315</v>
      </c>
      <c r="Z29" s="19">
        <f t="shared" si="44"/>
        <v>0.17740440291506301</v>
      </c>
      <c r="AA29" s="19">
        <f t="shared" si="44"/>
        <v>0.17740440291506315</v>
      </c>
      <c r="AB29" s="19">
        <f t="shared" si="44"/>
        <v>0.17740440291506304</v>
      </c>
    </row>
    <row r="30" spans="2:228" s="19" customFormat="1">
      <c r="B30" s="23" t="s">
        <v>93</v>
      </c>
    </row>
    <row r="31" spans="2:228" s="19" customFormat="1">
      <c r="B31" s="1" t="s">
        <v>28</v>
      </c>
      <c r="C31" s="20">
        <f>+C12/C$11</f>
        <v>0.32613651908257718</v>
      </c>
      <c r="D31" s="20">
        <f t="shared" ref="D31:J31" si="45">+D12/D$11</f>
        <v>0.3181632345663073</v>
      </c>
      <c r="E31" s="20">
        <f t="shared" si="45"/>
        <v>0.31873847774558861</v>
      </c>
      <c r="F31" s="20">
        <f t="shared" si="45"/>
        <v>0.32606189589429813</v>
      </c>
      <c r="G31" s="20">
        <f t="shared" si="45"/>
        <v>0.33427895981087469</v>
      </c>
      <c r="H31" s="20">
        <f t="shared" si="45"/>
        <v>0.32862978091347939</v>
      </c>
      <c r="I31" s="20">
        <f t="shared" si="45"/>
        <v>0.31446899501069137</v>
      </c>
      <c r="J31" s="20">
        <f t="shared" si="45"/>
        <v>0.31446899501069137</v>
      </c>
      <c r="Q31" s="20">
        <f t="shared" ref="Q31" si="46">+Q12/Q$11</f>
        <v>0.3319937213322014</v>
      </c>
      <c r="R31" s="20">
        <f t="shared" ref="R31:S31" si="47">+R12/R$11</f>
        <v>0.32220853337163757</v>
      </c>
      <c r="S31" s="20">
        <f t="shared" si="47"/>
        <v>0.32320415560014976</v>
      </c>
      <c r="T31" s="20">
        <f t="shared" ref="T31:AB31" si="48">+T12/T$11</f>
        <v>0.32320415560014976</v>
      </c>
      <c r="U31" s="20">
        <f t="shared" si="48"/>
        <v>0.32320415560014976</v>
      </c>
      <c r="V31" s="20">
        <f t="shared" si="48"/>
        <v>0.32320415560014976</v>
      </c>
      <c r="W31" s="20">
        <f t="shared" si="48"/>
        <v>0.32320415560014976</v>
      </c>
      <c r="X31" s="20">
        <f t="shared" si="48"/>
        <v>0.32320415560014976</v>
      </c>
      <c r="Y31" s="20">
        <f t="shared" si="48"/>
        <v>0.32320415560014976</v>
      </c>
      <c r="Z31" s="20">
        <f t="shared" si="48"/>
        <v>0.32320415560014976</v>
      </c>
      <c r="AA31" s="20">
        <f t="shared" si="48"/>
        <v>0.32320415560014976</v>
      </c>
      <c r="AB31" s="20">
        <f t="shared" si="48"/>
        <v>0.32320415560014976</v>
      </c>
    </row>
    <row r="32" spans="2:228" s="19" customFormat="1">
      <c r="B32" s="1" t="s">
        <v>29</v>
      </c>
      <c r="C32" s="20">
        <f t="shared" ref="C32:J35" si="49">+C13/C$11</f>
        <v>0.31124891705804569</v>
      </c>
      <c r="D32" s="20">
        <f t="shared" si="49"/>
        <v>0.30820046048243066</v>
      </c>
      <c r="E32" s="20">
        <f t="shared" si="49"/>
        <v>0.31700465279606704</v>
      </c>
      <c r="F32" s="20">
        <f t="shared" si="49"/>
        <v>0.3207856699476811</v>
      </c>
      <c r="G32" s="20">
        <f t="shared" si="49"/>
        <v>0.31820330969267141</v>
      </c>
      <c r="H32" s="20">
        <f t="shared" si="49"/>
        <v>0.303787597474935</v>
      </c>
      <c r="I32" s="20">
        <f t="shared" si="49"/>
        <v>0.30499949088687506</v>
      </c>
      <c r="J32" s="20">
        <f t="shared" si="49"/>
        <v>0.30499949088687506</v>
      </c>
      <c r="Q32" s="20">
        <f t="shared" ref="Q32" si="50">+Q13/Q$11</f>
        <v>0.29845659596039797</v>
      </c>
      <c r="R32" s="20">
        <f t="shared" ref="R32:S32" si="51">+R13/R$11</f>
        <v>0.31429171247520815</v>
      </c>
      <c r="S32" s="20">
        <f t="shared" si="51"/>
        <v>0.30798795559620268</v>
      </c>
      <c r="T32" s="20">
        <f t="shared" ref="T32:AB32" si="52">+T13/T$11</f>
        <v>0.30798795559620268</v>
      </c>
      <c r="U32" s="20">
        <f t="shared" si="52"/>
        <v>0.30798795559620268</v>
      </c>
      <c r="V32" s="20">
        <f t="shared" si="52"/>
        <v>0.30798795559620268</v>
      </c>
      <c r="W32" s="20">
        <f t="shared" si="52"/>
        <v>0.30798795559620268</v>
      </c>
      <c r="X32" s="20">
        <f t="shared" si="52"/>
        <v>0.30798795559620268</v>
      </c>
      <c r="Y32" s="20">
        <f t="shared" si="52"/>
        <v>0.30798795559620268</v>
      </c>
      <c r="Z32" s="20">
        <f t="shared" si="52"/>
        <v>0.30798795559620268</v>
      </c>
      <c r="AA32" s="20">
        <f t="shared" si="52"/>
        <v>0.30798795559620268</v>
      </c>
      <c r="AB32" s="20">
        <f t="shared" si="52"/>
        <v>0.30798795559620268</v>
      </c>
    </row>
    <row r="33" spans="2:30" s="19" customFormat="1">
      <c r="B33" s="1" t="s">
        <v>30</v>
      </c>
      <c r="C33" s="20">
        <f t="shared" si="49"/>
        <v>7.8245406046235921E-2</v>
      </c>
      <c r="D33" s="20">
        <f t="shared" si="49"/>
        <v>7.9035138682675962E-2</v>
      </c>
      <c r="E33" s="20">
        <f t="shared" si="49"/>
        <v>8.2784654551839171E-2</v>
      </c>
      <c r="F33" s="20">
        <f t="shared" si="49"/>
        <v>8.3710206615234553E-2</v>
      </c>
      <c r="G33" s="20">
        <f t="shared" si="49"/>
        <v>8.457446808510638E-2</v>
      </c>
      <c r="H33" s="20">
        <f t="shared" si="49"/>
        <v>8.1489045673969557E-2</v>
      </c>
      <c r="I33" s="20">
        <f t="shared" si="49"/>
        <v>8.3820384889522453E-2</v>
      </c>
      <c r="J33" s="20">
        <f t="shared" si="49"/>
        <v>8.3820384889522453E-2</v>
      </c>
      <c r="Q33" s="20">
        <f t="shared" ref="Q33" si="53">+Q14/Q$11</f>
        <v>7.3963683892285428E-2</v>
      </c>
      <c r="R33" s="20">
        <f t="shared" ref="R33:S33" si="54">+R14/R$11</f>
        <v>8.0952670338716184E-2</v>
      </c>
      <c r="S33" s="20">
        <f t="shared" si="54"/>
        <v>8.3389179510440767E-2</v>
      </c>
      <c r="T33" s="20">
        <f t="shared" ref="T33:AB33" si="55">+T14/T$11</f>
        <v>8.3389179510440767E-2</v>
      </c>
      <c r="U33" s="20">
        <f t="shared" si="55"/>
        <v>8.3389179510440767E-2</v>
      </c>
      <c r="V33" s="20">
        <f t="shared" si="55"/>
        <v>8.3389179510440767E-2</v>
      </c>
      <c r="W33" s="20">
        <f t="shared" si="55"/>
        <v>8.3389179510440767E-2</v>
      </c>
      <c r="X33" s="20">
        <f t="shared" si="55"/>
        <v>8.3389179510440767E-2</v>
      </c>
      <c r="Y33" s="20">
        <f t="shared" si="55"/>
        <v>8.3389179510440767E-2</v>
      </c>
      <c r="Z33" s="20">
        <f t="shared" si="55"/>
        <v>8.3389179510440767E-2</v>
      </c>
      <c r="AA33" s="20">
        <f t="shared" si="55"/>
        <v>8.3389179510440767E-2</v>
      </c>
      <c r="AB33" s="20">
        <f t="shared" si="55"/>
        <v>8.3389179510440767E-2</v>
      </c>
    </row>
    <row r="34" spans="2:30">
      <c r="B34" s="1" t="s">
        <v>31</v>
      </c>
      <c r="C34" s="20">
        <f t="shared" si="49"/>
        <v>9.4067757968172905E-2</v>
      </c>
      <c r="D34" s="20">
        <f t="shared" si="49"/>
        <v>9.25053256729714E-2</v>
      </c>
      <c r="E34" s="20">
        <f t="shared" si="49"/>
        <v>0.10056184707225002</v>
      </c>
      <c r="F34" s="20">
        <f t="shared" si="49"/>
        <v>0.1116431675090893</v>
      </c>
      <c r="G34" s="20">
        <f t="shared" si="49"/>
        <v>0.1004334121355398</v>
      </c>
      <c r="H34" s="20">
        <f t="shared" si="49"/>
        <v>9.9480133679910876E-2</v>
      </c>
      <c r="I34" s="20">
        <f t="shared" si="49"/>
        <v>0.116647999185419</v>
      </c>
      <c r="J34" s="20">
        <f t="shared" si="49"/>
        <v>0.116647999185419</v>
      </c>
      <c r="Q34" s="20">
        <f t="shared" ref="Q34" si="56">+Q15/Q$11</f>
        <v>9.1730847925535486E-2</v>
      </c>
      <c r="R34" s="20">
        <f t="shared" ref="R34:S34" si="57">+R15/R$11</f>
        <v>9.9681227797819974E-2</v>
      </c>
      <c r="S34" s="20">
        <f t="shared" si="57"/>
        <v>0.10801430637814373</v>
      </c>
      <c r="T34" s="20">
        <f t="shared" ref="T34:AB34" si="58">+T15/T$11</f>
        <v>0.10801430637814373</v>
      </c>
      <c r="U34" s="20">
        <f t="shared" si="58"/>
        <v>0.10801430637814373</v>
      </c>
      <c r="V34" s="20">
        <f t="shared" si="58"/>
        <v>0.10801430637814373</v>
      </c>
      <c r="W34" s="20">
        <f t="shared" si="58"/>
        <v>0.10801430637814373</v>
      </c>
      <c r="X34" s="20">
        <f t="shared" si="58"/>
        <v>0.10801430637814373</v>
      </c>
      <c r="Y34" s="20">
        <f t="shared" si="58"/>
        <v>0.10801430637814373</v>
      </c>
      <c r="Z34" s="20">
        <f t="shared" si="58"/>
        <v>0.10801430637814373</v>
      </c>
      <c r="AA34" s="20">
        <f t="shared" si="58"/>
        <v>0.10801430637814373</v>
      </c>
      <c r="AB34" s="20">
        <f t="shared" si="58"/>
        <v>0.10801430637814373</v>
      </c>
    </row>
    <row r="35" spans="2:30">
      <c r="B35" s="1" t="s">
        <v>32</v>
      </c>
      <c r="C35" s="20">
        <f t="shared" si="49"/>
        <v>2.5762619123614974E-3</v>
      </c>
      <c r="D35" s="20">
        <f t="shared" si="49"/>
        <v>2.4336711639016202E-2</v>
      </c>
      <c r="E35" s="20">
        <f t="shared" si="49"/>
        <v>2.7038890352032306E-2</v>
      </c>
      <c r="F35" s="20">
        <f t="shared" si="49"/>
        <v>5.1698146670213711E-2</v>
      </c>
      <c r="G35" s="20">
        <f t="shared" si="49"/>
        <v>3.0279747832939321E-2</v>
      </c>
      <c r="H35" s="20">
        <f t="shared" si="49"/>
        <v>3.1674712216858525E-2</v>
      </c>
      <c r="I35" s="20">
        <f t="shared" si="49"/>
        <v>3.4517869870685267E-2</v>
      </c>
      <c r="J35" s="20">
        <f t="shared" si="49"/>
        <v>3.4517869870685267E-2</v>
      </c>
      <c r="Q35" s="20">
        <f t="shared" ref="Q35" si="59">+Q16/Q$11</f>
        <v>0</v>
      </c>
      <c r="R35" s="20">
        <f t="shared" ref="R35:S35" si="60">+R16/R$11</f>
        <v>2.6562508632262841E-2</v>
      </c>
      <c r="S35" s="20">
        <f t="shared" si="60"/>
        <v>3.2698670399810496E-2</v>
      </c>
      <c r="T35" s="20">
        <f t="shared" ref="T35:AB35" si="61">+T16/T$11</f>
        <v>3.2698670399810496E-2</v>
      </c>
      <c r="U35" s="20">
        <f t="shared" si="61"/>
        <v>3.2698670399810496E-2</v>
      </c>
      <c r="V35" s="20">
        <f t="shared" si="61"/>
        <v>3.2698670399810496E-2</v>
      </c>
      <c r="W35" s="20">
        <f t="shared" si="61"/>
        <v>3.2698670399810496E-2</v>
      </c>
      <c r="X35" s="20">
        <f t="shared" si="61"/>
        <v>3.2698670399810496E-2</v>
      </c>
      <c r="Y35" s="20">
        <f t="shared" si="61"/>
        <v>3.2698670399810496E-2</v>
      </c>
      <c r="Z35" s="20">
        <f t="shared" si="61"/>
        <v>3.2698670399810496E-2</v>
      </c>
      <c r="AA35" s="20">
        <f t="shared" si="61"/>
        <v>3.2698670399810496E-2</v>
      </c>
      <c r="AB35" s="20">
        <f t="shared" si="61"/>
        <v>3.2698670399810496E-2</v>
      </c>
    </row>
    <row r="37" spans="2:30">
      <c r="B37" s="1" t="s">
        <v>1</v>
      </c>
      <c r="F37" s="1">
        <v>32631</v>
      </c>
      <c r="G37" s="1">
        <v>28122</v>
      </c>
      <c r="H37" s="1">
        <v>29229</v>
      </c>
      <c r="I37" s="1">
        <v>22053</v>
      </c>
      <c r="AC37" s="1" t="s">
        <v>87</v>
      </c>
      <c r="AD37" s="21">
        <v>-0.01</v>
      </c>
    </row>
    <row r="38" spans="2:30">
      <c r="B38" s="1" t="s">
        <v>44</v>
      </c>
      <c r="F38" s="1">
        <v>461</v>
      </c>
      <c r="G38" s="1">
        <v>474</v>
      </c>
      <c r="H38" s="1">
        <v>416</v>
      </c>
      <c r="I38" s="1">
        <v>1453</v>
      </c>
      <c r="AC38" s="1" t="s">
        <v>88</v>
      </c>
      <c r="AD38" s="21">
        <v>0.1</v>
      </c>
    </row>
    <row r="39" spans="2:30">
      <c r="B39" s="1" t="s">
        <v>45</v>
      </c>
      <c r="F39" s="1">
        <v>3726</v>
      </c>
      <c r="G39" s="1">
        <v>3854</v>
      </c>
      <c r="H39" s="1">
        <v>3398</v>
      </c>
      <c r="I39" s="1">
        <v>1145</v>
      </c>
      <c r="AC39" s="1" t="s">
        <v>89</v>
      </c>
      <c r="AD39" s="1">
        <f>NPV(AD38,S23:HT23)</f>
        <v>59594.656356961779</v>
      </c>
    </row>
    <row r="40" spans="2:30">
      <c r="B40" s="1" t="s">
        <v>46</v>
      </c>
      <c r="F40" s="1">
        <v>523</v>
      </c>
      <c r="G40" s="1">
        <v>0</v>
      </c>
      <c r="H40" s="1">
        <v>0</v>
      </c>
      <c r="I40" s="1">
        <v>4830</v>
      </c>
      <c r="AC40" s="1" t="s">
        <v>90</v>
      </c>
      <c r="AD40" s="1">
        <f>+(Main!K8-Main!K9)*1000</f>
        <v>14421.000000000002</v>
      </c>
    </row>
    <row r="41" spans="2:30">
      <c r="B41" s="1" t="s">
        <v>47</v>
      </c>
      <c r="F41" s="1">
        <v>33907</v>
      </c>
      <c r="G41" s="1">
        <v>37138</v>
      </c>
      <c r="H41" s="1">
        <v>39628</v>
      </c>
      <c r="I41" s="1">
        <v>48170</v>
      </c>
      <c r="AC41" s="1" t="s">
        <v>91</v>
      </c>
      <c r="AD41" s="1">
        <f>+SUM(AD39:AD40)</f>
        <v>74015.656356961787</v>
      </c>
    </row>
    <row r="42" spans="2:30">
      <c r="B42" s="1" t="s">
        <v>78</v>
      </c>
      <c r="F42" s="1">
        <v>0</v>
      </c>
      <c r="G42" s="1">
        <v>9498</v>
      </c>
      <c r="H42" s="1">
        <v>9498</v>
      </c>
      <c r="I42" s="1">
        <v>9498</v>
      </c>
      <c r="AC42" s="1" t="s">
        <v>3</v>
      </c>
      <c r="AD42" s="1">
        <f>+Main!K6*1000</f>
        <v>32799.976000000002</v>
      </c>
    </row>
    <row r="43" spans="2:30">
      <c r="B43" s="1" t="s">
        <v>48</v>
      </c>
      <c r="F43" s="1">
        <v>99255</v>
      </c>
      <c r="G43" s="1">
        <v>121369</v>
      </c>
      <c r="H43" s="1">
        <v>122560</v>
      </c>
      <c r="I43" s="1">
        <v>124538</v>
      </c>
      <c r="AC43" s="1" t="s">
        <v>92</v>
      </c>
      <c r="AD43" s="9">
        <f>+AD41/AD42</f>
        <v>2.2565765400853275</v>
      </c>
    </row>
    <row r="44" spans="2:30">
      <c r="B44" s="1" t="s">
        <v>49</v>
      </c>
      <c r="F44" s="1">
        <v>0</v>
      </c>
      <c r="G44" s="1">
        <v>0</v>
      </c>
      <c r="H44" s="1">
        <v>13184</v>
      </c>
      <c r="I44" s="1">
        <v>12960</v>
      </c>
      <c r="AC44" s="1" t="s">
        <v>94</v>
      </c>
      <c r="AD44" s="1">
        <f>+Main!K5</f>
        <v>8.2200000000000006</v>
      </c>
    </row>
    <row r="45" spans="2:30">
      <c r="B45" s="1" t="s">
        <v>50</v>
      </c>
      <c r="F45" s="1">
        <v>12618</v>
      </c>
      <c r="G45" s="1">
        <v>13196</v>
      </c>
      <c r="H45" s="1">
        <v>0</v>
      </c>
      <c r="I45" s="1">
        <v>0</v>
      </c>
      <c r="AC45" s="1" t="s">
        <v>95</v>
      </c>
      <c r="AD45" s="19">
        <f>+AD43/AD44-1</f>
        <v>-0.72547730655896259</v>
      </c>
    </row>
    <row r="46" spans="2:30">
      <c r="B46" s="1" t="s">
        <v>51</v>
      </c>
      <c r="F46" s="1">
        <v>749</v>
      </c>
      <c r="G46" s="1">
        <v>860</v>
      </c>
      <c r="H46" s="1">
        <v>892</v>
      </c>
      <c r="I46" s="1">
        <v>1059</v>
      </c>
    </row>
    <row r="47" spans="2:30" s="13" customFormat="1">
      <c r="B47" s="13" t="s">
        <v>52</v>
      </c>
      <c r="F47" s="13">
        <f>+SUM(F37:F46)</f>
        <v>183870</v>
      </c>
      <c r="G47" s="13">
        <f>+SUM(G37:G46)</f>
        <v>214511</v>
      </c>
      <c r="H47" s="13">
        <f>+SUM(H37:H46)</f>
        <v>218805</v>
      </c>
      <c r="I47" s="13">
        <f>+SUM(I37:I46)</f>
        <v>225706</v>
      </c>
      <c r="AC47" s="13">
        <f>+Main!K10</f>
        <v>255.19480272000004</v>
      </c>
    </row>
    <row r="48" spans="2:30">
      <c r="AC48" s="1">
        <f>+AC47/(S23/1000)</f>
        <v>51.731882292972003</v>
      </c>
    </row>
    <row r="49" spans="2:9">
      <c r="B49" s="1" t="s">
        <v>53</v>
      </c>
      <c r="F49" s="1">
        <v>10704</v>
      </c>
      <c r="G49" s="1">
        <v>12597</v>
      </c>
      <c r="H49" s="1">
        <v>10694</v>
      </c>
      <c r="I49" s="1">
        <v>13558</v>
      </c>
    </row>
    <row r="50" spans="2:9">
      <c r="B50" s="1" t="s">
        <v>54</v>
      </c>
      <c r="F50" s="1">
        <v>2660</v>
      </c>
      <c r="G50" s="1">
        <v>1525</v>
      </c>
      <c r="H50" s="1">
        <v>2619</v>
      </c>
      <c r="I50" s="1">
        <v>1629</v>
      </c>
    </row>
    <row r="51" spans="2:9">
      <c r="B51" s="1" t="s">
        <v>55</v>
      </c>
      <c r="F51" s="1">
        <v>42</v>
      </c>
      <c r="G51" s="1">
        <v>57</v>
      </c>
      <c r="H51" s="1">
        <v>76</v>
      </c>
      <c r="I51" s="1">
        <v>78</v>
      </c>
    </row>
    <row r="52" spans="2:9">
      <c r="B52" s="1" t="s">
        <v>56</v>
      </c>
      <c r="F52" s="1">
        <v>165</v>
      </c>
      <c r="G52" s="1">
        <v>3252</v>
      </c>
      <c r="H52" s="1">
        <v>3206</v>
      </c>
      <c r="I52" s="1">
        <v>1677</v>
      </c>
    </row>
    <row r="53" spans="2:9">
      <c r="B53" s="1" t="s">
        <v>69</v>
      </c>
      <c r="F53" s="1">
        <v>1197</v>
      </c>
      <c r="G53" s="1">
        <v>1197</v>
      </c>
      <c r="H53" s="1">
        <v>310</v>
      </c>
      <c r="I53" s="1">
        <v>310</v>
      </c>
    </row>
    <row r="54" spans="2:9">
      <c r="B54" s="1" t="s">
        <v>70</v>
      </c>
      <c r="F54" s="1">
        <v>125</v>
      </c>
      <c r="G54" s="1">
        <v>88</v>
      </c>
      <c r="H54" s="1">
        <v>56</v>
      </c>
      <c r="I54" s="1">
        <v>34</v>
      </c>
    </row>
    <row r="55" spans="2:9">
      <c r="B55" s="1" t="s">
        <v>48</v>
      </c>
      <c r="F55" s="1">
        <v>4535</v>
      </c>
      <c r="G55" s="1">
        <v>4113</v>
      </c>
      <c r="H55" s="1">
        <v>4516</v>
      </c>
      <c r="I55" s="1">
        <v>4869</v>
      </c>
    </row>
    <row r="56" spans="2:9">
      <c r="B56" s="1" t="s">
        <v>71</v>
      </c>
      <c r="F56" s="1">
        <v>3806</v>
      </c>
      <c r="G56" s="1">
        <v>3806</v>
      </c>
      <c r="H56" s="1">
        <v>3806</v>
      </c>
      <c r="I56" s="1">
        <v>3806</v>
      </c>
    </row>
    <row r="57" spans="2:9">
      <c r="B57" s="1" t="s">
        <v>72</v>
      </c>
      <c r="F57" s="1">
        <v>2704</v>
      </c>
      <c r="G57" s="1">
        <v>1841</v>
      </c>
      <c r="H57" s="1">
        <v>0</v>
      </c>
      <c r="I57" s="1">
        <v>0</v>
      </c>
    </row>
    <row r="58" spans="2:9">
      <c r="B58" s="1" t="s">
        <v>81</v>
      </c>
      <c r="I58" s="1">
        <v>1304</v>
      </c>
    </row>
    <row r="59" spans="2:9">
      <c r="B59" s="1" t="s">
        <v>73</v>
      </c>
      <c r="F59" s="1">
        <v>5366</v>
      </c>
      <c r="G59" s="1">
        <v>5615</v>
      </c>
      <c r="H59" s="1">
        <v>6046</v>
      </c>
      <c r="I59" s="1">
        <v>4960</v>
      </c>
    </row>
    <row r="60" spans="2:9">
      <c r="B60" s="1" t="s">
        <v>56</v>
      </c>
      <c r="F60" s="1">
        <v>4547</v>
      </c>
      <c r="G60" s="1">
        <v>4422</v>
      </c>
      <c r="H60" s="1">
        <v>4425</v>
      </c>
      <c r="I60" s="1">
        <v>5567</v>
      </c>
    </row>
    <row r="61" spans="2:9">
      <c r="B61" s="1" t="s">
        <v>74</v>
      </c>
      <c r="F61" s="1">
        <v>0</v>
      </c>
      <c r="G61" s="1">
        <v>584</v>
      </c>
      <c r="H61" s="1">
        <v>584</v>
      </c>
      <c r="I61" s="1">
        <v>691</v>
      </c>
    </row>
    <row r="62" spans="2:9">
      <c r="B62" s="1" t="s">
        <v>48</v>
      </c>
      <c r="F62" s="1">
        <v>110501</v>
      </c>
      <c r="G62" s="1">
        <v>133552</v>
      </c>
      <c r="H62" s="1">
        <v>135071</v>
      </c>
      <c r="I62" s="1">
        <v>139256</v>
      </c>
    </row>
    <row r="63" spans="2:9" s="16" customFormat="1">
      <c r="B63" s="16" t="s">
        <v>75</v>
      </c>
      <c r="F63" s="16">
        <f>+SUM(F49:F62)</f>
        <v>146352</v>
      </c>
      <c r="G63" s="16">
        <f>+SUM(G49:G62)</f>
        <v>172649</v>
      </c>
      <c r="H63" s="16">
        <f>+SUM(H49:H62)</f>
        <v>171409</v>
      </c>
      <c r="I63" s="16">
        <f>+SUM(I49:I62)</f>
        <v>177739</v>
      </c>
    </row>
    <row r="64" spans="2:9" s="16" customFormat="1">
      <c r="B64" s="16" t="s">
        <v>76</v>
      </c>
      <c r="F64" s="16">
        <f>1500+36018</f>
        <v>37518</v>
      </c>
      <c r="G64" s="16">
        <f>40362+1500</f>
        <v>41862</v>
      </c>
      <c r="H64" s="16">
        <f>45896+1500</f>
        <v>47396</v>
      </c>
      <c r="I64" s="16">
        <f>46468+1500</f>
        <v>47968</v>
      </c>
    </row>
    <row r="65" spans="2:18" s="13" customFormat="1">
      <c r="B65" s="13" t="s">
        <v>77</v>
      </c>
      <c r="F65" s="13">
        <f>+SUM(F63:F64)</f>
        <v>183870</v>
      </c>
      <c r="G65" s="13">
        <f>+SUM(G63:G64)</f>
        <v>214511</v>
      </c>
      <c r="H65" s="13">
        <f>+SUM(H63:H64)</f>
        <v>218805</v>
      </c>
      <c r="I65" s="13">
        <f>+SUM(I63:I64)</f>
        <v>225707</v>
      </c>
    </row>
    <row r="68" spans="2:18">
      <c r="B68" s="1" t="s">
        <v>63</v>
      </c>
      <c r="C68" s="1">
        <v>2790</v>
      </c>
      <c r="D68" s="1">
        <f>10548-C68</f>
        <v>7758</v>
      </c>
      <c r="E68" s="1">
        <f>9070-SUM(C68:D68)</f>
        <v>-1478</v>
      </c>
      <c r="F68" s="1">
        <f>+R68-SUM(C68:E68)</f>
        <v>13094</v>
      </c>
      <c r="G68" s="1">
        <v>3514</v>
      </c>
      <c r="H68" s="1">
        <f>9070-G68</f>
        <v>5556</v>
      </c>
      <c r="I68" s="1">
        <f>9070-H68</f>
        <v>3514</v>
      </c>
      <c r="Q68" s="1">
        <v>23399</v>
      </c>
      <c r="R68" s="1">
        <v>22164</v>
      </c>
    </row>
    <row r="69" spans="2:18">
      <c r="B69" s="1" t="s">
        <v>64</v>
      </c>
      <c r="C69" s="1">
        <v>-2808</v>
      </c>
      <c r="D69" s="1">
        <f>+-4845-C69</f>
        <v>-2037</v>
      </c>
      <c r="E69" s="1">
        <f>+-8407-SUM(C69:D69)</f>
        <v>-3562</v>
      </c>
      <c r="F69" s="1">
        <f>+R69-SUM(C69:E69)</f>
        <v>-8750</v>
      </c>
      <c r="G69" s="1">
        <v>-4100</v>
      </c>
      <c r="H69" s="1">
        <f>+-8407-G69</f>
        <v>-4307</v>
      </c>
      <c r="I69" s="1">
        <f>+-8407-H69</f>
        <v>-4100</v>
      </c>
      <c r="Q69" s="1">
        <v>-8104</v>
      </c>
      <c r="R69" s="1">
        <v>-17157</v>
      </c>
    </row>
    <row r="70" spans="2:18">
      <c r="B70" s="1" t="s">
        <v>65</v>
      </c>
      <c r="C70" s="1">
        <f>+SUM(C68:C69)</f>
        <v>-18</v>
      </c>
      <c r="D70" s="1">
        <f>+SUM(D68:D69)</f>
        <v>5721</v>
      </c>
      <c r="E70" s="1">
        <f>+SUM(E68:E69)</f>
        <v>-5040</v>
      </c>
      <c r="F70" s="1">
        <f>+SUM(F68:F69)</f>
        <v>4344</v>
      </c>
      <c r="G70" s="1">
        <f>+SUM(G68:G69)</f>
        <v>-586</v>
      </c>
      <c r="H70" s="1">
        <f>+SUM(H68:H69)</f>
        <v>1249</v>
      </c>
      <c r="I70" s="1">
        <f>+SUM(I68:I69)</f>
        <v>-586</v>
      </c>
      <c r="Q70" s="1">
        <f>SUM(Q68:Q69)</f>
        <v>15295</v>
      </c>
      <c r="R70" s="1">
        <f>SUM(R68:R69)</f>
        <v>5007</v>
      </c>
    </row>
    <row r="71" spans="2:18">
      <c r="B71" s="1" t="s">
        <v>39</v>
      </c>
      <c r="C71" s="1">
        <f t="shared" ref="C71:I71" si="62">+C23</f>
        <v>5471</v>
      </c>
      <c r="D71" s="1">
        <f t="shared" si="62"/>
        <v>5119</v>
      </c>
      <c r="E71" s="1">
        <f t="shared" si="62"/>
        <v>2602</v>
      </c>
      <c r="F71" s="1">
        <f t="shared" si="62"/>
        <v>-1266</v>
      </c>
      <c r="G71" s="1">
        <f t="shared" si="62"/>
        <v>325</v>
      </c>
      <c r="H71" s="1">
        <f t="shared" si="62"/>
        <v>1893</v>
      </c>
      <c r="I71" s="1">
        <f>+I23</f>
        <v>200</v>
      </c>
    </row>
    <row r="73" spans="2:18">
      <c r="B73" s="1" t="s">
        <v>82</v>
      </c>
      <c r="F73" s="1">
        <f t="shared" ref="F73:H73" si="63">SUM(C70:F70)</f>
        <v>5007</v>
      </c>
      <c r="G73" s="1">
        <f t="shared" si="63"/>
        <v>4439</v>
      </c>
      <c r="H73" s="1">
        <f t="shared" si="63"/>
        <v>-33</v>
      </c>
      <c r="I73" s="1">
        <f>SUM(F70:I70)</f>
        <v>4421</v>
      </c>
    </row>
    <row r="74" spans="2:18">
      <c r="B74" s="1" t="s">
        <v>83</v>
      </c>
      <c r="F74" s="1">
        <f t="shared" ref="F74:H74" si="64">SUM(C71:F71)</f>
        <v>11926</v>
      </c>
      <c r="G74" s="1">
        <f t="shared" si="64"/>
        <v>6780</v>
      </c>
      <c r="H74" s="1">
        <f t="shared" si="64"/>
        <v>3554</v>
      </c>
      <c r="I74" s="1">
        <f>SUM(F71:I71)</f>
        <v>1152</v>
      </c>
    </row>
  </sheetData>
  <pageMargins left="0.7" right="0.7" top="0.75" bottom="0.75" header="0.3" footer="0.3"/>
  <ignoredErrors>
    <ignoredError sqref="F19:F25 S24 S19:AC23 S25:AC25 T24:AC2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2024-08-31T14:40:13Z</dcterms:created>
  <dcterms:modified xsi:type="dcterms:W3CDTF">2024-11-28T19:17:53Z</dcterms:modified>
</cp:coreProperties>
</file>