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E949683-98AB-6040-87DD-9E1881F76255}" xr6:coauthVersionLast="47" xr6:coauthVersionMax="47" xr10:uidLastSave="{00000000-0000-0000-0000-000000000000}"/>
  <bookViews>
    <workbookView xWindow="17840" yWindow="1740" windowWidth="39760" windowHeight="27040" xr2:uid="{FDBD5137-26E4-F14F-8009-1DFEA59489AC}"/>
  </bookViews>
  <sheets>
    <sheet name="Main" sheetId="1" r:id="rId1"/>
    <sheet name="Model" sheetId="2" r:id="rId2"/>
    <sheet name="Charts" sheetId="5" r:id="rId3"/>
    <sheet name="CEO Pay" sheetId="3" r:id="rId4"/>
  </sheets>
  <definedNames>
    <definedName name="_xlchart.v1.0" hidden="1">Charts!$B$20</definedName>
    <definedName name="_xlchart.v1.1" hidden="1">Charts!$D$20:$P$20</definedName>
    <definedName name="_xlchart.v1.10" hidden="1">Charts!$D$2:$P$2</definedName>
    <definedName name="_xlchart.v1.11" hidden="1">Charts!$B$20</definedName>
    <definedName name="_xlchart.v1.12" hidden="1">Charts!$D$20:$P$20</definedName>
    <definedName name="_xlchart.v1.13" hidden="1">Charts!$D$2:$P$2</definedName>
    <definedName name="_xlchart.v1.14" hidden="1">Charts!$B$3</definedName>
    <definedName name="_xlchart.v1.15" hidden="1">Charts!$B$4</definedName>
    <definedName name="_xlchart.v1.16" hidden="1">Charts!$I$2:$P$2</definedName>
    <definedName name="_xlchart.v1.17" hidden="1">Charts!$I$3:$P$3</definedName>
    <definedName name="_xlchart.v1.18" hidden="1">Charts!$I$4:$P$4</definedName>
    <definedName name="_xlchart.v1.2" hidden="1">Charts!$D$2:$P$2</definedName>
    <definedName name="_xlchart.v1.3" hidden="1">Charts!$B$19</definedName>
    <definedName name="_xlchart.v1.4" hidden="1">Charts!$B$20</definedName>
    <definedName name="_xlchart.v1.5" hidden="1">Charts!$C$19:$P$19</definedName>
    <definedName name="_xlchart.v1.6" hidden="1">Charts!$C$20:$P$20</definedName>
    <definedName name="_xlchart.v1.7" hidden="1">Charts!$C$2:$P$2</definedName>
    <definedName name="_xlchart.v1.8" hidden="1">Charts!$B$20</definedName>
    <definedName name="_xlchart.v1.9" hidden="1">Charts!$D$20:$P$20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5" l="1"/>
  <c r="O20" i="5"/>
  <c r="N20" i="5"/>
  <c r="M20" i="5"/>
  <c r="L20" i="5"/>
  <c r="K20" i="5"/>
  <c r="J20" i="5"/>
  <c r="I20" i="5"/>
  <c r="H20" i="5"/>
  <c r="G20" i="5"/>
  <c r="F20" i="5"/>
  <c r="E20" i="5"/>
  <c r="D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20" i="5"/>
  <c r="C19" i="5"/>
  <c r="B19" i="5"/>
  <c r="B20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6" i="5"/>
  <c r="C15" i="5"/>
  <c r="C14" i="5"/>
  <c r="B16" i="5"/>
  <c r="B15" i="5"/>
  <c r="B14" i="5"/>
  <c r="B13" i="5"/>
  <c r="C13" i="5"/>
  <c r="B12" i="5"/>
  <c r="C6" i="5"/>
  <c r="D6" i="5"/>
  <c r="E6" i="5"/>
  <c r="F6" i="5"/>
  <c r="G6" i="5"/>
  <c r="H6" i="5"/>
  <c r="I6" i="5"/>
  <c r="J6" i="5"/>
  <c r="K6" i="5"/>
  <c r="L6" i="5"/>
  <c r="M6" i="5"/>
  <c r="N6" i="5"/>
  <c r="N8" i="5"/>
  <c r="M8" i="5"/>
  <c r="L8" i="5"/>
  <c r="K8" i="5"/>
  <c r="J8" i="5"/>
  <c r="I8" i="5"/>
  <c r="H8" i="5"/>
  <c r="G8" i="5"/>
  <c r="F8" i="5"/>
  <c r="E8" i="5"/>
  <c r="D8" i="5"/>
  <c r="N7" i="5"/>
  <c r="M7" i="5"/>
  <c r="L7" i="5"/>
  <c r="K7" i="5"/>
  <c r="J7" i="5"/>
  <c r="I7" i="5"/>
  <c r="H7" i="5"/>
  <c r="G7" i="5"/>
  <c r="F7" i="5"/>
  <c r="E7" i="5"/>
  <c r="D7" i="5"/>
  <c r="C8" i="5"/>
  <c r="C7" i="5"/>
  <c r="AC47" i="2"/>
  <c r="P4" i="5"/>
  <c r="O4" i="5"/>
  <c r="N4" i="5"/>
  <c r="M4" i="5"/>
  <c r="L4" i="5"/>
  <c r="K4" i="5"/>
  <c r="J4" i="5"/>
  <c r="I4" i="5"/>
  <c r="H4" i="5"/>
  <c r="G4" i="5"/>
  <c r="F4" i="5"/>
  <c r="E4" i="5"/>
  <c r="D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4" i="5"/>
  <c r="C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E72" i="2"/>
  <c r="AE70" i="2"/>
  <c r="AF24" i="2"/>
  <c r="AG24" i="2" s="1"/>
  <c r="AH24" i="2" s="1"/>
  <c r="AI24" i="2" s="1"/>
  <c r="AJ24" i="2" s="1"/>
  <c r="AK24" i="2" s="1"/>
  <c r="AL24" i="2" s="1"/>
  <c r="AM24" i="2" s="1"/>
  <c r="AE24" i="2"/>
  <c r="AE29" i="2"/>
  <c r="AD34" i="2"/>
  <c r="AC63" i="2"/>
  <c r="AD31" i="2"/>
  <c r="AD29" i="2"/>
  <c r="AD25" i="2"/>
  <c r="AD24" i="2"/>
  <c r="M45" i="2"/>
  <c r="AB43" i="2"/>
  <c r="AA43" i="2"/>
  <c r="Z43" i="2"/>
  <c r="Y43" i="2"/>
  <c r="X43" i="2"/>
  <c r="W43" i="2"/>
  <c r="AC43" i="2"/>
  <c r="AD30" i="2"/>
  <c r="C19" i="3"/>
  <c r="E8" i="3" s="1"/>
  <c r="C18" i="3"/>
  <c r="C17" i="3"/>
  <c r="C16" i="3"/>
  <c r="E7" i="3"/>
  <c r="E6" i="3"/>
  <c r="E5" i="3"/>
  <c r="E4" i="3"/>
  <c r="C15" i="3"/>
  <c r="C14" i="3"/>
  <c r="E3" i="3" s="1"/>
  <c r="L106" i="2"/>
  <c r="K106" i="2"/>
  <c r="J106" i="2"/>
  <c r="L105" i="2"/>
  <c r="K105" i="2"/>
  <c r="J105" i="2"/>
  <c r="M106" i="2"/>
  <c r="M105" i="2"/>
  <c r="L103" i="2"/>
  <c r="K103" i="2"/>
  <c r="J103" i="2"/>
  <c r="I103" i="2"/>
  <c r="H103" i="2"/>
  <c r="G103" i="2"/>
  <c r="M103" i="2"/>
  <c r="G102" i="2"/>
  <c r="K102" i="2"/>
  <c r="J102" i="2"/>
  <c r="J101" i="2"/>
  <c r="J100" i="2"/>
  <c r="H101" i="2"/>
  <c r="H100" i="2"/>
  <c r="I100" i="2" s="1"/>
  <c r="C59" i="2"/>
  <c r="C58" i="2"/>
  <c r="C57" i="2"/>
  <c r="C56" i="2"/>
  <c r="C55" i="2"/>
  <c r="C54" i="2"/>
  <c r="F66" i="1"/>
  <c r="E63" i="1"/>
  <c r="D63" i="1"/>
  <c r="F52" i="2"/>
  <c r="F51" i="2"/>
  <c r="J52" i="2"/>
  <c r="J51" i="2"/>
  <c r="AB24" i="2"/>
  <c r="Q61" i="2"/>
  <c r="AB60" i="2"/>
  <c r="AB61" i="2" s="1"/>
  <c r="AA60" i="2"/>
  <c r="AA61" i="2" s="1"/>
  <c r="Z60" i="2"/>
  <c r="Z61" i="2" s="1"/>
  <c r="Y60" i="2"/>
  <c r="Y61" i="2" s="1"/>
  <c r="X60" i="2"/>
  <c r="X61" i="2" s="1"/>
  <c r="W60" i="2"/>
  <c r="W61" i="2" s="1"/>
  <c r="V60" i="2"/>
  <c r="V61" i="2" s="1"/>
  <c r="U60" i="2"/>
  <c r="U61" i="2" s="1"/>
  <c r="T60" i="2"/>
  <c r="T61" i="2" s="1"/>
  <c r="S60" i="2"/>
  <c r="S61" i="2" s="1"/>
  <c r="R60" i="2"/>
  <c r="R61" i="2" s="1"/>
  <c r="Q60" i="2"/>
  <c r="P60" i="2"/>
  <c r="P61" i="2" s="1"/>
  <c r="AC61" i="2"/>
  <c r="AC60" i="2"/>
  <c r="AA20" i="2"/>
  <c r="Z20" i="2"/>
  <c r="Y20" i="2"/>
  <c r="X20" i="2"/>
  <c r="W20" i="2"/>
  <c r="V20" i="2"/>
  <c r="AA19" i="2"/>
  <c r="Z19" i="2"/>
  <c r="Y19" i="2"/>
  <c r="X19" i="2"/>
  <c r="W19" i="2"/>
  <c r="V19" i="2"/>
  <c r="J36" i="2"/>
  <c r="M63" i="2"/>
  <c r="L63" i="2"/>
  <c r="K63" i="2"/>
  <c r="J63" i="2"/>
  <c r="M93" i="2"/>
  <c r="L93" i="2"/>
  <c r="K93" i="2"/>
  <c r="M92" i="2"/>
  <c r="L92" i="2"/>
  <c r="K92" i="2"/>
  <c r="M91" i="2"/>
  <c r="L91" i="2"/>
  <c r="K91" i="2"/>
  <c r="J92" i="2"/>
  <c r="J91" i="2"/>
  <c r="K80" i="2"/>
  <c r="K70" i="2"/>
  <c r="K88" i="2"/>
  <c r="K78" i="2"/>
  <c r="K68" i="2"/>
  <c r="L80" i="2"/>
  <c r="L70" i="2"/>
  <c r="L101" i="2"/>
  <c r="M101" i="2" s="1"/>
  <c r="L100" i="2"/>
  <c r="L88" i="2"/>
  <c r="L78" i="2"/>
  <c r="L81" i="2" s="1"/>
  <c r="L68" i="2"/>
  <c r="L71" i="2" s="1"/>
  <c r="J88" i="2"/>
  <c r="M88" i="2"/>
  <c r="J80" i="2"/>
  <c r="J70" i="2"/>
  <c r="J78" i="2"/>
  <c r="J68" i="2"/>
  <c r="M80" i="2"/>
  <c r="M70" i="2"/>
  <c r="M68" i="2"/>
  <c r="F81" i="1"/>
  <c r="F80" i="1"/>
  <c r="F79" i="1"/>
  <c r="F78" i="1"/>
  <c r="F77" i="1"/>
  <c r="F76" i="1"/>
  <c r="F75" i="1"/>
  <c r="F74" i="1"/>
  <c r="C81" i="1"/>
  <c r="C80" i="1"/>
  <c r="C79" i="1"/>
  <c r="C78" i="1"/>
  <c r="C77" i="1"/>
  <c r="C76" i="1"/>
  <c r="C75" i="1"/>
  <c r="C74" i="1"/>
  <c r="F73" i="1"/>
  <c r="F72" i="1"/>
  <c r="F71" i="1"/>
  <c r="F70" i="1"/>
  <c r="F69" i="1"/>
  <c r="F68" i="1"/>
  <c r="F67" i="1"/>
  <c r="F65" i="1"/>
  <c r="C73" i="1"/>
  <c r="C72" i="1"/>
  <c r="C71" i="1"/>
  <c r="C70" i="1"/>
  <c r="C69" i="1"/>
  <c r="C68" i="1"/>
  <c r="C67" i="1"/>
  <c r="C66" i="1"/>
  <c r="C65" i="1"/>
  <c r="J18" i="2"/>
  <c r="J17" i="2"/>
  <c r="AC20" i="2"/>
  <c r="AC19" i="2"/>
  <c r="K20" i="2"/>
  <c r="K19" i="2"/>
  <c r="L20" i="2"/>
  <c r="L19" i="2"/>
  <c r="M20" i="2"/>
  <c r="M19" i="2"/>
  <c r="J43" i="2"/>
  <c r="M73" i="2"/>
  <c r="AQ52" i="2" s="1"/>
  <c r="N10" i="1"/>
  <c r="AQ56" i="2"/>
  <c r="AQ54" i="2"/>
  <c r="AO1" i="2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AD40" i="2"/>
  <c r="AE40" i="2" s="1"/>
  <c r="AF40" i="2" s="1"/>
  <c r="AG40" i="2" s="1"/>
  <c r="AH40" i="2" s="1"/>
  <c r="AI40" i="2" s="1"/>
  <c r="AJ40" i="2" s="1"/>
  <c r="AK40" i="2" s="1"/>
  <c r="AL40" i="2" s="1"/>
  <c r="AM40" i="2" s="1"/>
  <c r="K10" i="1"/>
  <c r="I101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V48" i="2"/>
  <c r="AC24" i="2"/>
  <c r="AC33" i="2" s="1"/>
  <c r="D10" i="2"/>
  <c r="D13" i="2" s="1"/>
  <c r="D6" i="2"/>
  <c r="E6" i="2"/>
  <c r="E10" i="2"/>
  <c r="E13" i="2" s="1"/>
  <c r="C10" i="2"/>
  <c r="C13" i="2" s="1"/>
  <c r="C6" i="2"/>
  <c r="H16" i="2"/>
  <c r="D16" i="2" s="1"/>
  <c r="H15" i="2"/>
  <c r="D15" i="2" s="1"/>
  <c r="L22" i="2"/>
  <c r="L24" i="2" s="1"/>
  <c r="L33" i="2" s="1"/>
  <c r="L35" i="2" s="1"/>
  <c r="L37" i="2" s="1"/>
  <c r="L39" i="2" s="1"/>
  <c r="L41" i="2" s="1"/>
  <c r="G16" i="2"/>
  <c r="C16" i="2" s="1"/>
  <c r="G15" i="2"/>
  <c r="G19" i="2" s="1"/>
  <c r="K22" i="2"/>
  <c r="K24" i="2" s="1"/>
  <c r="K33" i="2" s="1"/>
  <c r="K35" i="2" s="1"/>
  <c r="K37" i="2" s="1"/>
  <c r="K39" i="2" s="1"/>
  <c r="K41" i="2" s="1"/>
  <c r="G6" i="2"/>
  <c r="H6" i="2"/>
  <c r="K6" i="2"/>
  <c r="L6" i="2"/>
  <c r="L10" i="2"/>
  <c r="L13" i="2" s="1"/>
  <c r="K10" i="2"/>
  <c r="K13" i="2" s="1"/>
  <c r="G10" i="2"/>
  <c r="G13" i="2" s="1"/>
  <c r="H10" i="2"/>
  <c r="H13" i="2" s="1"/>
  <c r="M22" i="2"/>
  <c r="M24" i="2" s="1"/>
  <c r="M33" i="2" s="1"/>
  <c r="M35" i="2" s="1"/>
  <c r="M37" i="2" s="1"/>
  <c r="M41" i="2" s="1"/>
  <c r="I16" i="2"/>
  <c r="E16" i="2" s="1"/>
  <c r="I15" i="2"/>
  <c r="E15" i="2" s="1"/>
  <c r="M6" i="2"/>
  <c r="I6" i="2"/>
  <c r="M10" i="2"/>
  <c r="M13" i="2" s="1"/>
  <c r="I10" i="2"/>
  <c r="I13" i="2" s="1"/>
  <c r="Q2" i="2"/>
  <c r="R2" i="2" s="1"/>
  <c r="S2" i="2" s="1"/>
  <c r="T2" i="2" s="1"/>
  <c r="Q49" i="2"/>
  <c r="Q48" i="2"/>
  <c r="U49" i="2"/>
  <c r="T49" i="2"/>
  <c r="S49" i="2"/>
  <c r="R49" i="2"/>
  <c r="U48" i="2"/>
  <c r="T48" i="2"/>
  <c r="S48" i="2"/>
  <c r="R48" i="2"/>
  <c r="Q24" i="2"/>
  <c r="Q33" i="2" s="1"/>
  <c r="Q35" i="2" s="1"/>
  <c r="Q37" i="2" s="1"/>
  <c r="Q39" i="2" s="1"/>
  <c r="Q40" i="2" s="1"/>
  <c r="R24" i="2"/>
  <c r="R33" i="2" s="1"/>
  <c r="R35" i="2" s="1"/>
  <c r="R37" i="2" s="1"/>
  <c r="R39" i="2" s="1"/>
  <c r="R40" i="2" s="1"/>
  <c r="S24" i="2"/>
  <c r="S59" i="2" s="1"/>
  <c r="T24" i="2"/>
  <c r="T55" i="2" s="1"/>
  <c r="P24" i="2"/>
  <c r="P33" i="2" s="1"/>
  <c r="P35" i="2" s="1"/>
  <c r="P37" i="2" s="1"/>
  <c r="P39" i="2" s="1"/>
  <c r="P40" i="2" s="1"/>
  <c r="V49" i="2"/>
  <c r="W49" i="2"/>
  <c r="U34" i="2"/>
  <c r="U24" i="2"/>
  <c r="U33" i="2" s="1"/>
  <c r="V34" i="2"/>
  <c r="X49" i="2"/>
  <c r="W34" i="2"/>
  <c r="Y49" i="2"/>
  <c r="X34" i="2"/>
  <c r="Q3" i="2"/>
  <c r="R3" i="2" s="1"/>
  <c r="S3" i="2" s="1"/>
  <c r="T3" i="2" s="1"/>
  <c r="U3" i="2" s="1"/>
  <c r="V3" i="2" s="1"/>
  <c r="W3" i="2" s="1"/>
  <c r="X3" i="2" s="1"/>
  <c r="Z49" i="2"/>
  <c r="Y34" i="2"/>
  <c r="AA49" i="2"/>
  <c r="Z34" i="2"/>
  <c r="AB49" i="2"/>
  <c r="G49" i="2"/>
  <c r="H49" i="2"/>
  <c r="I49" i="2"/>
  <c r="F38" i="2"/>
  <c r="F36" i="2"/>
  <c r="F34" i="2"/>
  <c r="F32" i="2"/>
  <c r="F31" i="2"/>
  <c r="F30" i="2"/>
  <c r="F29" i="2"/>
  <c r="F28" i="2"/>
  <c r="F27" i="2"/>
  <c r="F26" i="2"/>
  <c r="F25" i="2"/>
  <c r="F23" i="2"/>
  <c r="E35" i="2"/>
  <c r="E37" i="2" s="1"/>
  <c r="J38" i="2"/>
  <c r="J34" i="2"/>
  <c r="J32" i="2"/>
  <c r="J31" i="2"/>
  <c r="J30" i="2"/>
  <c r="J29" i="2"/>
  <c r="J28" i="2"/>
  <c r="J27" i="2"/>
  <c r="J26" i="2"/>
  <c r="J25" i="2"/>
  <c r="J23" i="2"/>
  <c r="AC49" i="2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K49" i="2"/>
  <c r="G2" i="2"/>
  <c r="L49" i="2"/>
  <c r="M49" i="2"/>
  <c r="K7" i="1"/>
  <c r="K5" i="1"/>
  <c r="K8" i="1" s="1"/>
  <c r="L6" i="1"/>
  <c r="L7" i="1" s="1"/>
  <c r="AE25" i="2" l="1"/>
  <c r="AE31" i="2"/>
  <c r="AE30" i="2"/>
  <c r="K12" i="1"/>
  <c r="H102" i="2"/>
  <c r="K81" i="2"/>
  <c r="J81" i="2"/>
  <c r="J89" i="2" s="1"/>
  <c r="L102" i="2"/>
  <c r="K71" i="2"/>
  <c r="K89" i="2"/>
  <c r="L89" i="2"/>
  <c r="M100" i="2"/>
  <c r="M102" i="2" s="1"/>
  <c r="J71" i="2"/>
  <c r="AB20" i="2"/>
  <c r="M71" i="2"/>
  <c r="M78" i="2"/>
  <c r="M81" i="2" s="1"/>
  <c r="M89" i="2" s="1"/>
  <c r="H19" i="2"/>
  <c r="K60" i="2"/>
  <c r="H20" i="2"/>
  <c r="L60" i="2"/>
  <c r="I20" i="2"/>
  <c r="G20" i="2"/>
  <c r="AB19" i="2"/>
  <c r="M60" i="2"/>
  <c r="I19" i="2"/>
  <c r="AB46" i="2"/>
  <c r="T57" i="2"/>
  <c r="AC46" i="2"/>
  <c r="P58" i="2"/>
  <c r="I102" i="2"/>
  <c r="T59" i="2"/>
  <c r="P54" i="2"/>
  <c r="U56" i="2"/>
  <c r="S55" i="2"/>
  <c r="S56" i="2"/>
  <c r="S57" i="2"/>
  <c r="T56" i="2"/>
  <c r="Q56" i="2"/>
  <c r="S54" i="2"/>
  <c r="T58" i="2"/>
  <c r="AC56" i="2"/>
  <c r="P56" i="2"/>
  <c r="T54" i="2"/>
  <c r="P55" i="2"/>
  <c r="P57" i="2"/>
  <c r="AQ58" i="2"/>
  <c r="AC57" i="2"/>
  <c r="R58" i="2"/>
  <c r="R59" i="2"/>
  <c r="Q58" i="2"/>
  <c r="Q59" i="2"/>
  <c r="AC58" i="2"/>
  <c r="AC59" i="2"/>
  <c r="R55" i="2"/>
  <c r="Q54" i="2"/>
  <c r="R56" i="2"/>
  <c r="S58" i="2"/>
  <c r="U54" i="2"/>
  <c r="AC54" i="2"/>
  <c r="Q57" i="2"/>
  <c r="U57" i="2"/>
  <c r="U58" i="2"/>
  <c r="R54" i="2"/>
  <c r="U59" i="2"/>
  <c r="P59" i="2"/>
  <c r="Q55" i="2"/>
  <c r="R57" i="2"/>
  <c r="U55" i="2"/>
  <c r="AC55" i="2"/>
  <c r="E22" i="2"/>
  <c r="E24" i="2" s="1"/>
  <c r="S50" i="2"/>
  <c r="Q103" i="2"/>
  <c r="R103" i="2"/>
  <c r="L54" i="2"/>
  <c r="P103" i="2"/>
  <c r="J15" i="2"/>
  <c r="J19" i="2" s="1"/>
  <c r="C15" i="2"/>
  <c r="F15" i="2" s="1"/>
  <c r="L12" i="2"/>
  <c r="I22" i="2"/>
  <c r="I24" i="2" s="1"/>
  <c r="I60" i="2" s="1"/>
  <c r="K12" i="2"/>
  <c r="F16" i="2"/>
  <c r="D22" i="2"/>
  <c r="K58" i="2"/>
  <c r="M12" i="2"/>
  <c r="L55" i="2"/>
  <c r="M57" i="2"/>
  <c r="H22" i="2"/>
  <c r="K54" i="2"/>
  <c r="J16" i="2"/>
  <c r="J20" i="2" s="1"/>
  <c r="M56" i="2"/>
  <c r="G22" i="2"/>
  <c r="L58" i="2"/>
  <c r="M54" i="2"/>
  <c r="M58" i="2"/>
  <c r="K55" i="2"/>
  <c r="K57" i="2"/>
  <c r="M59" i="2"/>
  <c r="M55" i="2"/>
  <c r="V24" i="2"/>
  <c r="L56" i="2"/>
  <c r="L57" i="2"/>
  <c r="L59" i="2"/>
  <c r="K59" i="2"/>
  <c r="K56" i="2"/>
  <c r="U35" i="2"/>
  <c r="U37" i="2" s="1"/>
  <c r="U41" i="2" s="1"/>
  <c r="T50" i="2"/>
  <c r="T33" i="2"/>
  <c r="T35" i="2" s="1"/>
  <c r="T37" i="2" s="1"/>
  <c r="T39" i="2" s="1"/>
  <c r="S33" i="2"/>
  <c r="S35" i="2" s="1"/>
  <c r="S37" i="2" s="1"/>
  <c r="S39" i="2" s="1"/>
  <c r="U50" i="2"/>
  <c r="Q50" i="2"/>
  <c r="R50" i="2"/>
  <c r="J49" i="2"/>
  <c r="AC35" i="2"/>
  <c r="AC37" i="2" s="1"/>
  <c r="E41" i="2"/>
  <c r="E39" i="2"/>
  <c r="M39" i="2"/>
  <c r="AF31" i="2" l="1"/>
  <c r="AF29" i="2"/>
  <c r="AF25" i="2"/>
  <c r="AF30" i="2"/>
  <c r="AG30" i="2" s="1"/>
  <c r="E59" i="2"/>
  <c r="E60" i="2"/>
  <c r="AB47" i="2"/>
  <c r="AD32" i="2"/>
  <c r="AD59" i="2" s="1"/>
  <c r="AD28" i="2"/>
  <c r="AD57" i="2" s="1"/>
  <c r="AD26" i="2"/>
  <c r="AD55" i="2" s="1"/>
  <c r="AA46" i="2"/>
  <c r="AD50" i="2"/>
  <c r="AD27" i="2"/>
  <c r="AD56" i="2" s="1"/>
  <c r="E54" i="2"/>
  <c r="AD54" i="2"/>
  <c r="E58" i="2"/>
  <c r="E55" i="2"/>
  <c r="E56" i="2"/>
  <c r="AD58" i="2"/>
  <c r="E57" i="2"/>
  <c r="V33" i="2"/>
  <c r="V35" i="2" s="1"/>
  <c r="V37" i="2" s="1"/>
  <c r="V39" i="2" s="1"/>
  <c r="V103" i="2" s="1"/>
  <c r="V54" i="2"/>
  <c r="V58" i="2"/>
  <c r="V59" i="2"/>
  <c r="V57" i="2"/>
  <c r="V56" i="2"/>
  <c r="V55" i="2"/>
  <c r="C22" i="2"/>
  <c r="C24" i="2" s="1"/>
  <c r="I58" i="2"/>
  <c r="I50" i="2"/>
  <c r="I12" i="2"/>
  <c r="M48" i="2"/>
  <c r="I48" i="2"/>
  <c r="I57" i="2"/>
  <c r="M50" i="2"/>
  <c r="I55" i="2"/>
  <c r="I35" i="2"/>
  <c r="I37" i="2" s="1"/>
  <c r="I56" i="2"/>
  <c r="J22" i="2"/>
  <c r="I54" i="2"/>
  <c r="I59" i="2"/>
  <c r="AC48" i="2"/>
  <c r="D12" i="2"/>
  <c r="D24" i="2"/>
  <c r="U39" i="2"/>
  <c r="U103" i="2" s="1"/>
  <c r="AA24" i="2"/>
  <c r="G24" i="2"/>
  <c r="G12" i="2"/>
  <c r="K48" i="2"/>
  <c r="H12" i="2"/>
  <c r="H48" i="2"/>
  <c r="H24" i="2"/>
  <c r="T40" i="2"/>
  <c r="T103" i="2"/>
  <c r="L48" i="2"/>
  <c r="S40" i="2"/>
  <c r="S103" i="2"/>
  <c r="V50" i="2"/>
  <c r="AC41" i="2"/>
  <c r="AC39" i="2"/>
  <c r="AQ59" i="2" s="1"/>
  <c r="AG31" i="2" l="1"/>
  <c r="AG25" i="2"/>
  <c r="AG29" i="2"/>
  <c r="AH29" i="2" s="1"/>
  <c r="AA47" i="2"/>
  <c r="AE32" i="2"/>
  <c r="AE59" i="2" s="1"/>
  <c r="AE28" i="2"/>
  <c r="AE57" i="2" s="1"/>
  <c r="AE26" i="2"/>
  <c r="AE55" i="2" s="1"/>
  <c r="AF27" i="2"/>
  <c r="AF56" i="2" s="1"/>
  <c r="Z46" i="2"/>
  <c r="G48" i="2"/>
  <c r="AE58" i="2"/>
  <c r="AE27" i="2"/>
  <c r="AE56" i="2" s="1"/>
  <c r="C33" i="2"/>
  <c r="C12" i="2"/>
  <c r="V41" i="2"/>
  <c r="F22" i="2"/>
  <c r="J48" i="2" s="1"/>
  <c r="AE54" i="2"/>
  <c r="AE50" i="2"/>
  <c r="AD33" i="2"/>
  <c r="AD35" i="2" s="1"/>
  <c r="AD36" i="2" s="1"/>
  <c r="AD37" i="2" s="1"/>
  <c r="AD39" i="2" s="1"/>
  <c r="AA57" i="2"/>
  <c r="AA54" i="2"/>
  <c r="AA56" i="2"/>
  <c r="AA55" i="2"/>
  <c r="AA59" i="2"/>
  <c r="AA58" i="2"/>
  <c r="AB56" i="2"/>
  <c r="AB54" i="2"/>
  <c r="AB59" i="2"/>
  <c r="AB55" i="2"/>
  <c r="AB58" i="2"/>
  <c r="AB57" i="2"/>
  <c r="I41" i="2"/>
  <c r="I39" i="2"/>
  <c r="G33" i="2"/>
  <c r="G60" i="2" s="1"/>
  <c r="G55" i="2"/>
  <c r="G50" i="2"/>
  <c r="K50" i="2"/>
  <c r="G56" i="2"/>
  <c r="J24" i="2"/>
  <c r="G59" i="2"/>
  <c r="G57" i="2"/>
  <c r="G54" i="2"/>
  <c r="G58" i="2"/>
  <c r="AA33" i="2"/>
  <c r="AA35" i="2" s="1"/>
  <c r="AA37" i="2" s="1"/>
  <c r="H33" i="2"/>
  <c r="H54" i="2"/>
  <c r="L50" i="2"/>
  <c r="H59" i="2"/>
  <c r="H55" i="2"/>
  <c r="H56" i="2"/>
  <c r="H57" i="2"/>
  <c r="H50" i="2"/>
  <c r="H58" i="2"/>
  <c r="D33" i="2"/>
  <c r="D54" i="2"/>
  <c r="D59" i="2"/>
  <c r="D56" i="2"/>
  <c r="D58" i="2"/>
  <c r="D55" i="2"/>
  <c r="D57" i="2"/>
  <c r="AB48" i="2"/>
  <c r="AA48" i="2"/>
  <c r="Z24" i="2"/>
  <c r="AA50" i="2" s="1"/>
  <c r="AC103" i="2"/>
  <c r="AB33" i="2"/>
  <c r="AB50" i="2"/>
  <c r="F24" i="2"/>
  <c r="AC50" i="2"/>
  <c r="AQ60" i="2" l="1"/>
  <c r="AD63" i="2"/>
  <c r="AE34" i="2" s="1"/>
  <c r="AH25" i="2"/>
  <c r="AH31" i="2"/>
  <c r="AH30" i="2"/>
  <c r="AI30" i="2" s="1"/>
  <c r="C35" i="2"/>
  <c r="C37" i="2" s="1"/>
  <c r="C39" i="2" s="1"/>
  <c r="C41" i="2" s="1"/>
  <c r="C60" i="2"/>
  <c r="H35" i="2"/>
  <c r="H37" i="2" s="1"/>
  <c r="H39" i="2" s="1"/>
  <c r="H41" i="2" s="1"/>
  <c r="H60" i="2"/>
  <c r="D35" i="2"/>
  <c r="D37" i="2" s="1"/>
  <c r="D39" i="2" s="1"/>
  <c r="D41" i="2" s="1"/>
  <c r="D60" i="2"/>
  <c r="Y47" i="2"/>
  <c r="AG27" i="2"/>
  <c r="AG56" i="2" s="1"/>
  <c r="AF26" i="2"/>
  <c r="AF55" i="2" s="1"/>
  <c r="AF28" i="2"/>
  <c r="AF57" i="2" s="1"/>
  <c r="AF32" i="2"/>
  <c r="AF59" i="2" s="1"/>
  <c r="AF50" i="2"/>
  <c r="Y46" i="2"/>
  <c r="AF58" i="2"/>
  <c r="Z47" i="2"/>
  <c r="AF54" i="2"/>
  <c r="AD41" i="2"/>
  <c r="AE33" i="2"/>
  <c r="Z56" i="2"/>
  <c r="Z54" i="2"/>
  <c r="Z57" i="2"/>
  <c r="Z55" i="2"/>
  <c r="Z59" i="2"/>
  <c r="Z58" i="2"/>
  <c r="F57" i="2"/>
  <c r="F55" i="2"/>
  <c r="F59" i="2"/>
  <c r="F54" i="2"/>
  <c r="F58" i="2"/>
  <c r="F56" i="2"/>
  <c r="AB35" i="2"/>
  <c r="F33" i="2"/>
  <c r="F60" i="2" s="1"/>
  <c r="J58" i="2"/>
  <c r="J55" i="2"/>
  <c r="J54" i="2"/>
  <c r="J59" i="2"/>
  <c r="J50" i="2"/>
  <c r="J57" i="2"/>
  <c r="J56" i="2"/>
  <c r="Z33" i="2"/>
  <c r="Z35" i="2" s="1"/>
  <c r="Z37" i="2" s="1"/>
  <c r="Y24" i="2"/>
  <c r="AA41" i="2"/>
  <c r="AA39" i="2"/>
  <c r="AA103" i="2" s="1"/>
  <c r="Z48" i="2"/>
  <c r="G35" i="2"/>
  <c r="J33" i="2"/>
  <c r="J60" i="2" s="1"/>
  <c r="AE35" i="2" l="1"/>
  <c r="AE36" i="2" s="1"/>
  <c r="AE37" i="2" s="1"/>
  <c r="AE39" i="2" s="1"/>
  <c r="AE63" i="2" s="1"/>
  <c r="AF34" i="2" s="1"/>
  <c r="AQ61" i="2"/>
  <c r="AI25" i="2"/>
  <c r="AI31" i="2"/>
  <c r="AI29" i="2"/>
  <c r="AJ29" i="2" s="1"/>
  <c r="AG28" i="2"/>
  <c r="AG57" i="2" s="1"/>
  <c r="AG26" i="2"/>
  <c r="AG55" i="2" s="1"/>
  <c r="AG32" i="2"/>
  <c r="AG59" i="2" s="1"/>
  <c r="AG50" i="2"/>
  <c r="W46" i="2"/>
  <c r="X46" i="2"/>
  <c r="W47" i="2"/>
  <c r="AG58" i="2"/>
  <c r="Y48" i="2"/>
  <c r="AF33" i="2"/>
  <c r="Y58" i="2"/>
  <c r="Y56" i="2"/>
  <c r="Y57" i="2"/>
  <c r="Y55" i="2"/>
  <c r="Y59" i="2"/>
  <c r="Y54" i="2"/>
  <c r="Z41" i="2"/>
  <c r="Z39" i="2"/>
  <c r="Z103" i="2" s="1"/>
  <c r="Y33" i="2"/>
  <c r="Y35" i="2" s="1"/>
  <c r="Y37" i="2" s="1"/>
  <c r="Z50" i="2"/>
  <c r="G37" i="2"/>
  <c r="J35" i="2"/>
  <c r="AB37" i="2"/>
  <c r="F35" i="2"/>
  <c r="AE41" i="2" l="1"/>
  <c r="AF35" i="2"/>
  <c r="AF36" i="2" s="1"/>
  <c r="AF37" i="2" s="1"/>
  <c r="AF39" i="2" s="1"/>
  <c r="AF41" i="2" s="1"/>
  <c r="AF63" i="2"/>
  <c r="AG34" i="2" s="1"/>
  <c r="AJ25" i="2"/>
  <c r="AJ31" i="2"/>
  <c r="AJ30" i="2"/>
  <c r="AK30" i="2" s="1"/>
  <c r="X47" i="2"/>
  <c r="AH58" i="2"/>
  <c r="AH50" i="2"/>
  <c r="AH27" i="2"/>
  <c r="AH56" i="2" s="1"/>
  <c r="W24" i="2"/>
  <c r="W50" i="2" s="1"/>
  <c r="X24" i="2"/>
  <c r="Y50" i="2" s="1"/>
  <c r="AG33" i="2"/>
  <c r="AG35" i="2" s="1"/>
  <c r="AG36" i="2" s="1"/>
  <c r="AG37" i="2" s="1"/>
  <c r="AG39" i="2" s="1"/>
  <c r="AG41" i="2" s="1"/>
  <c r="AH26" i="2"/>
  <c r="AH32" i="2"/>
  <c r="AH59" i="2" s="1"/>
  <c r="AH28" i="2"/>
  <c r="AH57" i="2" s="1"/>
  <c r="AG54" i="2"/>
  <c r="Y39" i="2"/>
  <c r="Y103" i="2" s="1"/>
  <c r="Y41" i="2"/>
  <c r="F37" i="2"/>
  <c r="AB39" i="2"/>
  <c r="AB41" i="2"/>
  <c r="F41" i="2" s="1"/>
  <c r="G39" i="2"/>
  <c r="J37" i="2"/>
  <c r="AG63" i="2" l="1"/>
  <c r="AH34" i="2" s="1"/>
  <c r="AK31" i="2"/>
  <c r="AK25" i="2"/>
  <c r="AK29" i="2"/>
  <c r="AL29" i="2" s="1"/>
  <c r="W33" i="2"/>
  <c r="W35" i="2" s="1"/>
  <c r="W37" i="2" s="1"/>
  <c r="W55" i="2"/>
  <c r="W56" i="2"/>
  <c r="X55" i="2"/>
  <c r="W54" i="2"/>
  <c r="W57" i="2"/>
  <c r="X50" i="2"/>
  <c r="X57" i="2"/>
  <c r="X33" i="2"/>
  <c r="X35" i="2" s="1"/>
  <c r="X37" i="2" s="1"/>
  <c r="X41" i="2" s="1"/>
  <c r="X58" i="2"/>
  <c r="W59" i="2"/>
  <c r="X54" i="2"/>
  <c r="W58" i="2"/>
  <c r="W48" i="2"/>
  <c r="X56" i="2"/>
  <c r="X48" i="2"/>
  <c r="X59" i="2"/>
  <c r="AH33" i="2"/>
  <c r="AH35" i="2" s="1"/>
  <c r="AH36" i="2" s="1"/>
  <c r="AH37" i="2" s="1"/>
  <c r="AH39" i="2" s="1"/>
  <c r="AH41" i="2" s="1"/>
  <c r="AH55" i="2"/>
  <c r="AI27" i="2"/>
  <c r="AI56" i="2" s="1"/>
  <c r="AJ27" i="2"/>
  <c r="AJ56" i="2" s="1"/>
  <c r="AI26" i="2"/>
  <c r="AI55" i="2" s="1"/>
  <c r="AI32" i="2"/>
  <c r="AI59" i="2" s="1"/>
  <c r="AI28" i="2"/>
  <c r="AI57" i="2" s="1"/>
  <c r="AI50" i="2"/>
  <c r="AI58" i="2"/>
  <c r="AH54" i="2"/>
  <c r="G41" i="2"/>
  <c r="J41" i="2" s="1"/>
  <c r="J39" i="2"/>
  <c r="F39" i="2"/>
  <c r="F40" i="2" s="1"/>
  <c r="AB103" i="2"/>
  <c r="W39" i="2"/>
  <c r="W103" i="2" s="1"/>
  <c r="W41" i="2"/>
  <c r="AH63" i="2" l="1"/>
  <c r="AI34" i="2" s="1"/>
  <c r="AL25" i="2"/>
  <c r="AL31" i="2"/>
  <c r="AL30" i="2"/>
  <c r="AM30" i="2" s="1"/>
  <c r="X39" i="2"/>
  <c r="X103" i="2" s="1"/>
  <c r="AJ58" i="2"/>
  <c r="AI33" i="2"/>
  <c r="AI35" i="2" s="1"/>
  <c r="AI36" i="2" s="1"/>
  <c r="AI37" i="2" s="1"/>
  <c r="AI39" i="2" s="1"/>
  <c r="AI41" i="2" s="1"/>
  <c r="AJ32" i="2"/>
  <c r="AJ59" i="2" s="1"/>
  <c r="AJ28" i="2"/>
  <c r="AJ57" i="2" s="1"/>
  <c r="AJ26" i="2"/>
  <c r="AJ55" i="2" s="1"/>
  <c r="AJ50" i="2"/>
  <c r="J40" i="2"/>
  <c r="J93" i="2" s="1"/>
  <c r="AI54" i="2"/>
  <c r="AK27" i="2"/>
  <c r="AK56" i="2" s="1"/>
  <c r="AK58" i="2"/>
  <c r="AI63" i="2" l="1"/>
  <c r="AJ34" i="2" s="1"/>
  <c r="AM31" i="2"/>
  <c r="AM25" i="2"/>
  <c r="AM29" i="2"/>
  <c r="AJ33" i="2"/>
  <c r="AJ35" i="2" s="1"/>
  <c r="AJ36" i="2" s="1"/>
  <c r="AJ37" i="2" s="1"/>
  <c r="AJ39" i="2" s="1"/>
  <c r="AJ41" i="2" s="1"/>
  <c r="AK32" i="2"/>
  <c r="AK59" i="2" s="1"/>
  <c r="AK28" i="2"/>
  <c r="AK57" i="2" s="1"/>
  <c r="AK26" i="2"/>
  <c r="AK55" i="2" s="1"/>
  <c r="AK50" i="2"/>
  <c r="AJ54" i="2"/>
  <c r="AJ63" i="2" l="1"/>
  <c r="AK34" i="2" s="1"/>
  <c r="AL27" i="2"/>
  <c r="AL56" i="2" s="1"/>
  <c r="AL58" i="2"/>
  <c r="AM58" i="2"/>
  <c r="AL28" i="2"/>
  <c r="AL57" i="2" s="1"/>
  <c r="AL32" i="2"/>
  <c r="AL59" i="2" s="1"/>
  <c r="AL26" i="2"/>
  <c r="AL55" i="2" s="1"/>
  <c r="AL50" i="2"/>
  <c r="AK54" i="2"/>
  <c r="AK33" i="2"/>
  <c r="AM27" i="2"/>
  <c r="AM56" i="2" s="1"/>
  <c r="AK35" i="2" l="1"/>
  <c r="AK36" i="2" s="1"/>
  <c r="AK37" i="2" s="1"/>
  <c r="AK39" i="2" s="1"/>
  <c r="AK41" i="2" s="1"/>
  <c r="AL33" i="2"/>
  <c r="AM32" i="2"/>
  <c r="AM59" i="2" s="1"/>
  <c r="AM28" i="2"/>
  <c r="AM57" i="2" s="1"/>
  <c r="AM26" i="2"/>
  <c r="AM55" i="2" s="1"/>
  <c r="AM50" i="2"/>
  <c r="AM54" i="2"/>
  <c r="AL54" i="2"/>
  <c r="AK63" i="2" l="1"/>
  <c r="AL34" i="2" s="1"/>
  <c r="AL35" i="2" s="1"/>
  <c r="AL36" i="2" s="1"/>
  <c r="AL37" i="2" s="1"/>
  <c r="AL39" i="2" s="1"/>
  <c r="AM33" i="2"/>
  <c r="AL41" i="2" l="1"/>
  <c r="AL63" i="2"/>
  <c r="AM34" i="2" s="1"/>
  <c r="AM35" i="2"/>
  <c r="AM36" i="2" s="1"/>
  <c r="AM37" i="2" s="1"/>
  <c r="AM39" i="2" s="1"/>
  <c r="AM41" i="2" s="1"/>
  <c r="AN39" i="2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EL39" i="2" s="1"/>
  <c r="EM39" i="2" s="1"/>
  <c r="EN39" i="2" s="1"/>
  <c r="EO39" i="2" s="1"/>
  <c r="EP39" i="2" s="1"/>
  <c r="EQ39" i="2" s="1"/>
  <c r="ER39" i="2" s="1"/>
  <c r="ES39" i="2" s="1"/>
  <c r="ET39" i="2" s="1"/>
  <c r="EU39" i="2" s="1"/>
  <c r="EV39" i="2" s="1"/>
  <c r="EW39" i="2" s="1"/>
  <c r="EX39" i="2" s="1"/>
  <c r="EY39" i="2" s="1"/>
  <c r="EZ39" i="2" s="1"/>
  <c r="FA39" i="2" s="1"/>
  <c r="FB39" i="2" s="1"/>
  <c r="FC39" i="2" s="1"/>
  <c r="FD39" i="2" s="1"/>
  <c r="FE39" i="2" s="1"/>
  <c r="FF39" i="2" s="1"/>
  <c r="FG39" i="2" s="1"/>
  <c r="FH39" i="2" s="1"/>
  <c r="FI39" i="2" s="1"/>
  <c r="FJ39" i="2" s="1"/>
  <c r="FK39" i="2" s="1"/>
  <c r="FL39" i="2" s="1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W39" i="2" s="1"/>
  <c r="FX39" i="2" s="1"/>
  <c r="FY39" i="2" s="1"/>
  <c r="FZ39" i="2" s="1"/>
  <c r="GA39" i="2" s="1"/>
  <c r="GB39" i="2" s="1"/>
  <c r="GC39" i="2" s="1"/>
  <c r="GD39" i="2" s="1"/>
  <c r="GE39" i="2" s="1"/>
  <c r="GF39" i="2" s="1"/>
  <c r="GG39" i="2" s="1"/>
  <c r="GH39" i="2" s="1"/>
  <c r="GI39" i="2" s="1"/>
  <c r="GJ39" i="2" s="1"/>
  <c r="GK39" i="2" s="1"/>
  <c r="GL39" i="2" s="1"/>
  <c r="GM39" i="2" s="1"/>
  <c r="GN39" i="2" s="1"/>
  <c r="GO39" i="2" s="1"/>
  <c r="GP39" i="2" s="1"/>
  <c r="GQ39" i="2" s="1"/>
  <c r="GR39" i="2" s="1"/>
  <c r="GS39" i="2" s="1"/>
  <c r="GT39" i="2" s="1"/>
  <c r="GU39" i="2" s="1"/>
  <c r="GV39" i="2" s="1"/>
  <c r="GW39" i="2" s="1"/>
  <c r="GX39" i="2" s="1"/>
  <c r="GY39" i="2" s="1"/>
  <c r="GZ39" i="2" s="1"/>
  <c r="HA39" i="2" s="1"/>
  <c r="HB39" i="2" s="1"/>
  <c r="HC39" i="2" s="1"/>
  <c r="HD39" i="2" s="1"/>
  <c r="HE39" i="2" s="1"/>
  <c r="HF39" i="2" s="1"/>
  <c r="HG39" i="2" s="1"/>
  <c r="HH39" i="2" s="1"/>
  <c r="HI39" i="2" s="1"/>
  <c r="HJ39" i="2" s="1"/>
  <c r="HK39" i="2" s="1"/>
  <c r="HL39" i="2" s="1"/>
  <c r="HM39" i="2" s="1"/>
  <c r="HN39" i="2" s="1"/>
  <c r="HO39" i="2" s="1"/>
  <c r="HP39" i="2" s="1"/>
  <c r="HQ39" i="2" s="1"/>
  <c r="HR39" i="2" s="1"/>
  <c r="HS39" i="2" s="1"/>
  <c r="HT39" i="2" s="1"/>
  <c r="HU39" i="2" s="1"/>
  <c r="HV39" i="2" s="1"/>
  <c r="HW39" i="2" s="1"/>
  <c r="HX39" i="2" s="1"/>
  <c r="HY39" i="2" s="1"/>
  <c r="HZ39" i="2" s="1"/>
  <c r="IA39" i="2" s="1"/>
  <c r="IB39" i="2" s="1"/>
  <c r="IC39" i="2" s="1"/>
  <c r="ID39" i="2" s="1"/>
  <c r="IE39" i="2" s="1"/>
  <c r="AQ51" i="2" s="1"/>
  <c r="AQ53" i="2" s="1"/>
  <c r="AQ55" i="2" s="1"/>
  <c r="AM63" i="2" l="1"/>
  <c r="E12" i="2" l="1"/>
</calcChain>
</file>

<file path=xl/sharedStrings.xml><?xml version="1.0" encoding="utf-8"?>
<sst xmlns="http://schemas.openxmlformats.org/spreadsheetml/2006/main" count="295" uniqueCount="201">
  <si>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</si>
  <si>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</si>
  <si>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</si>
  <si>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</si>
  <si>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</si>
  <si>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</si>
  <si>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</si>
  <si>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</si>
  <si>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</si>
  <si>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Q122</t>
  </si>
  <si>
    <t>Q222</t>
  </si>
  <si>
    <t>Q322</t>
  </si>
  <si>
    <t>Q422</t>
  </si>
  <si>
    <t>Restaurant Sales</t>
  </si>
  <si>
    <t>Franchise</t>
  </si>
  <si>
    <t xml:space="preserve">Total Revenue </t>
  </si>
  <si>
    <t>Food/Packaging costs</t>
  </si>
  <si>
    <t xml:space="preserve">Payroll/other </t>
  </si>
  <si>
    <t>Restaurant occupancy</t>
  </si>
  <si>
    <t>Other restaurant costs</t>
  </si>
  <si>
    <t>Preopening</t>
  </si>
  <si>
    <t>D&amp;A</t>
  </si>
  <si>
    <t>G&amp;A</t>
  </si>
  <si>
    <t>Ad costs</t>
  </si>
  <si>
    <t xml:space="preserve">Operating Income </t>
  </si>
  <si>
    <t>Interest/other epxense</t>
  </si>
  <si>
    <t>EBT</t>
  </si>
  <si>
    <t>Taxes</t>
  </si>
  <si>
    <t xml:space="preserve">Net Income </t>
  </si>
  <si>
    <t>Diluted</t>
  </si>
  <si>
    <t>EPS</t>
  </si>
  <si>
    <t xml:space="preserve">noncontrlling </t>
  </si>
  <si>
    <t xml:space="preserve">Net Income, common </t>
  </si>
  <si>
    <t xml:space="preserve">CEO </t>
  </si>
  <si>
    <t xml:space="preserve">CFO </t>
  </si>
  <si>
    <t>Founded</t>
  </si>
  <si>
    <t>Good Times Restaurant (GTIM)</t>
  </si>
  <si>
    <t xml:space="preserve">Cash </t>
  </si>
  <si>
    <t>Bad Daddy Burger Bar</t>
  </si>
  <si>
    <t>Good Times Burgers</t>
  </si>
  <si>
    <t xml:space="preserve">Company Owned </t>
  </si>
  <si>
    <t xml:space="preserve">Franchised Owned </t>
  </si>
  <si>
    <t>AVG Rev per Co Owned</t>
  </si>
  <si>
    <t>AVG Rev per Franchised</t>
  </si>
  <si>
    <t xml:space="preserve">% Revenue </t>
  </si>
  <si>
    <t>Capex</t>
  </si>
  <si>
    <t xml:space="preserve">Free Cash Flow </t>
  </si>
  <si>
    <t>$M</t>
  </si>
  <si>
    <t>Cash &amp; Equivalents</t>
  </si>
  <si>
    <t>Accounts Receivable</t>
  </si>
  <si>
    <t>Inventory</t>
  </si>
  <si>
    <t>Current Assets</t>
  </si>
  <si>
    <t>Prepaid Exp</t>
  </si>
  <si>
    <t xml:space="preserve">Total Assets </t>
  </si>
  <si>
    <t>PP&amp;E</t>
  </si>
  <si>
    <t xml:space="preserve">CFFO </t>
  </si>
  <si>
    <t xml:space="preserve">Net Cash </t>
  </si>
  <si>
    <t xml:space="preserve">Terminal </t>
  </si>
  <si>
    <t xml:space="preserve">Discount </t>
  </si>
  <si>
    <t>NPV</t>
  </si>
  <si>
    <t xml:space="preserve">Total Value </t>
  </si>
  <si>
    <t>Shares</t>
  </si>
  <si>
    <t xml:space="preserve">Estimate </t>
  </si>
  <si>
    <t>Current</t>
  </si>
  <si>
    <t xml:space="preserve">Comp </t>
  </si>
  <si>
    <t>Habit Burger</t>
  </si>
  <si>
    <t>Five Guys</t>
  </si>
  <si>
    <t>Smashburger</t>
  </si>
  <si>
    <t>Avg Chek</t>
  </si>
  <si>
    <t>&lt;</t>
  </si>
  <si>
    <t>Mcdonalds</t>
  </si>
  <si>
    <t>Wendy's</t>
  </si>
  <si>
    <t>Burger King</t>
  </si>
  <si>
    <t>In N Out</t>
  </si>
  <si>
    <t>Whataburger</t>
  </si>
  <si>
    <t>&gt;</t>
  </si>
  <si>
    <t xml:space="preserve">Bad Daddy's Restaurants </t>
  </si>
  <si>
    <t xml:space="preserve">Current Liabilities </t>
  </si>
  <si>
    <t>EV/23E</t>
  </si>
  <si>
    <t>EV/24E</t>
  </si>
  <si>
    <t>EV/25E</t>
  </si>
  <si>
    <t>EBITDA</t>
  </si>
  <si>
    <t>Bad Daddy Burger Bar Y/Y</t>
  </si>
  <si>
    <t>Good Times Burgers Y/Y</t>
  </si>
  <si>
    <t>Bad Daddy Burger Bar S</t>
  </si>
  <si>
    <t>Good Times Burgers S</t>
  </si>
  <si>
    <t>Bad Daddy Burger Bar Op Income</t>
  </si>
  <si>
    <t xml:space="preserve">Good Times Burgers Op Income </t>
  </si>
  <si>
    <t>Bad Daddy Burger Bar OM %</t>
  </si>
  <si>
    <t>Good Times Burgers OM %</t>
  </si>
  <si>
    <t>Franchise Y/Y</t>
  </si>
  <si>
    <t xml:space="preserve">Revenue </t>
  </si>
  <si>
    <t>Restaurant Y/Y</t>
  </si>
  <si>
    <t>Press Release</t>
  </si>
  <si>
    <t xml:space="preserve">Contains </t>
  </si>
  <si>
    <t>Bad daddy's restaurants open more than a year typically has revenue between $2.3m-$2.5m</t>
  </si>
  <si>
    <t>Fiscal 2013</t>
  </si>
  <si>
    <t xml:space="preserve">Annouces opening of 1st Colorado Bad Daddy's Burger bar </t>
  </si>
  <si>
    <t>CEO</t>
  </si>
  <si>
    <t xml:space="preserve">Boyd Hoback </t>
  </si>
  <si>
    <t>1st Good Times restaurant exceeded $2m in annual sales</t>
  </si>
  <si>
    <t xml:space="preserve">Plan to use proceeds of series c converible prteferred to remodel existing Good Times units, new restaurants, new Bid Daddy's, and a new PoS system </t>
  </si>
  <si>
    <t xml:space="preserve">Finalizing loan documents for $2.1M Sr. term debt financingd to help with PoS and. Development of units </t>
  </si>
  <si>
    <t>Rollout a new TV campaign focused on frozen custard. April SSS 14.4%</t>
  </si>
  <si>
    <t>Q2-14 results: SSS 17.8% for the quarter</t>
  </si>
  <si>
    <t>Exercise of warrants</t>
  </si>
  <si>
    <t xml:space="preserve">Strong growth at Good Times.  CEO expects growth to eventually flatten out </t>
  </si>
  <si>
    <t xml:space="preserve">Menu innovation.  CEO mentions last yr growth was primarily transaction growth and this year it's a combination or transaction and avg check </t>
  </si>
  <si>
    <t>Record opening sales of 2nd Bad Daddy's Burger bar</t>
  </si>
  <si>
    <t>Q4 SSS 11.9%</t>
  </si>
  <si>
    <t>Announce new CFO: Jim Zielke</t>
  </si>
  <si>
    <t xml:space="preserve">Announces public offering of common.  Dilutive.  </t>
  </si>
  <si>
    <t>Entering agreement to purchase all Interests in Bad Daddy's Int'l/. $18.5M in cash.  $2.5M in promissory note</t>
  </si>
  <si>
    <t xml:space="preserve">$9M debt facility  with Cadence Bank </t>
  </si>
  <si>
    <t xml:space="preserve">Jim Zielke CFO resigned due to a ownership oppty in a private restaurant. Ryan Zink new CFO </t>
  </si>
  <si>
    <t>Proxy fight?</t>
  </si>
  <si>
    <t xml:space="preserve">Board agreement to downsize </t>
  </si>
  <si>
    <t>CEO Boyd Bank Resigned.  CFO Ryan Zink to act as CEO</t>
  </si>
  <si>
    <t xml:space="preserve">Ryan Zink </t>
  </si>
  <si>
    <t xml:space="preserve">Ryan Zink officially named CEO </t>
  </si>
  <si>
    <t>Expands debt facility from $9M to $12M to support growth for Capex at Good Times and Bad Daddy's</t>
  </si>
  <si>
    <t>Tender offer 1.4M shares represents 11% of shares oust.</t>
  </si>
  <si>
    <t xml:space="preserve">Pre-lim: Expects to purchase 333,241 shares ~2.6% of oust stock as of 9/13/21.  Total costs $1.5M.  Offer fell short of 1.4M shares meaning not many shareholders participated </t>
  </si>
  <si>
    <t xml:space="preserve">VP of Operations retired </t>
  </si>
  <si>
    <t xml:space="preserve">Donald Stack named VP of Operations </t>
  </si>
  <si>
    <t>Geoffrey Bailer retirign from the Board</t>
  </si>
  <si>
    <t>Vp of Finance Mathew Karnes</t>
  </si>
  <si>
    <t xml:space="preserve">Keri August Sr. VP of Finance and Accounting </t>
  </si>
  <si>
    <t>Final Tender outcome: 333,241 shares tendered.  2.6% shares oust. Total costs: $1.5M.  Company offer to repurchase 1.4M shares.</t>
  </si>
  <si>
    <t>Sr. VP Finance</t>
  </si>
  <si>
    <t xml:space="preserve">Keri August </t>
  </si>
  <si>
    <t>Holders</t>
  </si>
  <si>
    <t xml:space="preserve">Value </t>
  </si>
  <si>
    <t xml:space="preserve">Amount </t>
  </si>
  <si>
    <t>Change</t>
  </si>
  <si>
    <t>%</t>
  </si>
  <si>
    <t>vanguard group inc</t>
  </si>
  <si>
    <t>renaissance technologies llc</t>
  </si>
  <si>
    <t>bridgeway capital management inc</t>
  </si>
  <si>
    <t>susquehanna international group, llp</t>
  </si>
  <si>
    <t>geode capital management, llc</t>
  </si>
  <si>
    <t>dimensional fund advisors lp</t>
  </si>
  <si>
    <t>diligent investors, llc</t>
  </si>
  <si>
    <t>empowered funds, llc</t>
  </si>
  <si>
    <t>blackrock inc.</t>
  </si>
  <si>
    <t>citadel advisors llc</t>
  </si>
  <si>
    <t>state street corp</t>
  </si>
  <si>
    <t>acadian asset management llc</t>
  </si>
  <si>
    <t>northern trust corp</t>
  </si>
  <si>
    <t>morgan stanley</t>
  </si>
  <si>
    <t>tower research capital llc (trc)</t>
  </si>
  <si>
    <t>simplex trading, llc</t>
  </si>
  <si>
    <t>bank of america corp /de/</t>
  </si>
  <si>
    <t>Other</t>
  </si>
  <si>
    <t>Current Debt</t>
  </si>
  <si>
    <t>A/P</t>
  </si>
  <si>
    <t>Deferred R</t>
  </si>
  <si>
    <t>Op Lease</t>
  </si>
  <si>
    <t>Other Accrued</t>
  </si>
  <si>
    <t>LTD</t>
  </si>
  <si>
    <t xml:space="preserve">Total Liabilities </t>
  </si>
  <si>
    <t xml:space="preserve">Preferred Stock </t>
  </si>
  <si>
    <t xml:space="preserve">Common Stock </t>
  </si>
  <si>
    <t>Capital Contributed</t>
  </si>
  <si>
    <t xml:space="preserve">Treaury Stock </t>
  </si>
  <si>
    <t xml:space="preserve">Accumulated Deficit </t>
  </si>
  <si>
    <t>Total Equity</t>
  </si>
  <si>
    <t xml:space="preserve">noncontrolling </t>
  </si>
  <si>
    <t>TL + E</t>
  </si>
  <si>
    <t>Total Debt</t>
  </si>
  <si>
    <t xml:space="preserve">Net Cash Per Share </t>
  </si>
  <si>
    <t>Price</t>
  </si>
  <si>
    <t>Market Cap</t>
  </si>
  <si>
    <t>Debt</t>
  </si>
  <si>
    <t xml:space="preserve">Enterprise Value </t>
  </si>
  <si>
    <t xml:space="preserve">Ticker: GTIM </t>
  </si>
  <si>
    <t xml:space="preserve">Restaurant Margin </t>
  </si>
  <si>
    <t>Revenue Growth Y/Y</t>
  </si>
  <si>
    <t>SSS</t>
  </si>
  <si>
    <t>Bad Daddy Burder SSS</t>
  </si>
  <si>
    <t>Good Times SSS</t>
  </si>
  <si>
    <t>4Q NI</t>
  </si>
  <si>
    <t>4Q FCF</t>
  </si>
  <si>
    <t xml:space="preserve">CEO Salary </t>
  </si>
  <si>
    <t>Total Compensation</t>
  </si>
  <si>
    <t xml:space="preserve">Stock Performance </t>
  </si>
  <si>
    <t>&lt;--- YTD</t>
  </si>
  <si>
    <t xml:space="preserve">Opening </t>
  </si>
  <si>
    <t>Life Time Stock Return: -96.83%</t>
  </si>
  <si>
    <t>Bear</t>
  </si>
  <si>
    <t>Bull</t>
  </si>
  <si>
    <t>Base</t>
  </si>
  <si>
    <t>+</t>
  </si>
  <si>
    <t>Market cap</t>
  </si>
  <si>
    <t>ROIC</t>
  </si>
  <si>
    <t>Total Revenue Y/Y</t>
  </si>
  <si>
    <t xml:space="preserve">SSS strength.  4th consecutive month of two year same store increases over 20% </t>
  </si>
  <si>
    <t>Q3 SSS 12.5%:  Beef/bacon/dairy costs at historic high.  Company took price increases to mitigate the impact</t>
  </si>
  <si>
    <t>To reduce credit facility to $11M with plans to decrease further to $8M by July 2021.  New CEO emphasized financial discipline over aggressive expansion</t>
  </si>
  <si>
    <t xml:space="preserve">Tender offer: Plans to buy back 1.4M shares at $4.60 per share (~$6.5M).  BOD believes tender offer returns capital to shareholders &amp; allows no particpating shareholders to benefit from higher ownership stake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</si>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</sst>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m/d;@"/>
    <numFmt numFmtId="170" formatCode="0.0%"/>
    <numFmt numFmtId="171" formatCode="#,##0,"/>
    <numFmt numFmtId="174" formatCode="#,##0.0,"/>
    <numFmt numFmtId="175" formatCode="#,##0.0"/>
    <numFmt numFmtId="177" formatCode="#,##0.0\x"/>
  </numFmts>
  <fonts count="12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i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"/>
      <name val="ArialMT"/>
      <family val="2"/>
    </font>
    <font>
      <sz val="10"/>
      <color theme="10"/>
      <name val="ArialMT"/>
      <family val="2"/>
    </font>
    <font>
      <b/>
      <u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4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3" fontId="4" fillId="0" borderId="0" xfId="0" applyNumberFormat="1" applyFont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5" fillId="0" borderId="0" xfId="0" applyNumberFormat="1" applyFont="1"/>
    <xf numFmtId="3" fontId="5" fillId="0" borderId="0" xfId="0" applyNumberFormat="1" applyFont="1"/>
    <xf numFmtId="170" fontId="0" fillId="0" borderId="0" xfId="0" applyNumberFormat="1"/>
    <xf numFmtId="171" fontId="0" fillId="0" borderId="0" xfId="0" applyNumberFormat="1"/>
    <xf numFmtId="174" fontId="0" fillId="0" borderId="0" xfId="0" applyNumberFormat="1"/>
    <xf numFmtId="170" fontId="5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4" fontId="5" fillId="0" borderId="0" xfId="0" applyNumberFormat="1" applyFont="1"/>
    <xf numFmtId="3" fontId="9" fillId="0" borderId="0" xfId="0" applyNumberFormat="1" applyFont="1"/>
    <xf numFmtId="175" fontId="0" fillId="0" borderId="0" xfId="0" applyNumberFormat="1"/>
    <xf numFmtId="177" fontId="0" fillId="0" borderId="0" xfId="0" applyNumberFormat="1"/>
    <xf numFmtId="9" fontId="5" fillId="2" borderId="0" xfId="0" applyNumberFormat="1" applyFont="1" applyFill="1"/>
    <xf numFmtId="9" fontId="0" fillId="2" borderId="0" xfId="0" applyNumberFormat="1" applyFill="1"/>
    <xf numFmtId="9" fontId="3" fillId="2" borderId="0" xfId="0" applyNumberFormat="1" applyFont="1" applyFill="1"/>
    <xf numFmtId="3" fontId="0" fillId="0" borderId="0" xfId="0" applyNumberFormat="1" applyFill="1"/>
    <xf numFmtId="9" fontId="0" fillId="0" borderId="0" xfId="0" applyNumberFormat="1" applyFill="1"/>
    <xf numFmtId="9" fontId="3" fillId="0" borderId="0" xfId="0" applyNumberFormat="1" applyFont="1" applyFill="1"/>
    <xf numFmtId="14" fontId="6" fillId="0" borderId="0" xfId="2" applyNumberFormat="1"/>
    <xf numFmtId="14" fontId="10" fillId="0" borderId="0" xfId="2" applyNumberFormat="1" applyFont="1"/>
    <xf numFmtId="3" fontId="0" fillId="0" borderId="0" xfId="0" applyNumberFormat="1" applyFont="1"/>
    <xf numFmtId="9" fontId="0" fillId="0" borderId="0" xfId="0" applyNumberFormat="1" applyFont="1"/>
    <xf numFmtId="3" fontId="11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3" fontId="8" fillId="0" borderId="0" xfId="0" applyNumberFormat="1" applyFont="1"/>
    <xf numFmtId="3" fontId="2" fillId="0" borderId="0" xfId="0" applyNumberFormat="1" applyFont="1"/>
    <xf numFmtId="3" fontId="7" fillId="0" borderId="0" xfId="0" applyNumberFormat="1" applyFont="1"/>
    <xf numFmtId="9" fontId="2" fillId="0" borderId="0" xfId="0" applyNumberFormat="1" applyFont="1"/>
    <xf numFmtId="170" fontId="0" fillId="0" borderId="0" xfId="0" applyNumberFormat="1" applyFont="1"/>
    <xf numFmtId="9" fontId="0" fillId="0" borderId="0" xfId="1" applyFont="1"/>
    <xf numFmtId="0" fontId="0" fillId="0" borderId="0" xfId="0" applyNumberFormat="1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Bad Daddy Burger Bar 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Charts!$I$2:$P$2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Charts!$I$3:$P$3</c:f>
              <c:numCache>
                <c:formatCode>#,##0</c:formatCode>
                <c:ptCount val="8"/>
                <c:pt idx="0">
                  <c:v>35222</c:v>
                </c:pt>
                <c:pt idx="1">
                  <c:v>48067</c:v>
                </c:pt>
                <c:pt idx="2">
                  <c:v>67792</c:v>
                </c:pt>
                <c:pt idx="3">
                  <c:v>80124</c:v>
                </c:pt>
                <c:pt idx="4">
                  <c:v>76538</c:v>
                </c:pt>
                <c:pt idx="5">
                  <c:v>88844</c:v>
                </c:pt>
                <c:pt idx="6">
                  <c:v>103502</c:v>
                </c:pt>
                <c:pt idx="7">
                  <c:v>102517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0B47-833D-93D0C6AE7629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Good Times Burgers 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Charts!$I$2:$P$2</c:f>
              <c:numCache>
                <c:formatCode>0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Charts!$I$4:$P$4</c:f>
              <c:numCache>
                <c:formatCode>#,##0</c:formatCode>
                <c:ptCount val="8"/>
                <c:pt idx="0">
                  <c:v>29217</c:v>
                </c:pt>
                <c:pt idx="1">
                  <c:v>31013</c:v>
                </c:pt>
                <c:pt idx="2">
                  <c:v>31779</c:v>
                </c:pt>
                <c:pt idx="3">
                  <c:v>30631</c:v>
                </c:pt>
                <c:pt idx="4">
                  <c:v>33320</c:v>
                </c:pt>
                <c:pt idx="5">
                  <c:v>35109</c:v>
                </c:pt>
                <c:pt idx="6">
                  <c:v>34698</c:v>
                </c:pt>
                <c:pt idx="7">
                  <c:v>32605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4-0B47-833D-93D0C6AE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38639"/>
        <c:axId val="1105784079"/>
      </c:scatterChart>
      <c:valAx>
        <c:axId val="11053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4079"/>
        <c:crosses val="autoZero"/>
        <c:crossBetween val="midCat"/>
      </c:valAx>
      <c:valAx>
        <c:axId val="11057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3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SSS 12Q</a:t>
            </a:r>
            <a:r>
              <a:rPr lang="en-US" baseline="0"/>
              <a:t> </a:t>
            </a:r>
            <a:r>
              <a:rPr lang="en-US"/>
              <a:t>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Charts!$B$7</c:f>
              <c:strCache>
                <c:ptCount val="1"/>
                <c:pt idx="0">
                  <c:v>Bad Daddy Burger 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Charts!$C$6:$N$6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xVal>
          <c:yVal>
            <c:numRef>
              <c:f>Charts!$C$7:$N$7</c:f>
              <c:numCache>
                <c:formatCode>0.0%</c:formatCode>
                <c:ptCount val="12"/>
                <c:pt idx="0">
                  <c:v>0.24</c:v>
                </c:pt>
                <c:pt idx="1">
                  <c:v>0.155</c:v>
                </c:pt>
                <c:pt idx="2">
                  <c:v>5.2999999999999999E-2</c:v>
                </c:pt>
                <c:pt idx="3">
                  <c:v>0.112</c:v>
                </c:pt>
                <c:pt idx="4">
                  <c:v>2.4E-2</c:v>
                </c:pt>
                <c:pt idx="5">
                  <c:v>4.5999999999999999E-2</c:v>
                </c:pt>
                <c:pt idx="6">
                  <c:v>-1.4E-2</c:v>
                </c:pt>
                <c:pt idx="7">
                  <c:v>1E-3</c:v>
                </c:pt>
                <c:pt idx="8">
                  <c:v>6.2E-2</c:v>
                </c:pt>
                <c:pt idx="9">
                  <c:v>-3.2000000000000001E-2</c:v>
                </c:pt>
                <c:pt idx="10">
                  <c:v>1.2E-2</c:v>
                </c:pt>
                <c:pt idx="11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3-FB4E-B47A-8063EBFF637F}"/>
            </c:ext>
          </c:extLst>
        </c:ser>
        <c:ser>
          <c:idx val="1"/>
          <c:order val="1"/>
          <c:tx>
            <c:strRef>
              <c:f>Charts!$B$8</c:f>
              <c:strCache>
                <c:ptCount val="1"/>
                <c:pt idx="0">
                  <c:v>Good Times Burgers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024475524475518E-2"/>
                  <c:y val="0.104713778794410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D3-FB4E-B47A-8063EBFF637F}"/>
                </c:ext>
              </c:extLst>
            </c:dLbl>
            <c:dLbl>
              <c:idx val="6"/>
              <c:layout>
                <c:manualLayout>
                  <c:x val="-3.1993006993006994E-2"/>
                  <c:y val="8.609180486517398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D3-FB4E-B47A-8063EBFF637F}"/>
                </c:ext>
              </c:extLst>
            </c:dLbl>
            <c:dLbl>
              <c:idx val="7"/>
              <c:layout>
                <c:manualLayout>
                  <c:x val="-3.1993006993007118E-2"/>
                  <c:y val="0.100058285312101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D3-FB4E-B47A-8063EBFF637F}"/>
                </c:ext>
              </c:extLst>
            </c:dLbl>
            <c:dLbl>
              <c:idx val="9"/>
              <c:layout>
                <c:manualLayout>
                  <c:x val="-3.1993006993006994E-2"/>
                  <c:y val="9.540279182979222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D3-FB4E-B47A-8063EBFF637F}"/>
                </c:ext>
              </c:extLst>
            </c:dLbl>
            <c:dLbl>
              <c:idx val="10"/>
              <c:layout>
                <c:manualLayout>
                  <c:x val="-3.1993006993006994E-2"/>
                  <c:y val="0.132646739688265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D3-FB4E-B47A-8063EBFF63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Charts!$C$6:$N$6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xVal>
          <c:yVal>
            <c:numRef>
              <c:f>Charts!$C$8:$N$8</c:f>
              <c:numCache>
                <c:formatCode>0.0%</c:formatCode>
                <c:ptCount val="12"/>
                <c:pt idx="0">
                  <c:v>-2.5000000000000001E-2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1.0999999999999999E-2</c:v>
                </c:pt>
                <c:pt idx="4">
                  <c:v>0.03</c:v>
                </c:pt>
                <c:pt idx="5">
                  <c:v>7.5999999999999998E-2</c:v>
                </c:pt>
                <c:pt idx="6">
                  <c:v>2.1000000000000001E-2</c:v>
                </c:pt>
                <c:pt idx="7">
                  <c:v>3.6999999999999998E-2</c:v>
                </c:pt>
                <c:pt idx="8">
                  <c:v>4.1000000000000002E-2</c:v>
                </c:pt>
                <c:pt idx="9">
                  <c:v>8.9999999999999993E-3</c:v>
                </c:pt>
                <c:pt idx="10">
                  <c:v>5.8000000000000003E-2</c:v>
                </c:pt>
                <c:pt idx="11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3-FB4E-B47A-8063EBFF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76607"/>
        <c:axId val="386426719"/>
      </c:scatterChart>
      <c:valAx>
        <c:axId val="385976607"/>
        <c:scaling>
          <c:orientation val="minMax"/>
          <c:max val="12"/>
        </c:scaling>
        <c:delete val="1"/>
        <c:axPos val="b"/>
        <c:majorTickMark val="none"/>
        <c:minorTickMark val="none"/>
        <c:tickLblPos val="low"/>
        <c:crossAx val="386426719"/>
        <c:crosses val="autoZero"/>
        <c:crossBetween val="midCat"/>
      </c:valAx>
      <c:valAx>
        <c:axId val="386426719"/>
        <c:scaling>
          <c:orientation val="minMax"/>
          <c:max val="0.25"/>
          <c:min val="-0.25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Restaurant Expenses as 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Charts!$B$13</c:f>
              <c:strCache>
                <c:ptCount val="1"/>
                <c:pt idx="0">
                  <c:v>Food/Packaging costs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Charts!$C$2:$P$2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Charts!$C$13:$P$13</c:f>
              <c:numCache>
                <c:formatCode>0%</c:formatCode>
                <c:ptCount val="14"/>
                <c:pt idx="0">
                  <c:v>0.34419786224416432</c:v>
                </c:pt>
                <c:pt idx="1">
                  <c:v>0.35145367179536963</c:v>
                </c:pt>
                <c:pt idx="2">
                  <c:v>0.33497637075054626</c:v>
                </c:pt>
                <c:pt idx="3">
                  <c:v>0.33439629564913509</c:v>
                </c:pt>
                <c:pt idx="4">
                  <c:v>0.33074152013410851</c:v>
                </c:pt>
                <c:pt idx="5">
                  <c:v>0.33063985291781101</c:v>
                </c:pt>
                <c:pt idx="6">
                  <c:v>0.31403342696193298</c:v>
                </c:pt>
                <c:pt idx="7">
                  <c:v>0.31487101669195749</c:v>
                </c:pt>
                <c:pt idx="8">
                  <c:v>0.30386357473561582</c:v>
                </c:pt>
                <c:pt idx="9">
                  <c:v>0.29317863753329421</c:v>
                </c:pt>
                <c:pt idx="10">
                  <c:v>0.2967376067286861</c:v>
                </c:pt>
                <c:pt idx="11">
                  <c:v>0.29175574612958138</c:v>
                </c:pt>
                <c:pt idx="12">
                  <c:v>0.31748914616497831</c:v>
                </c:pt>
                <c:pt idx="13">
                  <c:v>0.31066738101099028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4-FE48-BDC7-7E0CB57F8BC3}"/>
            </c:ext>
          </c:extLst>
        </c:ser>
        <c:ser>
          <c:idx val="1"/>
          <c:order val="1"/>
          <c:tx>
            <c:strRef>
              <c:f>Charts!$B$14</c:f>
              <c:strCache>
                <c:ptCount val="1"/>
                <c:pt idx="0">
                  <c:v>Payroll/other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Charts!$C$2:$P$2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Charts!$C$14:$P$14</c:f>
              <c:numCache>
                <c:formatCode>0%</c:formatCode>
                <c:ptCount val="14"/>
                <c:pt idx="0">
                  <c:v>0.3527297128888463</c:v>
                </c:pt>
                <c:pt idx="1">
                  <c:v>0.34184342086103964</c:v>
                </c:pt>
                <c:pt idx="2">
                  <c:v>0.34000711418263124</c:v>
                </c:pt>
                <c:pt idx="3">
                  <c:v>0.34112353660667483</c:v>
                </c:pt>
                <c:pt idx="4">
                  <c:v>0.33202553768234833</c:v>
                </c:pt>
                <c:pt idx="5">
                  <c:v>0.32655423655718729</c:v>
                </c:pt>
                <c:pt idx="6">
                  <c:v>0.34292897158553048</c:v>
                </c:pt>
                <c:pt idx="7">
                  <c:v>0.35753667172483561</c:v>
                </c:pt>
                <c:pt idx="8">
                  <c:v>0.35806610358437696</c:v>
                </c:pt>
                <c:pt idx="9">
                  <c:v>0.37218184280619387</c:v>
                </c:pt>
                <c:pt idx="10">
                  <c:v>0.35283729905878497</c:v>
                </c:pt>
                <c:pt idx="11">
                  <c:v>0.33116584511871433</c:v>
                </c:pt>
                <c:pt idx="12">
                  <c:v>0.33657742402315483</c:v>
                </c:pt>
                <c:pt idx="13">
                  <c:v>0.3442536308480908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4-FE48-BDC7-7E0CB57F8BC3}"/>
            </c:ext>
          </c:extLst>
        </c:ser>
        <c:ser>
          <c:idx val="2"/>
          <c:order val="2"/>
          <c:tx>
            <c:strRef>
              <c:f>Charts!$B$15</c:f>
              <c:strCache>
                <c:ptCount val="1"/>
                <c:pt idx="0">
                  <c:v>Restaurant occupancy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Charts!$C$2:$P$2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Charts!$C$15:$P$15</c:f>
              <c:numCache>
                <c:formatCode>0%</c:formatCode>
                <c:ptCount val="14"/>
                <c:pt idx="0">
                  <c:v>0.20759238843886305</c:v>
                </c:pt>
                <c:pt idx="1">
                  <c:v>0.20249478231325535</c:v>
                </c:pt>
                <c:pt idx="2">
                  <c:v>0.20016260988871384</c:v>
                </c:pt>
                <c:pt idx="3">
                  <c:v>0.18980429844487157</c:v>
                </c:pt>
                <c:pt idx="4">
                  <c:v>0.17448371794414524</c:v>
                </c:pt>
                <c:pt idx="5">
                  <c:v>7.6264838731643095E-2</c:v>
                </c:pt>
                <c:pt idx="6">
                  <c:v>7.5932277037197973E-2</c:v>
                </c:pt>
                <c:pt idx="7">
                  <c:v>7.2824987354577639E-2</c:v>
                </c:pt>
                <c:pt idx="8">
                  <c:v>7.2922838979220861E-2</c:v>
                </c:pt>
                <c:pt idx="9">
                  <c:v>7.5418716987946374E-2</c:v>
                </c:pt>
                <c:pt idx="10">
                  <c:v>8.078610570008557E-2</c:v>
                </c:pt>
                <c:pt idx="11">
                  <c:v>7.1115664808435453E-2</c:v>
                </c:pt>
                <c:pt idx="12">
                  <c:v>6.8306801736613604E-2</c:v>
                </c:pt>
                <c:pt idx="13">
                  <c:v>6.9554451861397901E-2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4-FE48-BDC7-7E0CB57F8BC3}"/>
            </c:ext>
          </c:extLst>
        </c:ser>
        <c:ser>
          <c:idx val="3"/>
          <c:order val="3"/>
          <c:tx>
            <c:strRef>
              <c:f>Charts!$B$16</c:f>
              <c:strCache>
                <c:ptCount val="1"/>
                <c:pt idx="0">
                  <c:v>Other restaurant costs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A4-FE48-BDC7-7E0CB57F8B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A4-FE48-BDC7-7E0CB57F8B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A4-FE48-BDC7-7E0CB57F8B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A4-FE48-BDC7-7E0CB57F8BC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A4-FE48-BDC7-7E0CB57F8B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Charts!$C$2:$P$2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Charts!$C$16:$P$16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8.6683160451233629E-2</c:v>
                </c:pt>
                <c:pt idx="6">
                  <c:v>8.8207452008876613E-2</c:v>
                </c:pt>
                <c:pt idx="7">
                  <c:v>8.9580171977744052E-2</c:v>
                </c:pt>
                <c:pt idx="8">
                  <c:v>9.3229956513442666E-2</c:v>
                </c:pt>
                <c:pt idx="9">
                  <c:v>0.1071012595368155</c:v>
                </c:pt>
                <c:pt idx="10">
                  <c:v>0.1105791112162974</c:v>
                </c:pt>
                <c:pt idx="11">
                  <c:v>0.1202955959113535</c:v>
                </c:pt>
                <c:pt idx="12">
                  <c:v>0.13397250361794499</c:v>
                </c:pt>
                <c:pt idx="13">
                  <c:v>0.13765366849596733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4-FE48-BDC7-7E0CB57F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338639"/>
        <c:axId val="1105784079"/>
      </c:barChart>
      <c:catAx>
        <c:axId val="11053386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4079"/>
        <c:crosses val="autoZero"/>
        <c:auto val="1"/>
        <c:lblAlgn val="ctr"/>
        <c:lblOffset val="100"/>
        <c:noMultiLvlLbl val="0"/>
      </c:catAx>
      <c:valAx>
        <c:axId val="11057840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053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Growth Vs Restaurant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Charts!$B$19</c:f>
              <c:strCache>
                <c:ptCount val="1"/>
                <c:pt idx="0">
                  <c:v>Total Revenue Y/Y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Charts!$D$2:$P$2</c:f>
              <c:numCache>
                <c:formatCode>0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Charts!$D$19:$P$19</c:f>
              <c:numCache>
                <c:formatCode>0%</c:formatCode>
                <c:ptCount val="13"/>
                <c:pt idx="0">
                  <c:v>-1.2462253750659014E-2</c:v>
                </c:pt>
                <c:pt idx="1">
                  <c:v>-4.4847837693539727E-2</c:v>
                </c:pt>
                <c:pt idx="2">
                  <c:v>0.16327049138675753</c:v>
                </c:pt>
                <c:pt idx="3">
                  <c:v>0.2247510047178054</c:v>
                </c:pt>
                <c:pt idx="4">
                  <c:v>0.57138780896672259</c:v>
                </c:pt>
                <c:pt idx="5">
                  <c:v>0.46262795923462785</c:v>
                </c:pt>
                <c:pt idx="6">
                  <c:v>0.22720712611927563</c:v>
                </c:pt>
                <c:pt idx="7">
                  <c:v>0.25911734951947385</c:v>
                </c:pt>
                <c:pt idx="8">
                  <c:v>0.11232186078275808</c:v>
                </c:pt>
                <c:pt idx="9">
                  <c:v>-8.0989571576903785E-3</c:v>
                </c:pt>
                <c:pt idx="10">
                  <c:v>0.12830198984143171</c:v>
                </c:pt>
                <c:pt idx="11">
                  <c:v>0.11493872677547134</c:v>
                </c:pt>
                <c:pt idx="12">
                  <c:v>-5.6439942112884722E-4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C-4146-BC1D-9F721FD5CD1C}"/>
            </c:ext>
          </c:extLst>
        </c:ser>
        <c:ser>
          <c:idx val="1"/>
          <c:order val="1"/>
          <c:tx>
            <c:strRef>
              <c:f>Charts!$B$20</c:f>
              <c:strCache>
                <c:ptCount val="1"/>
                <c:pt idx="0">
                  <c:v>Restaurant Margin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Charts!$D$2:$P$2</c:f>
              <c:numCache>
                <c:formatCode>0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Charts!$D$20:$P$20</c:f>
              <c:numCache>
                <c:formatCode>0%</c:formatCode>
                <c:ptCount val="13"/>
                <c:pt idx="0">
                  <c:v>0.10420812503033539</c:v>
                </c:pt>
                <c:pt idx="1">
                  <c:v>0.12485390517810864</c:v>
                </c:pt>
                <c:pt idx="2">
                  <c:v>0.13467586929931855</c:v>
                </c:pt>
                <c:pt idx="3">
                  <c:v>0.16274922423939794</c:v>
                </c:pt>
                <c:pt idx="4">
                  <c:v>0.17985791134212498</c:v>
                </c:pt>
                <c:pt idx="5">
                  <c:v>0.17889787240646193</c:v>
                </c:pt>
                <c:pt idx="6">
                  <c:v>0.16518715225088518</c:v>
                </c:pt>
                <c:pt idx="7">
                  <c:v>0.17191752618734371</c:v>
                </c:pt>
                <c:pt idx="8">
                  <c:v>0.15211954313575007</c:v>
                </c:pt>
                <c:pt idx="9">
                  <c:v>0.15905987729614593</c:v>
                </c:pt>
                <c:pt idx="10">
                  <c:v>0.18566714803191534</c:v>
                </c:pt>
                <c:pt idx="11">
                  <c:v>0.14365412445730824</c:v>
                </c:pt>
                <c:pt idx="12">
                  <c:v>0.13787086778355367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C-4146-BC1D-9F721FD5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38639"/>
        <c:axId val="1105784079"/>
      </c:scatterChart>
      <c:valAx>
        <c:axId val="11053386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4079"/>
        <c:crosses val="autoZero"/>
        <c:crossBetween val="midCat"/>
      </c:valAx>
      <c:valAx>
        <c:axId val="11057840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3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_xlchart.v1.12</cx:f>
      </cx:numDim>
    </cx:data>
  </cx:chartData>
  <cx:chart>
    <cx:title pos="t" align="ctr" overlay="0">
      <cx:tx>
        <cx:txData>
          <cx:v>Distribution of Restaurant  Margins (13Y Analysis)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rtl="0" fontAlgn="base"/>
          <a:r>
            <a:rPr lang="en-US" sz="1800" b="0" i="0" baseline="0">
              <a:effectLst/>
            </a:rPr>
            <a:t>Distribution of Restaurant  Margins (13Y Analysis)</a:t>
          </a:r>
        </a:p>
      </cx:txPr>
    </cx:title>
    <cx:plotArea>
      <cx:plotAreaRegion>
        <cx:series layoutId="clusteredColumn" uniqueId="{A83C65A3-9AAB-8040-8A92-5F178A9DA231}">
          <cx:tx>
            <cx:txData>
              <cx:f>_xlchart.v1.11</cx:f>
              <cx:v>Restaurant Margin 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n-US" sz="1600" b="0" i="0" u="none" strike="noStrike" kern="1200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 hidden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31358</xdr:colOff>
      <xdr:row>0</xdr:row>
      <xdr:rowOff>78395</xdr:rowOff>
    </xdr:from>
    <xdr:to>
      <xdr:col>13</xdr:col>
      <xdr:colOff>31358</xdr:colOff>
      <xdr:row>130</xdr:row>
      <xdr:rowOff>15679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97C045-A4F0-7DA7-ADCF-31E6FF879462}"/>
            </a:ext>
          </a:extLst>
        </xdr:cNvPr>
        <xdr:cNvCxnSpPr/>
      </xdr:nvCxnSpPr>
      <xdr:spPr>
        <a:xfrm>
          <a:off x="7149630" y="78395"/>
          <a:ext cx="0" cy="17090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47037</xdr:colOff>
      <xdr:row>0</xdr:row>
      <xdr:rowOff>15679</xdr:rowOff>
    </xdr:from>
    <xdr:to>
      <xdr:col>29</xdr:col>
      <xdr:colOff>47037</xdr:colOff>
      <xdr:row>129</xdr:row>
      <xdr:rowOff>125433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A031F7-359C-AA46-94BA-9152EDEB9975}"/>
            </a:ext>
          </a:extLst>
        </xdr:cNvPr>
        <xdr:cNvCxnSpPr/>
      </xdr:nvCxnSpPr>
      <xdr:spPr>
        <a:xfrm>
          <a:off x="16055309" y="15679"/>
          <a:ext cx="0" cy="17090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0</xdr:row>
      <xdr:rowOff>111760</xdr:rowOff>
    </xdr:from>
    <xdr:to>
      <xdr:col>24</xdr:col>
      <xdr:colOff>782320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404B3-F3ED-EC2C-CC60-AC5407B7B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</xdr:colOff>
      <xdr:row>18</xdr:row>
      <xdr:rowOff>0</xdr:rowOff>
    </xdr:from>
    <xdr:to>
      <xdr:col>25</xdr:col>
      <xdr:colOff>701040</xdr:colOff>
      <xdr:row>34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3C9E-9CCA-77F7-43C4-2EF862362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787400</xdr:colOff>
      <xdr:row>36</xdr:row>
      <xdr:rowOff>88900</xdr:rowOff>
    </xdr:from>
    <xdr:to>
      <xdr:col>25</xdr:col>
      <xdr:colOff>609600</xdr:colOff>
      <xdr:row>56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BE7795-E1C4-6D4D-A2EC-B5B2171C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25</xdr:col>
      <xdr:colOff>774700</xdr:colOff>
      <xdr:row>82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039B2-9268-9A47-9F09-A42059CEB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88</xdr:row>
      <xdr:rowOff>0</xdr:rowOff>
    </xdr:from>
    <xdr:to>
      <xdr:col>25</xdr:col>
      <xdr:colOff>774700</xdr:colOff>
      <xdr:row>111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6569E53-0A9E-BB40-8D94-094B54D090B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0100" y="14528800"/>
              <a:ext cx="737870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2.q4cdn.com/419510838/files/doc_news/archive/99057523-805a-45b1-9515-d0869f4975aa.pdf" TargetMode="External"/><Relationship Id="rId18" Type="http://schemas.openxmlformats.org/officeDocument/2006/relationships/hyperlink" Target="https://s2.q4cdn.com/419510838/files/doc_news/archive/32c852f8-6da9-4868-af34-2dd3264c655c.pdf" TargetMode="External"/><Relationship Id="rId26" Type="http://schemas.openxmlformats.org/officeDocument/2006/relationships/hyperlink" Target="https://investors.goodtimesburgers.com/press-releases-and-news/news-details/2021/Good-Times-Restaurants-Inc.-Amends-Credit-Facility/default.aspx" TargetMode="External"/><Relationship Id="rId3" Type="http://schemas.openxmlformats.org/officeDocument/2006/relationships/hyperlink" Target="https://s2.q4cdn.com/419510838/files/doc_news/archive/7bef9f08-01dc-4f19-a683-1a9b0e017727.pdf" TargetMode="External"/><Relationship Id="rId21" Type="http://schemas.openxmlformats.org/officeDocument/2006/relationships/hyperlink" Target="https://investors.goodtimesburgers.com/press-releases-and-news/news-details/2017/Good-Times-Restaurants-Inc-Hires-New-Chief-Financial-Officer/default.aspx" TargetMode="External"/><Relationship Id="rId34" Type="http://schemas.openxmlformats.org/officeDocument/2006/relationships/hyperlink" Target="https://investors.goodtimesburgers.com/press-releases-and-news/news-details/2023/Good-Times-Restaurants-Inc.-Announces-the-Departure-of-a-Board-Member/default.aspx" TargetMode="External"/><Relationship Id="rId7" Type="http://schemas.openxmlformats.org/officeDocument/2006/relationships/hyperlink" Target="https://s2.q4cdn.com/419510838/files/doc_news/archive/3a767a39-101a-4cea-b5d2-67b04df05513.pdf" TargetMode="External"/><Relationship Id="rId12" Type="http://schemas.openxmlformats.org/officeDocument/2006/relationships/hyperlink" Target="https://s2.q4cdn.com/419510838/files/doc_news/archive/c6cfb70c-62d4-4c89-9927-7104f9e4fa1c.pdf" TargetMode="External"/><Relationship Id="rId17" Type="http://schemas.openxmlformats.org/officeDocument/2006/relationships/hyperlink" Target="https://s2.q4cdn.com/419510838/files/doc_news/archive/900d3b4c-ddde-444a-82d2-26ea923efe35.pdf" TargetMode="External"/><Relationship Id="rId25" Type="http://schemas.openxmlformats.org/officeDocument/2006/relationships/hyperlink" Target="https://investors.goodtimesburgers.com/press-releases-and-news/news-details/2020/Good-Times-Restaurants-Names-Chief-Executive-Officer/default.aspx" TargetMode="External"/><Relationship Id="rId33" Type="http://schemas.openxmlformats.org/officeDocument/2006/relationships/hyperlink" Target="https://investors.goodtimesburgers.com/press-releases-and-news/news-details/2022/Good-Times-Restaurants-Inc.-Welcomes-Matthew-Karnes-as-Senior-Vice-President-of-Finance-and-Reports-Inducement-Grant-Under-Nasdaq-Listing-Rule-5635c4/default.aspx" TargetMode="External"/><Relationship Id="rId2" Type="http://schemas.openxmlformats.org/officeDocument/2006/relationships/hyperlink" Target="https://s2.q4cdn.com/419510838/files/doc_news/archive/0139f9c7-9d91-402c-a28c-da6dab048c6a.pdf" TargetMode="External"/><Relationship Id="rId16" Type="http://schemas.openxmlformats.org/officeDocument/2006/relationships/hyperlink" Target="https://s2.q4cdn.com/419510838/files/doc_news/archive/c693e3ce-c6cf-4ac4-a975-2ad5bf9d8113.pdf" TargetMode="External"/><Relationship Id="rId20" Type="http://schemas.openxmlformats.org/officeDocument/2006/relationships/hyperlink" Target="https://investors.goodtimesburgers.com/press-releases-and-news/news-details/2017/Good-Times-Restaurants-Inc-Expands-Debt-Facility-to-12M/default.aspx" TargetMode="External"/><Relationship Id="rId29" Type="http://schemas.openxmlformats.org/officeDocument/2006/relationships/hyperlink" Target="https://investors.goodtimesburgers.com/press-releases-and-news/news-details/2021/Good-Times-Restaurants-Announces-Preliminary-Results-of-Tender-Offer/default.aspx" TargetMode="External"/><Relationship Id="rId1" Type="http://schemas.openxmlformats.org/officeDocument/2006/relationships/hyperlink" Target="https://s2.q4cdn.com/419510838/files/doc_news/archive/2501a321-6d50-4a28-b40d-a806acc75fbb.pdf" TargetMode="External"/><Relationship Id="rId6" Type="http://schemas.openxmlformats.org/officeDocument/2006/relationships/hyperlink" Target="https://s2.q4cdn.com/419510838/files/doc_news/archive/530cbea4-4f16-4870-b082-3b7817829ae0.pdf" TargetMode="External"/><Relationship Id="rId11" Type="http://schemas.openxmlformats.org/officeDocument/2006/relationships/hyperlink" Target="https://s2.q4cdn.com/419510838/files/doc_news/archive/15e74110-e30f-4943-ba53-c10f791fc928.pdf" TargetMode="External"/><Relationship Id="rId24" Type="http://schemas.openxmlformats.org/officeDocument/2006/relationships/hyperlink" Target="https://investors.goodtimesburgers.com/press-releases-and-news/news-details/2019/Good-Times-Restaurants-Announces-Change-in-Chief-Executive-Officer/default.aspx" TargetMode="External"/><Relationship Id="rId32" Type="http://schemas.openxmlformats.org/officeDocument/2006/relationships/hyperlink" Target="https://investors.goodtimesburgers.com/press-releases-and-news/news-details/2022/Good-Times-Welcomes-Don-Stack-as-Senior-Vice-President-of-Operations-at-Good-Times-Burgers--Frozen-Custard/default.aspx" TargetMode="External"/><Relationship Id="rId5" Type="http://schemas.openxmlformats.org/officeDocument/2006/relationships/hyperlink" Target="https://s2.q4cdn.com/419510838/files/doc_news/archive/f22cf912-317c-42a9-8ca6-0e4d6b0c879e.pdf" TargetMode="External"/><Relationship Id="rId15" Type="http://schemas.openxmlformats.org/officeDocument/2006/relationships/hyperlink" Target="https://investors.goodtimesburgers.com/files/doc_news/archive/3e210637-4fbd-4fb1-aecd-d2d919beb673.pdf" TargetMode="External"/><Relationship Id="rId23" Type="http://schemas.openxmlformats.org/officeDocument/2006/relationships/hyperlink" Target="https://investors.goodtimesburgers.com/press-releases-and-news/news-details/2018/Good-Times-Restaurants-Inc-Announces-Agreement-with-Principal-Shareholders-and-Former-Directors/default.aspx" TargetMode="External"/><Relationship Id="rId28" Type="http://schemas.openxmlformats.org/officeDocument/2006/relationships/hyperlink" Target="https://investors.goodtimesburgers.com/press-releases-and-news/news-details/2021/Good-Times-Restaurants-Announces-Commencement-of-Tender-Offer/default.aspx" TargetMode="External"/><Relationship Id="rId10" Type="http://schemas.openxmlformats.org/officeDocument/2006/relationships/hyperlink" Target="https://s2.q4cdn.com/419510838/files/doc_news/archive/609e1cb7-b3bd-4d17-a2e1-c7e1d9ffd9b9.pdf" TargetMode="External"/><Relationship Id="rId19" Type="http://schemas.openxmlformats.org/officeDocument/2006/relationships/hyperlink" Target="https://investors.goodtimesburgers.com/press-releases-and-news/news-details/2016/Good-Times-Restaurants-Inc-Reports-9M-Debt-Facility-Commitment/default.aspx" TargetMode="External"/><Relationship Id="rId31" Type="http://schemas.openxmlformats.org/officeDocument/2006/relationships/hyperlink" Target="https://investors.goodtimesburgers.com/press-releases-and-news/news-details/2021/Good-Times-Announces-Retirement-of-Scott-LeFever/default.aspx" TargetMode="External"/><Relationship Id="rId4" Type="http://schemas.openxmlformats.org/officeDocument/2006/relationships/hyperlink" Target="https://s2.q4cdn.com/419510838/files/doc_news/archive/cab11e51-1612-410f-8ea2-1e4836503328.pdf" TargetMode="External"/><Relationship Id="rId9" Type="http://schemas.openxmlformats.org/officeDocument/2006/relationships/hyperlink" Target="https://s2.q4cdn.com/419510838/files/doc_news/archive/266727ce-72de-4110-b280-33b4a185c265.pdf" TargetMode="External"/><Relationship Id="rId14" Type="http://schemas.openxmlformats.org/officeDocument/2006/relationships/hyperlink" Target="https://s2.q4cdn.com/419510838/files/doc_news/archive/ad5f7861-6e70-4ea4-bc7d-0c45c1833a2c.pdf" TargetMode="External"/><Relationship Id="rId22" Type="http://schemas.openxmlformats.org/officeDocument/2006/relationships/hyperlink" Target="https://investors.goodtimesburgers.com/press-releases-and-news/news-details/2017/Good-Times-Restaurants-Inc-Confirms-Receipt-of-Delta-Partners-LP-and-REIT-Redux-LP-Notice/default.aspx" TargetMode="External"/><Relationship Id="rId27" Type="http://schemas.openxmlformats.org/officeDocument/2006/relationships/hyperlink" Target="https://investors.goodtimesburgers.com/press-releases-and-news/news-details/2021/Good-Times-Restaurants-Announces-Tender-Offer/default.aspx" TargetMode="External"/><Relationship Id="rId30" Type="http://schemas.openxmlformats.org/officeDocument/2006/relationships/hyperlink" Target="https://investors.goodtimesburgers.com/press-releases-and-news/news-details/2021/Good-Times-Restaurants-Announces-Final-Results-of-Tender-Offer/default.aspx" TargetMode="External"/><Relationship Id="rId35" Type="http://schemas.openxmlformats.org/officeDocument/2006/relationships/hyperlink" Target="https://investors.goodtimesburgers.com/press-releases-and-news/news-details/2024/Good-Times-Restaurants-Inc.-Welcomes-Keri-August-as-Senior-Vice-President-of-Finance-and-Accounting/default.aspx" TargetMode="External"/><Relationship Id="rId8" Type="http://schemas.openxmlformats.org/officeDocument/2006/relationships/hyperlink" Target="https://s2.q4cdn.com/419510838/files/doc_news/archive/193d0a28-1c5e-4755-aa43-6a42dc1d78a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CAB9-FCF1-794F-9AB5-034D379DE8AF}">
  <dimension ref="B1:N81"/>
  <sheetViews>
    <sheetView showGridLines="0" tabSelected="1" zoomScaleNormal="150" workbookViewId="0">
      <selection activeCell="D7" sqref="D7"/>
    </sheetView>
  </sheetViews>
  <sheetFormatPr baseColWidth="10" defaultRowHeight="13"/>
  <cols>
    <col min="1" max="1" width="10.83203125" style="1"/>
    <col min="2" max="2" width="40.1640625" style="1" bestFit="1" customWidth="1"/>
    <col min="3" max="3" width="12.33203125" style="7" bestFit="1" customWidth="1"/>
    <col min="4" max="4" width="181" style="1" customWidth="1"/>
    <col min="5" max="9" width="10.83203125" style="1"/>
    <col min="10" max="10" width="14.5" style="1" bestFit="1" customWidth="1"/>
    <col min="11" max="11" width="12.6640625" style="1" bestFit="1" customWidth="1"/>
    <col min="12" max="12" width="5.5" style="1" bestFit="1" customWidth="1"/>
    <col min="13" max="16384" width="10.83203125" style="1"/>
  </cols>
  <sheetData>
    <row r="1" spans="2:14">
      <c r="B1" s="6" t="s">
        <v>36</v>
      </c>
      <c r="C1" s="1"/>
    </row>
    <row r="2" spans="2:14">
      <c r="B2" s="1" t="s">
        <v>33</v>
      </c>
      <c r="C2" s="1" t="s">
        <v>118</v>
      </c>
      <c r="J2" s="19" t="s">
        <v>175</v>
      </c>
    </row>
    <row r="3" spans="2:14">
      <c r="B3" s="1" t="s">
        <v>34</v>
      </c>
      <c r="C3" s="1"/>
      <c r="J3" s="1" t="s">
        <v>171</v>
      </c>
      <c r="K3" s="2">
        <v>2.65</v>
      </c>
    </row>
    <row r="4" spans="2:14">
      <c r="B4" s="1" t="s">
        <v>129</v>
      </c>
      <c r="C4" s="1" t="s">
        <v>130</v>
      </c>
      <c r="J4" s="1" t="s">
        <v>61</v>
      </c>
      <c r="K4" s="1">
        <v>10752803</v>
      </c>
      <c r="L4" s="1" t="s">
        <v>1</v>
      </c>
    </row>
    <row r="5" spans="2:14">
      <c r="B5" s="1" t="s">
        <v>35</v>
      </c>
      <c r="C5" s="1"/>
      <c r="J5" s="1" t="s">
        <v>172</v>
      </c>
      <c r="K5" s="1">
        <f>+K4*K3</f>
        <v>28494927.949999999</v>
      </c>
    </row>
    <row r="6" spans="2:14">
      <c r="C6" s="1"/>
      <c r="J6" s="1" t="s">
        <v>37</v>
      </c>
      <c r="K6" s="1">
        <v>4819000</v>
      </c>
      <c r="L6" s="1" t="str">
        <f>+L4</f>
        <v>Q324</v>
      </c>
    </row>
    <row r="7" spans="2:14">
      <c r="B7" s="1" t="s">
        <v>68</v>
      </c>
      <c r="C7" s="2">
        <v>13.04</v>
      </c>
      <c r="J7" s="1" t="s">
        <v>173</v>
      </c>
      <c r="K7" s="1">
        <f>30000+1100000</f>
        <v>1130000</v>
      </c>
      <c r="L7" s="1" t="str">
        <f>+L6</f>
        <v>Q324</v>
      </c>
    </row>
    <row r="8" spans="2:14">
      <c r="B8" s="19" t="s">
        <v>64</v>
      </c>
      <c r="C8" s="1"/>
      <c r="J8" s="1" t="s">
        <v>174</v>
      </c>
      <c r="K8" s="1">
        <f>+K5-K6+K7</f>
        <v>24805927.949999999</v>
      </c>
      <c r="N8" s="1">
        <v>56.8</v>
      </c>
    </row>
    <row r="9" spans="2:14">
      <c r="B9" s="1" t="s">
        <v>65</v>
      </c>
      <c r="C9" s="1" t="s">
        <v>69</v>
      </c>
      <c r="N9" s="1">
        <v>-18</v>
      </c>
    </row>
    <row r="10" spans="2:14">
      <c r="B10" s="1" t="s">
        <v>66</v>
      </c>
      <c r="C10" s="1" t="s">
        <v>69</v>
      </c>
      <c r="J10" s="1" t="s">
        <v>56</v>
      </c>
      <c r="K10" s="1">
        <f>+K6-K7</f>
        <v>3689000</v>
      </c>
      <c r="N10" s="20">
        <f>+N8/N9</f>
        <v>-3.1555555555555554</v>
      </c>
    </row>
    <row r="11" spans="2:14">
      <c r="B11" s="1" t="s">
        <v>67</v>
      </c>
      <c r="C11" s="1" t="s">
        <v>69</v>
      </c>
    </row>
    <row r="12" spans="2:14">
      <c r="B12" s="1" t="s">
        <v>70</v>
      </c>
      <c r="C12" s="1" t="s">
        <v>75</v>
      </c>
      <c r="K12" s="2">
        <f>+K8/1000</f>
        <v>24805.927949999998</v>
      </c>
    </row>
    <row r="13" spans="2:14">
      <c r="B13" s="1" t="s">
        <v>71</v>
      </c>
      <c r="C13" s="1" t="s">
        <v>75</v>
      </c>
    </row>
    <row r="14" spans="2:14">
      <c r="B14" s="1" t="s">
        <v>72</v>
      </c>
      <c r="C14" s="1" t="s">
        <v>75</v>
      </c>
      <c r="K14" s="1">
        <v>28494927.949999999</v>
      </c>
    </row>
    <row r="15" spans="2:14">
      <c r="B15" s="1" t="s">
        <v>73</v>
      </c>
      <c r="C15" s="1" t="s">
        <v>75</v>
      </c>
    </row>
    <row r="16" spans="2:14">
      <c r="B16" s="1" t="s">
        <v>74</v>
      </c>
      <c r="C16" s="1" t="s">
        <v>75</v>
      </c>
      <c r="K16" s="2"/>
    </row>
    <row r="17" spans="2:11">
      <c r="C17" s="1"/>
      <c r="K17" s="2"/>
    </row>
    <row r="18" spans="2:11">
      <c r="C18" s="1"/>
    </row>
    <row r="19" spans="2:11">
      <c r="B19" s="1" t="s">
        <v>39</v>
      </c>
      <c r="C19" s="1"/>
      <c r="K19" s="39"/>
    </row>
    <row r="20" spans="2:11">
      <c r="B20" s="1" t="s">
        <v>76</v>
      </c>
      <c r="C20" s="1"/>
      <c r="K20" s="4"/>
    </row>
    <row r="21" spans="2:11">
      <c r="C21" s="1"/>
    </row>
    <row r="22" spans="2:11">
      <c r="C22" s="1"/>
      <c r="J22" s="20"/>
    </row>
    <row r="23" spans="2:11">
      <c r="B23" s="1" t="s">
        <v>98</v>
      </c>
      <c r="C23" s="1" t="s">
        <v>93</v>
      </c>
      <c r="D23" s="1" t="s">
        <v>94</v>
      </c>
    </row>
    <row r="24" spans="2:11">
      <c r="B24" s="1" t="s">
        <v>99</v>
      </c>
      <c r="C24" s="28">
        <v>41646</v>
      </c>
      <c r="D24" s="1" t="s">
        <v>95</v>
      </c>
    </row>
    <row r="25" spans="2:11">
      <c r="B25" s="1" t="s">
        <v>99</v>
      </c>
      <c r="C25" s="28">
        <v>41647</v>
      </c>
      <c r="D25" s="1" t="s">
        <v>96</v>
      </c>
    </row>
    <row r="26" spans="2:11">
      <c r="B26" s="1" t="s">
        <v>99</v>
      </c>
      <c r="C26" s="28">
        <v>41673</v>
      </c>
      <c r="D26" s="1" t="s">
        <v>196</v>
      </c>
    </row>
    <row r="27" spans="2:11">
      <c r="B27" s="1" t="s">
        <v>99</v>
      </c>
      <c r="C27" s="28">
        <v>41674</v>
      </c>
      <c r="D27" s="1" t="s">
        <v>97</v>
      </c>
      <c r="E27" s="1" t="s">
        <v>200</v>
      </c>
    </row>
    <row r="28" spans="2:11">
      <c r="B28" s="1" t="s">
        <v>99</v>
      </c>
      <c r="C28" s="28">
        <v>41731</v>
      </c>
      <c r="D28" s="1" t="s">
        <v>100</v>
      </c>
      <c r="E28" s="1" t="s">
        <v>200</v>
      </c>
    </row>
    <row r="29" spans="2:11">
      <c r="B29" s="1" t="s">
        <v>99</v>
      </c>
      <c r="C29" s="28">
        <v>41732</v>
      </c>
      <c r="D29" s="1" t="s">
        <v>101</v>
      </c>
      <c r="E29" s="1" t="s">
        <v>200</v>
      </c>
    </row>
    <row r="30" spans="2:11">
      <c r="B30" s="1" t="s">
        <v>99</v>
      </c>
      <c r="C30" s="28">
        <v>41759</v>
      </c>
      <c r="D30" s="1" t="s">
        <v>102</v>
      </c>
      <c r="E30" s="1" t="s">
        <v>200</v>
      </c>
    </row>
    <row r="31" spans="2:11">
      <c r="B31" s="1" t="s">
        <v>99</v>
      </c>
      <c r="C31" s="29">
        <v>41764</v>
      </c>
      <c r="D31" s="1" t="s">
        <v>103</v>
      </c>
      <c r="E31" s="1" t="s">
        <v>200</v>
      </c>
    </row>
    <row r="32" spans="2:11">
      <c r="B32" s="1" t="s">
        <v>99</v>
      </c>
      <c r="C32" s="28">
        <v>41766</v>
      </c>
      <c r="D32" s="1" t="s">
        <v>104</v>
      </c>
      <c r="E32" s="1" t="s">
        <v>200</v>
      </c>
    </row>
    <row r="33" spans="2:5">
      <c r="B33" s="1" t="s">
        <v>99</v>
      </c>
      <c r="C33" s="28">
        <v>41782</v>
      </c>
      <c r="D33" s="1" t="s">
        <v>105</v>
      </c>
      <c r="E33" s="1" t="s">
        <v>200</v>
      </c>
    </row>
    <row r="34" spans="2:5">
      <c r="B34" s="1" t="s">
        <v>99</v>
      </c>
      <c r="C34" s="28">
        <v>41793</v>
      </c>
      <c r="D34" s="1" t="s">
        <v>106</v>
      </c>
      <c r="E34" s="1" t="s">
        <v>200</v>
      </c>
    </row>
    <row r="35" spans="2:5">
      <c r="B35" s="1" t="s">
        <v>99</v>
      </c>
      <c r="C35" s="28">
        <v>41828</v>
      </c>
      <c r="D35" s="1" t="s">
        <v>197</v>
      </c>
      <c r="E35" s="1" t="s">
        <v>200</v>
      </c>
    </row>
    <row r="36" spans="2:5">
      <c r="B36" s="1" t="s">
        <v>99</v>
      </c>
      <c r="C36" s="28">
        <v>41852</v>
      </c>
      <c r="D36" s="1" t="s">
        <v>107</v>
      </c>
      <c r="E36" s="1" t="s">
        <v>200</v>
      </c>
    </row>
    <row r="37" spans="2:5">
      <c r="B37" s="1" t="s">
        <v>99</v>
      </c>
      <c r="C37" s="28">
        <v>41855</v>
      </c>
      <c r="D37" s="1" t="s">
        <v>108</v>
      </c>
      <c r="E37" s="1" t="s">
        <v>200</v>
      </c>
    </row>
    <row r="38" spans="2:5">
      <c r="B38" s="1" t="s">
        <v>99</v>
      </c>
      <c r="C38" s="28">
        <v>41918</v>
      </c>
      <c r="D38" s="1" t="s">
        <v>109</v>
      </c>
      <c r="E38" s="1" t="s">
        <v>200</v>
      </c>
    </row>
    <row r="39" spans="2:5">
      <c r="B39" s="1" t="s">
        <v>99</v>
      </c>
      <c r="C39" s="28">
        <v>42101</v>
      </c>
      <c r="D39" s="1" t="s">
        <v>110</v>
      </c>
      <c r="E39" s="1" t="s">
        <v>200</v>
      </c>
    </row>
    <row r="40" spans="2:5">
      <c r="B40" s="1" t="s">
        <v>99</v>
      </c>
      <c r="C40" s="28">
        <v>42122</v>
      </c>
      <c r="D40" s="1" t="s">
        <v>111</v>
      </c>
      <c r="E40" s="1" t="s">
        <v>200</v>
      </c>
    </row>
    <row r="41" spans="2:5">
      <c r="B41" s="1" t="s">
        <v>99</v>
      </c>
      <c r="C41" s="28">
        <v>42122</v>
      </c>
      <c r="D41" s="1" t="s">
        <v>112</v>
      </c>
      <c r="E41" s="1" t="s">
        <v>200</v>
      </c>
    </row>
    <row r="42" spans="2:5">
      <c r="B42" s="1" t="s">
        <v>99</v>
      </c>
      <c r="C42" s="28">
        <v>42496</v>
      </c>
      <c r="D42" s="1" t="s">
        <v>113</v>
      </c>
      <c r="E42" s="1" t="s">
        <v>200</v>
      </c>
    </row>
    <row r="43" spans="2:5">
      <c r="B43" s="1" t="s">
        <v>99</v>
      </c>
      <c r="C43" s="28">
        <v>42935</v>
      </c>
      <c r="D43" s="1" t="s">
        <v>114</v>
      </c>
      <c r="E43" s="1" t="s">
        <v>200</v>
      </c>
    </row>
    <row r="44" spans="2:5">
      <c r="B44" s="1" t="s">
        <v>99</v>
      </c>
      <c r="C44" s="28">
        <v>42990</v>
      </c>
      <c r="D44" s="1" t="s">
        <v>120</v>
      </c>
      <c r="E44" s="1" t="s">
        <v>200</v>
      </c>
    </row>
    <row r="45" spans="2:5">
      <c r="B45" s="1" t="s">
        <v>99</v>
      </c>
      <c r="C45" s="28">
        <v>43055</v>
      </c>
      <c r="D45" s="1" t="s">
        <v>115</v>
      </c>
      <c r="E45" s="1" t="s">
        <v>200</v>
      </c>
    </row>
    <row r="46" spans="2:5">
      <c r="B46" s="1" t="s">
        <v>99</v>
      </c>
      <c r="C46" s="28">
        <v>43172</v>
      </c>
      <c r="D46" s="1" t="s">
        <v>116</v>
      </c>
      <c r="E46" s="1" t="s">
        <v>200</v>
      </c>
    </row>
    <row r="47" spans="2:5">
      <c r="B47" s="1" t="s">
        <v>118</v>
      </c>
      <c r="C47" s="28">
        <v>43746</v>
      </c>
      <c r="D47" s="1" t="s">
        <v>117</v>
      </c>
      <c r="E47" s="1" t="s">
        <v>200</v>
      </c>
    </row>
    <row r="48" spans="2:5">
      <c r="B48" s="1" t="s">
        <v>118</v>
      </c>
      <c r="C48" s="28">
        <v>43931</v>
      </c>
      <c r="D48" s="1" t="s">
        <v>119</v>
      </c>
      <c r="E48" s="1" t="s">
        <v>200</v>
      </c>
    </row>
    <row r="49" spans="2:9">
      <c r="B49" s="1" t="s">
        <v>118</v>
      </c>
      <c r="C49" s="28">
        <v>44210</v>
      </c>
      <c r="D49" s="1" t="s">
        <v>198</v>
      </c>
      <c r="E49" s="1" t="s">
        <v>200</v>
      </c>
    </row>
    <row r="50" spans="2:9">
      <c r="B50" s="1" t="s">
        <v>118</v>
      </c>
      <c r="C50" s="28">
        <v>44418</v>
      </c>
      <c r="D50" s="1" t="s">
        <v>199</v>
      </c>
      <c r="E50" s="1" t="s">
        <v>200</v>
      </c>
    </row>
    <row r="51" spans="2:9">
      <c r="B51" s="1" t="s">
        <v>118</v>
      </c>
      <c r="C51" s="28">
        <v>44421</v>
      </c>
      <c r="D51" s="1" t="s">
        <v>121</v>
      </c>
      <c r="E51" s="1" t="s">
        <v>200</v>
      </c>
    </row>
    <row r="52" spans="2:9">
      <c r="B52" s="1" t="s">
        <v>118</v>
      </c>
      <c r="C52" s="28">
        <v>44452</v>
      </c>
      <c r="D52" s="1" t="s">
        <v>122</v>
      </c>
      <c r="E52" s="1" t="s">
        <v>200</v>
      </c>
    </row>
    <row r="53" spans="2:9">
      <c r="B53" s="1" t="s">
        <v>118</v>
      </c>
      <c r="C53" s="28">
        <v>44453</v>
      </c>
      <c r="D53" s="1" t="s">
        <v>128</v>
      </c>
      <c r="E53" s="1" t="s">
        <v>200</v>
      </c>
    </row>
    <row r="54" spans="2:9">
      <c r="B54" s="1" t="s">
        <v>118</v>
      </c>
      <c r="C54" s="28">
        <v>44546</v>
      </c>
      <c r="D54" s="1" t="s">
        <v>123</v>
      </c>
      <c r="E54" s="1" t="s">
        <v>200</v>
      </c>
    </row>
    <row r="55" spans="2:9">
      <c r="B55" s="1" t="s">
        <v>118</v>
      </c>
      <c r="C55" s="28">
        <v>44595</v>
      </c>
      <c r="D55" s="1" t="s">
        <v>124</v>
      </c>
      <c r="E55" s="1" t="s">
        <v>200</v>
      </c>
    </row>
    <row r="56" spans="2:9">
      <c r="B56" s="1" t="s">
        <v>118</v>
      </c>
      <c r="C56" s="28">
        <v>44628</v>
      </c>
      <c r="D56" s="1" t="s">
        <v>126</v>
      </c>
      <c r="E56" s="1" t="s">
        <v>200</v>
      </c>
    </row>
    <row r="57" spans="2:9">
      <c r="B57" s="1" t="s">
        <v>118</v>
      </c>
      <c r="C57" s="28">
        <v>45079</v>
      </c>
      <c r="D57" s="1" t="s">
        <v>125</v>
      </c>
      <c r="E57" s="1" t="s">
        <v>200</v>
      </c>
    </row>
    <row r="58" spans="2:9">
      <c r="B58" s="1" t="s">
        <v>118</v>
      </c>
      <c r="C58" s="28">
        <v>45293</v>
      </c>
      <c r="D58" s="1" t="s">
        <v>127</v>
      </c>
      <c r="E58" s="1" t="s">
        <v>200</v>
      </c>
    </row>
    <row r="63" spans="2:9">
      <c r="D63" s="1">
        <f>SUM(D65:D68)</f>
        <v>948852</v>
      </c>
      <c r="E63" s="4">
        <f>+D63/K4</f>
        <v>8.8242293660545992E-2</v>
      </c>
      <c r="I63" s="4"/>
    </row>
    <row r="64" spans="2:9">
      <c r="B64" s="32" t="s">
        <v>131</v>
      </c>
      <c r="C64" s="33" t="s">
        <v>132</v>
      </c>
      <c r="D64" s="32" t="s">
        <v>133</v>
      </c>
      <c r="E64" s="32" t="s">
        <v>134</v>
      </c>
      <c r="F64" s="32" t="s">
        <v>135</v>
      </c>
    </row>
    <row r="65" spans="2:9">
      <c r="B65" s="1" t="s">
        <v>136</v>
      </c>
      <c r="C65" s="1">
        <f>+D65*$K$3</f>
        <v>1106112.6499999999</v>
      </c>
      <c r="D65" s="1">
        <v>417401</v>
      </c>
      <c r="E65" s="1">
        <v>0</v>
      </c>
      <c r="F65" s="38">
        <f>+D65/$K$4</f>
        <v>3.8817878463875882E-2</v>
      </c>
    </row>
    <row r="66" spans="2:9">
      <c r="B66" s="1" t="s">
        <v>137</v>
      </c>
      <c r="C66" s="1">
        <f t="shared" ref="C66:C81" si="0">+D66*$K$3</f>
        <v>718369.95</v>
      </c>
      <c r="D66" s="1">
        <v>271083</v>
      </c>
      <c r="E66" s="1">
        <v>2800</v>
      </c>
      <c r="F66" s="38">
        <f>+D66/$K$4</f>
        <v>2.5210449777606826E-2</v>
      </c>
      <c r="I66" s="4"/>
    </row>
    <row r="67" spans="2:9">
      <c r="B67" s="1" t="s">
        <v>138</v>
      </c>
      <c r="C67" s="1">
        <f t="shared" si="0"/>
        <v>381292.6</v>
      </c>
      <c r="D67" s="1">
        <v>143884</v>
      </c>
      <c r="E67" s="1">
        <v>1876</v>
      </c>
      <c r="F67" s="38">
        <f t="shared" ref="F66:F81" si="1">+D67/$K$4</f>
        <v>1.3381069103563042E-2</v>
      </c>
    </row>
    <row r="68" spans="2:9">
      <c r="B68" s="1" t="s">
        <v>139</v>
      </c>
      <c r="C68" s="1">
        <f t="shared" si="0"/>
        <v>308682.59999999998</v>
      </c>
      <c r="D68" s="1">
        <v>116484</v>
      </c>
      <c r="E68" s="1">
        <v>-83564</v>
      </c>
      <c r="F68" s="38">
        <f t="shared" si="1"/>
        <v>1.0832896315500247E-2</v>
      </c>
    </row>
    <row r="69" spans="2:9">
      <c r="B69" s="1" t="s">
        <v>140</v>
      </c>
      <c r="C69" s="1">
        <f t="shared" si="0"/>
        <v>241009.55</v>
      </c>
      <c r="D69" s="1">
        <v>90947</v>
      </c>
      <c r="E69" s="1">
        <v>9459</v>
      </c>
      <c r="F69" s="38">
        <f t="shared" si="1"/>
        <v>8.4579806772243481E-3</v>
      </c>
    </row>
    <row r="70" spans="2:9">
      <c r="B70" s="1" t="s">
        <v>141</v>
      </c>
      <c r="C70" s="1">
        <f t="shared" si="0"/>
        <v>214665.9</v>
      </c>
      <c r="D70" s="1">
        <v>81006</v>
      </c>
      <c r="E70" s="1">
        <v>16047</v>
      </c>
      <c r="F70" s="38">
        <f t="shared" si="1"/>
        <v>7.5334775499932439E-3</v>
      </c>
    </row>
    <row r="71" spans="2:9">
      <c r="B71" s="1" t="s">
        <v>142</v>
      </c>
      <c r="C71" s="1">
        <f t="shared" si="0"/>
        <v>132057.44999999998</v>
      </c>
      <c r="D71" s="1">
        <v>49833</v>
      </c>
      <c r="E71" s="1">
        <v>0</v>
      </c>
      <c r="F71" s="38">
        <f t="shared" si="1"/>
        <v>4.634419509034063E-3</v>
      </c>
    </row>
    <row r="72" spans="2:9">
      <c r="B72" s="1" t="s">
        <v>143</v>
      </c>
      <c r="C72" s="1">
        <f t="shared" si="0"/>
        <v>100392.59999999999</v>
      </c>
      <c r="D72" s="1">
        <v>37884</v>
      </c>
      <c r="E72" s="1">
        <v>1876</v>
      </c>
      <c r="F72" s="38">
        <f t="shared" si="1"/>
        <v>3.5231743760208386E-3</v>
      </c>
    </row>
    <row r="73" spans="2:9">
      <c r="B73" s="1" t="s">
        <v>144</v>
      </c>
      <c r="C73" s="1">
        <f t="shared" si="0"/>
        <v>99449.2</v>
      </c>
      <c r="D73" s="1">
        <v>37528</v>
      </c>
      <c r="E73" s="1">
        <v>-15343</v>
      </c>
      <c r="F73" s="38">
        <f t="shared" si="1"/>
        <v>3.490066729577395E-3</v>
      </c>
    </row>
    <row r="74" spans="2:9">
      <c r="B74" s="1" t="s">
        <v>145</v>
      </c>
      <c r="C74" s="1">
        <f t="shared" si="0"/>
        <v>74173.5</v>
      </c>
      <c r="D74" s="1">
        <v>27990</v>
      </c>
      <c r="E74" s="1">
        <v>-782</v>
      </c>
      <c r="F74" s="38">
        <f t="shared" si="1"/>
        <v>2.6030422021123237E-3</v>
      </c>
    </row>
    <row r="75" spans="2:9">
      <c r="B75" s="1" t="s">
        <v>146</v>
      </c>
      <c r="C75" s="1">
        <f t="shared" si="0"/>
        <v>54640.35</v>
      </c>
      <c r="D75" s="1">
        <v>20619</v>
      </c>
      <c r="E75" s="1">
        <v>0</v>
      </c>
      <c r="F75" s="38">
        <f t="shared" si="1"/>
        <v>1.917546522520686E-3</v>
      </c>
    </row>
    <row r="76" spans="2:9">
      <c r="B76" s="1" t="s">
        <v>147</v>
      </c>
      <c r="C76" s="1">
        <f t="shared" si="0"/>
        <v>49120.4</v>
      </c>
      <c r="D76" s="1">
        <v>18536</v>
      </c>
      <c r="E76" s="1">
        <v>-6820</v>
      </c>
      <c r="F76" s="38">
        <f t="shared" si="1"/>
        <v>1.7238295912237953E-3</v>
      </c>
    </row>
    <row r="77" spans="2:9">
      <c r="B77" s="1" t="s">
        <v>148</v>
      </c>
      <c r="C77" s="1">
        <f t="shared" si="0"/>
        <v>34479.15</v>
      </c>
      <c r="D77" s="1">
        <v>13011</v>
      </c>
      <c r="E77" s="1">
        <v>0</v>
      </c>
      <c r="F77" s="38">
        <f t="shared" si="1"/>
        <v>1.2100100783023738E-3</v>
      </c>
    </row>
    <row r="78" spans="2:9">
      <c r="B78" s="1" t="s">
        <v>149</v>
      </c>
      <c r="C78" s="1">
        <f t="shared" si="0"/>
        <v>17850.399999999998</v>
      </c>
      <c r="D78" s="1">
        <v>6736</v>
      </c>
      <c r="E78" s="1">
        <v>6735</v>
      </c>
      <c r="F78" s="38">
        <f t="shared" si="1"/>
        <v>6.2644131023324799E-4</v>
      </c>
    </row>
    <row r="79" spans="2:9">
      <c r="B79" s="1" t="s">
        <v>150</v>
      </c>
      <c r="C79" s="1">
        <f t="shared" si="0"/>
        <v>4181.7</v>
      </c>
      <c r="D79" s="1">
        <v>1578</v>
      </c>
      <c r="E79" s="1">
        <v>-2147</v>
      </c>
      <c r="F79" s="38">
        <f t="shared" si="1"/>
        <v>1.4675243283076981E-4</v>
      </c>
    </row>
    <row r="80" spans="2:9">
      <c r="B80" s="1" t="s">
        <v>151</v>
      </c>
      <c r="C80" s="1">
        <f t="shared" si="0"/>
        <v>604.19999999999993</v>
      </c>
      <c r="D80" s="1">
        <v>228</v>
      </c>
      <c r="E80" s="1">
        <v>-5977</v>
      </c>
      <c r="F80" s="38">
        <f t="shared" si="1"/>
        <v>2.12037735649021E-5</v>
      </c>
    </row>
    <row r="81" spans="2:6">
      <c r="B81" s="1" t="s">
        <v>152</v>
      </c>
      <c r="C81" s="1">
        <f t="shared" si="0"/>
        <v>445.2</v>
      </c>
      <c r="D81" s="1">
        <v>168</v>
      </c>
      <c r="E81" s="1">
        <v>49</v>
      </c>
      <c r="F81" s="38">
        <f t="shared" si="1"/>
        <v>1.5623833153085757E-5</v>
      </c>
    </row>
  </sheetData>
  <hyperlinks>
    <hyperlink ref="C24" r:id="rId1" display="https://s2.q4cdn.com/419510838/files/doc_news/archive/2501a321-6d50-4a28-b40d-a806acc75fbb.pdf" xr:uid="{477E4A6E-71CB-564D-9820-750F3EEA2604}"/>
    <hyperlink ref="C25" r:id="rId2" display="https://s2.q4cdn.com/419510838/files/doc_news/archive/0139f9c7-9d91-402c-a28c-da6dab048c6a.pdf" xr:uid="{78CDB728-52F6-5B4B-B7A9-FEDD21EA95ED}"/>
    <hyperlink ref="C26" r:id="rId3" display="https://s2.q4cdn.com/419510838/files/doc_news/archive/7bef9f08-01dc-4f19-a683-1a9b0e017727.pdf" xr:uid="{164F1B2D-2A58-6F43-9CC1-4CEBD4A50849}"/>
    <hyperlink ref="C27" r:id="rId4" display="https://s2.q4cdn.com/419510838/files/doc_news/archive/cab11e51-1612-410f-8ea2-1e4836503328.pdf" xr:uid="{28B37FF5-843E-F54C-BD1F-5D56A0C3C0BB}"/>
    <hyperlink ref="C28" r:id="rId5" display="https://s2.q4cdn.com/419510838/files/doc_news/archive/f22cf912-317c-42a9-8ca6-0e4d6b0c879e.pdf" xr:uid="{D5EBEF83-1ABD-AA4E-BA16-644F7242C2CD}"/>
    <hyperlink ref="C29" r:id="rId6" display="https://s2.q4cdn.com/419510838/files/doc_news/archive/530cbea4-4f16-4870-b082-3b7817829ae0.pdf" xr:uid="{49EE8A88-E59F-6C42-BD36-C130DCBBD4AF}"/>
    <hyperlink ref="C30" r:id="rId7" display="https://s2.q4cdn.com/419510838/files/doc_news/archive/3a767a39-101a-4cea-b5d2-67b04df05513.pdf" xr:uid="{9690C763-4338-334A-953F-A32826760231}"/>
    <hyperlink ref="C31" r:id="rId8" display="https://s2.q4cdn.com/419510838/files/doc_news/archive/193d0a28-1c5e-4755-aa43-6a42dc1d78a6.pdf" xr:uid="{5E963BE6-4A98-8C40-9578-BE066C061085}"/>
    <hyperlink ref="C32" r:id="rId9" display="https://s2.q4cdn.com/419510838/files/doc_news/archive/266727ce-72de-4110-b280-33b4a185c265.pdf" xr:uid="{380D0521-26BE-D444-BD73-F2D67CAEC781}"/>
    <hyperlink ref="C33" r:id="rId10" display="https://s2.q4cdn.com/419510838/files/doc_news/archive/609e1cb7-b3bd-4d17-a2e1-c7e1d9ffd9b9.pdf" xr:uid="{BEE73C09-6C7E-D848-9F63-31C66E0BA55D}"/>
    <hyperlink ref="C34" r:id="rId11" display="https://s2.q4cdn.com/419510838/files/doc_news/archive/15e74110-e30f-4943-ba53-c10f791fc928.pdf" xr:uid="{F5EE18E2-D2AB-F045-9ADC-81699DAFCE6F}"/>
    <hyperlink ref="C35" r:id="rId12" display="https://s2.q4cdn.com/419510838/files/doc_news/archive/c6cfb70c-62d4-4c89-9927-7104f9e4fa1c.pdf" xr:uid="{9DA5B2B8-B722-0A45-82AE-3722CA4C186A}"/>
    <hyperlink ref="C36" r:id="rId13" display="https://s2.q4cdn.com/419510838/files/doc_news/archive/99057523-805a-45b1-9515-d0869f4975aa.pdf" xr:uid="{5CE9BD5C-F2BA-E741-B902-1E0D9F53E459}"/>
    <hyperlink ref="C37" r:id="rId14" display="https://s2.q4cdn.com/419510838/files/doc_news/archive/ad5f7861-6e70-4ea4-bc7d-0c45c1833a2c.pdf" xr:uid="{EE3D6A90-CDB1-0D45-A920-AE1A0611A13C}"/>
    <hyperlink ref="C38" r:id="rId15" display="https://investors.goodtimesburgers.com/files/doc_news/archive/3e210637-4fbd-4fb1-aecd-d2d919beb673.pdf" xr:uid="{EDC81F2A-0886-4F48-86A6-20466819E212}"/>
    <hyperlink ref="C39" r:id="rId16" display="https://s2.q4cdn.com/419510838/files/doc_news/archive/c693e3ce-c6cf-4ac4-a975-2ad5bf9d8113.pdf" xr:uid="{36B71A84-FAEA-0247-AB43-E9204F03EC8B}"/>
    <hyperlink ref="C40" r:id="rId17" display="https://s2.q4cdn.com/419510838/files/doc_news/archive/900d3b4c-ddde-444a-82d2-26ea923efe35.pdf" xr:uid="{9081866B-D8CA-C342-86CA-AF0DAAF43738}"/>
    <hyperlink ref="C41" r:id="rId18" display="https://s2.q4cdn.com/419510838/files/doc_news/archive/32c852f8-6da9-4868-af34-2dd3264c655c.pdf" xr:uid="{F522F21C-467A-EB42-8BC4-FFAF888F036E}"/>
    <hyperlink ref="C42" r:id="rId19" display="https://investors.goodtimesburgers.com/press-releases-and-news/news-details/2016/Good-Times-Restaurants-Inc-Reports-9M-Debt-Facility-Commitment/default.aspx" xr:uid="{5593735F-F29C-E344-AF31-8029B56D4596}"/>
    <hyperlink ref="C44" r:id="rId20" display="https://investors.goodtimesburgers.com/press-releases-and-news/news-details/2017/Good-Times-Restaurants-Inc-Expands-Debt-Facility-to-12M/default.aspx" xr:uid="{0B34AE3F-D3F2-A34B-8B0F-C76B9523981A}"/>
    <hyperlink ref="C43" r:id="rId21" display="https://investors.goodtimesburgers.com/press-releases-and-news/news-details/2017/Good-Times-Restaurants-Inc-Hires-New-Chief-Financial-Officer/default.aspx" xr:uid="{0DB722AA-5628-BF4B-A52A-657807EFEF04}"/>
    <hyperlink ref="C45" r:id="rId22" display="https://investors.goodtimesburgers.com/press-releases-and-news/news-details/2017/Good-Times-Restaurants-Inc-Confirms-Receipt-of-Delta-Partners-LP-and-REIT-Redux-LP-Notice/default.aspx" xr:uid="{D21518B2-6F91-A248-B406-FD56FF567572}"/>
    <hyperlink ref="C46" r:id="rId23" display="https://investors.goodtimesburgers.com/press-releases-and-news/news-details/2018/Good-Times-Restaurants-Inc-Announces-Agreement-with-Principal-Shareholders-and-Former-Directors/default.aspx" xr:uid="{6CA260F7-AAC2-8844-BE88-0AB02886B098}"/>
    <hyperlink ref="C47" r:id="rId24" display="https://investors.goodtimesburgers.com/press-releases-and-news/news-details/2019/Good-Times-Restaurants-Announces-Change-in-Chief-Executive-Officer/default.aspx" xr:uid="{B82E4F06-36EF-2A47-86DF-0ADAF03D026B}"/>
    <hyperlink ref="C48" r:id="rId25" display="https://investors.goodtimesburgers.com/press-releases-and-news/news-details/2020/Good-Times-Restaurants-Names-Chief-Executive-Officer/default.aspx" xr:uid="{B4B96BDB-9431-C24B-9F5F-5A59083BC681}"/>
    <hyperlink ref="C49" r:id="rId26" display="https://investors.goodtimesburgers.com/press-releases-and-news/news-details/2021/Good-Times-Restaurants-Inc.-Amends-Credit-Facility/default.aspx" xr:uid="{BCD03E25-EC28-4E46-A3BA-223A2D379555}"/>
    <hyperlink ref="C50" r:id="rId27" display="https://investors.goodtimesburgers.com/press-releases-and-news/news-details/2021/Good-Times-Restaurants-Announces-Tender-Offer/default.aspx" xr:uid="{15E5797E-11EC-B94D-93FE-445C10A39C89}"/>
    <hyperlink ref="C51" r:id="rId28" display="https://investors.goodtimesburgers.com/press-releases-and-news/news-details/2021/Good-Times-Restaurants-Announces-Commencement-of-Tender-Offer/default.aspx" xr:uid="{306C7DD5-BB28-4647-A9F9-4AE212040F4A}"/>
    <hyperlink ref="C52" r:id="rId29" display="https://investors.goodtimesburgers.com/press-releases-and-news/news-details/2021/Good-Times-Restaurants-Announces-Preliminary-Results-of-Tender-Offer/default.aspx" xr:uid="{48418FF1-8579-0540-BCCE-37D5EC6816FA}"/>
    <hyperlink ref="C53" r:id="rId30" display="https://investors.goodtimesburgers.com/press-releases-and-news/news-details/2021/Good-Times-Restaurants-Announces-Final-Results-of-Tender-Offer/default.aspx" xr:uid="{8C127B22-F931-A54A-B1BA-03E4DA9A9780}"/>
    <hyperlink ref="C54" r:id="rId31" display="https://investors.goodtimesburgers.com/press-releases-and-news/news-details/2021/Good-Times-Announces-Retirement-of-Scott-LeFever/default.aspx" xr:uid="{FB053B95-DE15-0843-93BF-AE4D03D141E1}"/>
    <hyperlink ref="C55" r:id="rId32" display="https://investors.goodtimesburgers.com/press-releases-and-news/news-details/2022/Good-Times-Welcomes-Don-Stack-as-Senior-Vice-President-of-Operations-at-Good-Times-Burgers--Frozen-Custard/default.aspx" xr:uid="{4161157D-D9F1-7545-8A76-51C7A55B440C}"/>
    <hyperlink ref="C56" r:id="rId33" display="https://investors.goodtimesburgers.com/press-releases-and-news/news-details/2022/Good-Times-Restaurants-Inc.-Welcomes-Matthew-Karnes-as-Senior-Vice-President-of-Finance-and-Reports-Inducement-Grant-Under-Nasdaq-Listing-Rule-5635c4/default.aspx" xr:uid="{47E0003F-235C-4A4A-B2A4-1A3076892637}"/>
    <hyperlink ref="C57" r:id="rId34" display="https://investors.goodtimesburgers.com/press-releases-and-news/news-details/2023/Good-Times-Restaurants-Inc.-Announces-the-Departure-of-a-Board-Member/default.aspx" xr:uid="{FB355D83-1271-3F47-81E5-E7F38F643409}"/>
    <hyperlink ref="C58" r:id="rId35" display="https://investors.goodtimesburgers.com/press-releases-and-news/news-details/2024/Good-Times-Restaurants-Inc.-Welcomes-Keri-August-as-Senior-Vice-President-of-Finance-and-Accounting/default.aspx" xr:uid="{F1A1B6B1-E124-4D41-9B6E-4AB239A054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8E1A-7EF1-8B41-88E5-8C30E33A092D}">
  <dimension ref="A1:IN127"/>
  <sheetViews>
    <sheetView zoomScale="107" zoomScaleNormal="75" workbookViewId="0">
      <pane xSplit="2" ySplit="3" topLeftCell="AI4" activePane="bottomRight" state="frozen"/>
      <selection pane="topRight" activeCell="C1" sqref="C1"/>
      <selection pane="bottomLeft" activeCell="A3" sqref="A3"/>
      <selection pane="bottomRight" activeCell="B51" sqref="B51"/>
    </sheetView>
  </sheetViews>
  <sheetFormatPr baseColWidth="10" defaultRowHeight="13"/>
  <cols>
    <col min="1" max="1" width="3.5" style="1" bestFit="1" customWidth="1"/>
    <col min="2" max="2" width="28.1640625" style="1" bestFit="1" customWidth="1"/>
    <col min="3" max="8" width="6.83203125" style="1" bestFit="1" customWidth="1"/>
    <col min="9" max="9" width="7" style="1" bestFit="1" customWidth="1"/>
    <col min="10" max="12" width="7.1640625" style="1" bestFit="1" customWidth="1"/>
    <col min="13" max="13" width="7.33203125" style="1" bestFit="1" customWidth="1"/>
    <col min="14" max="14" width="5.5" style="1" bestFit="1" customWidth="1"/>
    <col min="15" max="15" width="10.83203125" style="1"/>
    <col min="16" max="22" width="6.83203125" style="1" bestFit="1" customWidth="1"/>
    <col min="23" max="24" width="7.1640625" style="1" bestFit="1" customWidth="1"/>
    <col min="25" max="29" width="7.83203125" style="1" bestFit="1" customWidth="1"/>
    <col min="30" max="30" width="7.6640625" style="1" bestFit="1" customWidth="1"/>
    <col min="31" max="31" width="10.1640625" style="1" bestFit="1" customWidth="1"/>
    <col min="32" max="39" width="7.6640625" style="1" bestFit="1" customWidth="1"/>
    <col min="40" max="41" width="5.6640625" style="1" bestFit="1" customWidth="1"/>
    <col min="42" max="42" width="9" style="1" bestFit="1" customWidth="1"/>
    <col min="43" max="43" width="10.33203125" style="1" bestFit="1" customWidth="1"/>
    <col min="44" max="209" width="5.6640625" style="1" bestFit="1" customWidth="1"/>
    <col min="210" max="239" width="6.6640625" style="1" bestFit="1" customWidth="1"/>
    <col min="240" max="16384" width="10.83203125" style="1"/>
  </cols>
  <sheetData>
    <row r="1" spans="1:248">
      <c r="A1" s="1" t="s">
        <v>47</v>
      </c>
      <c r="AN1" s="1">
        <v>1</v>
      </c>
      <c r="AO1" s="1">
        <f>+AN1+1</f>
        <v>2</v>
      </c>
      <c r="AP1" s="1">
        <f t="shared" ref="AP1:DA1" si="0">+AO1+1</f>
        <v>3</v>
      </c>
      <c r="AQ1" s="1">
        <f t="shared" si="0"/>
        <v>4</v>
      </c>
      <c r="AR1" s="1">
        <f t="shared" si="0"/>
        <v>5</v>
      </c>
      <c r="AS1" s="1">
        <f t="shared" si="0"/>
        <v>6</v>
      </c>
      <c r="AT1" s="1">
        <f t="shared" si="0"/>
        <v>7</v>
      </c>
      <c r="AU1" s="1">
        <f t="shared" si="0"/>
        <v>8</v>
      </c>
      <c r="AV1" s="1">
        <f t="shared" si="0"/>
        <v>9</v>
      </c>
      <c r="AW1" s="1">
        <f t="shared" si="0"/>
        <v>10</v>
      </c>
      <c r="AX1" s="1">
        <f t="shared" si="0"/>
        <v>11</v>
      </c>
      <c r="AY1" s="1">
        <f t="shared" si="0"/>
        <v>12</v>
      </c>
      <c r="AZ1" s="1">
        <f t="shared" si="0"/>
        <v>13</v>
      </c>
      <c r="BA1" s="1">
        <f t="shared" si="0"/>
        <v>14</v>
      </c>
      <c r="BB1" s="1">
        <f t="shared" si="0"/>
        <v>15</v>
      </c>
      <c r="BC1" s="1">
        <f t="shared" si="0"/>
        <v>16</v>
      </c>
      <c r="BD1" s="1">
        <f t="shared" si="0"/>
        <v>17</v>
      </c>
      <c r="BE1" s="1">
        <f t="shared" si="0"/>
        <v>18</v>
      </c>
      <c r="BF1" s="1">
        <f t="shared" si="0"/>
        <v>19</v>
      </c>
      <c r="BG1" s="1">
        <f t="shared" si="0"/>
        <v>20</v>
      </c>
      <c r="BH1" s="1">
        <f t="shared" si="0"/>
        <v>21</v>
      </c>
      <c r="BI1" s="1">
        <f t="shared" si="0"/>
        <v>22</v>
      </c>
      <c r="BJ1" s="1">
        <f t="shared" si="0"/>
        <v>23</v>
      </c>
      <c r="BK1" s="1">
        <f t="shared" si="0"/>
        <v>24</v>
      </c>
      <c r="BL1" s="1">
        <f t="shared" si="0"/>
        <v>25</v>
      </c>
      <c r="BM1" s="1">
        <f t="shared" si="0"/>
        <v>26</v>
      </c>
      <c r="BN1" s="1">
        <f t="shared" si="0"/>
        <v>27</v>
      </c>
      <c r="BO1" s="1">
        <f t="shared" si="0"/>
        <v>28</v>
      </c>
      <c r="BP1" s="1">
        <f t="shared" si="0"/>
        <v>29</v>
      </c>
      <c r="BQ1" s="1">
        <f t="shared" si="0"/>
        <v>30</v>
      </c>
      <c r="BR1" s="1">
        <f t="shared" si="0"/>
        <v>31</v>
      </c>
      <c r="BS1" s="1">
        <f t="shared" si="0"/>
        <v>32</v>
      </c>
      <c r="BT1" s="1">
        <f t="shared" si="0"/>
        <v>33</v>
      </c>
      <c r="BU1" s="1">
        <f t="shared" si="0"/>
        <v>34</v>
      </c>
      <c r="BV1" s="1">
        <f t="shared" si="0"/>
        <v>35</v>
      </c>
      <c r="BW1" s="1">
        <f t="shared" si="0"/>
        <v>36</v>
      </c>
      <c r="BX1" s="1">
        <f t="shared" si="0"/>
        <v>37</v>
      </c>
      <c r="BY1" s="1">
        <f t="shared" si="0"/>
        <v>38</v>
      </c>
      <c r="BZ1" s="1">
        <f t="shared" si="0"/>
        <v>39</v>
      </c>
      <c r="CA1" s="1">
        <f t="shared" si="0"/>
        <v>40</v>
      </c>
      <c r="CB1" s="1">
        <f t="shared" si="0"/>
        <v>41</v>
      </c>
      <c r="CC1" s="1">
        <f t="shared" si="0"/>
        <v>42</v>
      </c>
      <c r="CD1" s="1">
        <f t="shared" si="0"/>
        <v>43</v>
      </c>
      <c r="CE1" s="1">
        <f t="shared" si="0"/>
        <v>44</v>
      </c>
      <c r="CF1" s="1">
        <f t="shared" si="0"/>
        <v>45</v>
      </c>
      <c r="CG1" s="1">
        <f t="shared" si="0"/>
        <v>46</v>
      </c>
      <c r="CH1" s="1">
        <f t="shared" si="0"/>
        <v>47</v>
      </c>
      <c r="CI1" s="1">
        <f t="shared" si="0"/>
        <v>48</v>
      </c>
      <c r="CJ1" s="1">
        <f t="shared" si="0"/>
        <v>49</v>
      </c>
      <c r="CK1" s="1">
        <f t="shared" si="0"/>
        <v>50</v>
      </c>
      <c r="CL1" s="1">
        <f t="shared" si="0"/>
        <v>51</v>
      </c>
      <c r="CM1" s="1">
        <f t="shared" si="0"/>
        <v>52</v>
      </c>
      <c r="CN1" s="1">
        <f t="shared" si="0"/>
        <v>53</v>
      </c>
      <c r="CO1" s="1">
        <f t="shared" si="0"/>
        <v>54</v>
      </c>
      <c r="CP1" s="1">
        <f t="shared" si="0"/>
        <v>55</v>
      </c>
      <c r="CQ1" s="1">
        <f t="shared" si="0"/>
        <v>56</v>
      </c>
      <c r="CR1" s="1">
        <f t="shared" si="0"/>
        <v>57</v>
      </c>
      <c r="CS1" s="1">
        <f t="shared" si="0"/>
        <v>58</v>
      </c>
      <c r="CT1" s="1">
        <f t="shared" si="0"/>
        <v>59</v>
      </c>
      <c r="CU1" s="1">
        <f t="shared" si="0"/>
        <v>60</v>
      </c>
      <c r="CV1" s="1">
        <f t="shared" si="0"/>
        <v>61</v>
      </c>
      <c r="CW1" s="1">
        <f t="shared" si="0"/>
        <v>62</v>
      </c>
      <c r="CX1" s="1">
        <f t="shared" si="0"/>
        <v>63</v>
      </c>
      <c r="CY1" s="1">
        <f t="shared" si="0"/>
        <v>64</v>
      </c>
      <c r="CZ1" s="1">
        <f t="shared" si="0"/>
        <v>65</v>
      </c>
      <c r="DA1" s="1">
        <f t="shared" si="0"/>
        <v>66</v>
      </c>
      <c r="DB1" s="1">
        <f t="shared" ref="DB1:FD1" si="1">+DA1+1</f>
        <v>67</v>
      </c>
      <c r="DC1" s="1">
        <f t="shared" si="1"/>
        <v>68</v>
      </c>
      <c r="DD1" s="1">
        <f t="shared" si="1"/>
        <v>69</v>
      </c>
      <c r="DE1" s="1">
        <f t="shared" si="1"/>
        <v>70</v>
      </c>
      <c r="DF1" s="1">
        <f t="shared" si="1"/>
        <v>71</v>
      </c>
      <c r="DG1" s="1">
        <f t="shared" si="1"/>
        <v>72</v>
      </c>
      <c r="DH1" s="1">
        <f t="shared" si="1"/>
        <v>73</v>
      </c>
      <c r="DI1" s="1">
        <f t="shared" si="1"/>
        <v>74</v>
      </c>
      <c r="DJ1" s="1">
        <f t="shared" si="1"/>
        <v>75</v>
      </c>
      <c r="DK1" s="1">
        <f t="shared" si="1"/>
        <v>76</v>
      </c>
      <c r="DL1" s="1">
        <f t="shared" si="1"/>
        <v>77</v>
      </c>
      <c r="DM1" s="1">
        <f t="shared" si="1"/>
        <v>78</v>
      </c>
      <c r="DN1" s="1">
        <f t="shared" si="1"/>
        <v>79</v>
      </c>
      <c r="DO1" s="1">
        <f t="shared" si="1"/>
        <v>80</v>
      </c>
      <c r="DP1" s="1">
        <f t="shared" si="1"/>
        <v>81</v>
      </c>
      <c r="DQ1" s="1">
        <f t="shared" si="1"/>
        <v>82</v>
      </c>
      <c r="DR1" s="1">
        <f t="shared" si="1"/>
        <v>83</v>
      </c>
      <c r="DS1" s="1">
        <f t="shared" si="1"/>
        <v>84</v>
      </c>
      <c r="DT1" s="1">
        <f t="shared" si="1"/>
        <v>85</v>
      </c>
      <c r="DU1" s="1">
        <f t="shared" si="1"/>
        <v>86</v>
      </c>
      <c r="DV1" s="1">
        <f t="shared" si="1"/>
        <v>87</v>
      </c>
      <c r="DW1" s="1">
        <f t="shared" si="1"/>
        <v>88</v>
      </c>
      <c r="DX1" s="1">
        <f t="shared" si="1"/>
        <v>89</v>
      </c>
      <c r="DY1" s="1">
        <f t="shared" si="1"/>
        <v>90</v>
      </c>
      <c r="DZ1" s="1">
        <f t="shared" si="1"/>
        <v>91</v>
      </c>
      <c r="EA1" s="1">
        <f t="shared" si="1"/>
        <v>92</v>
      </c>
      <c r="EB1" s="1">
        <f t="shared" si="1"/>
        <v>93</v>
      </c>
      <c r="EC1" s="1">
        <f t="shared" si="1"/>
        <v>94</v>
      </c>
      <c r="ED1" s="1">
        <f t="shared" si="1"/>
        <v>95</v>
      </c>
      <c r="EE1" s="1">
        <f t="shared" si="1"/>
        <v>96</v>
      </c>
      <c r="EF1" s="1">
        <f t="shared" si="1"/>
        <v>97</v>
      </c>
      <c r="EG1" s="1">
        <f t="shared" si="1"/>
        <v>98</v>
      </c>
      <c r="EH1" s="1">
        <f t="shared" si="1"/>
        <v>99</v>
      </c>
      <c r="EI1" s="1">
        <f t="shared" si="1"/>
        <v>100</v>
      </c>
      <c r="EJ1" s="1">
        <f t="shared" si="1"/>
        <v>101</v>
      </c>
      <c r="EK1" s="1">
        <f t="shared" si="1"/>
        <v>102</v>
      </c>
      <c r="EL1" s="1">
        <f t="shared" si="1"/>
        <v>103</v>
      </c>
      <c r="EM1" s="1">
        <f t="shared" si="1"/>
        <v>104</v>
      </c>
      <c r="EN1" s="1">
        <f t="shared" si="1"/>
        <v>105</v>
      </c>
      <c r="EO1" s="1">
        <f t="shared" si="1"/>
        <v>106</v>
      </c>
      <c r="EP1" s="1">
        <f t="shared" si="1"/>
        <v>107</v>
      </c>
      <c r="EQ1" s="1">
        <f t="shared" si="1"/>
        <v>108</v>
      </c>
      <c r="ER1" s="1">
        <f t="shared" si="1"/>
        <v>109</v>
      </c>
      <c r="ES1" s="1">
        <f t="shared" si="1"/>
        <v>110</v>
      </c>
      <c r="ET1" s="1">
        <f t="shared" si="1"/>
        <v>111</v>
      </c>
      <c r="EU1" s="1">
        <f t="shared" si="1"/>
        <v>112</v>
      </c>
      <c r="EV1" s="1">
        <f t="shared" si="1"/>
        <v>113</v>
      </c>
      <c r="EW1" s="1">
        <f t="shared" si="1"/>
        <v>114</v>
      </c>
      <c r="EX1" s="1">
        <f t="shared" si="1"/>
        <v>115</v>
      </c>
      <c r="EY1" s="1">
        <f t="shared" si="1"/>
        <v>116</v>
      </c>
      <c r="EZ1" s="1">
        <f t="shared" si="1"/>
        <v>117</v>
      </c>
      <c r="FA1" s="1">
        <f t="shared" si="1"/>
        <v>118</v>
      </c>
      <c r="FB1" s="1">
        <f t="shared" si="1"/>
        <v>119</v>
      </c>
      <c r="FC1" s="1">
        <f t="shared" si="1"/>
        <v>120</v>
      </c>
      <c r="FD1" s="1">
        <f t="shared" si="1"/>
        <v>121</v>
      </c>
      <c r="FE1" s="1">
        <f t="shared" ref="FE1:HB1" si="2">+FD1+1</f>
        <v>122</v>
      </c>
      <c r="FF1" s="1">
        <f t="shared" si="2"/>
        <v>123</v>
      </c>
      <c r="FG1" s="1">
        <f t="shared" si="2"/>
        <v>124</v>
      </c>
      <c r="FH1" s="1">
        <f t="shared" si="2"/>
        <v>125</v>
      </c>
      <c r="FI1" s="1">
        <f t="shared" si="2"/>
        <v>126</v>
      </c>
      <c r="FJ1" s="1">
        <f t="shared" si="2"/>
        <v>127</v>
      </c>
      <c r="FK1" s="1">
        <f t="shared" si="2"/>
        <v>128</v>
      </c>
      <c r="FL1" s="1">
        <f t="shared" si="2"/>
        <v>129</v>
      </c>
      <c r="FM1" s="1">
        <f t="shared" si="2"/>
        <v>130</v>
      </c>
      <c r="FN1" s="1">
        <f t="shared" si="2"/>
        <v>131</v>
      </c>
      <c r="FO1" s="1">
        <f t="shared" si="2"/>
        <v>132</v>
      </c>
      <c r="FP1" s="1">
        <f t="shared" si="2"/>
        <v>133</v>
      </c>
      <c r="FQ1" s="1">
        <f t="shared" si="2"/>
        <v>134</v>
      </c>
      <c r="FR1" s="1">
        <f t="shared" si="2"/>
        <v>135</v>
      </c>
      <c r="FS1" s="1">
        <f t="shared" si="2"/>
        <v>136</v>
      </c>
      <c r="FT1" s="1">
        <f t="shared" si="2"/>
        <v>137</v>
      </c>
      <c r="FU1" s="1">
        <f t="shared" si="2"/>
        <v>138</v>
      </c>
      <c r="FV1" s="1">
        <f t="shared" si="2"/>
        <v>139</v>
      </c>
      <c r="FW1" s="1">
        <f t="shared" si="2"/>
        <v>140</v>
      </c>
      <c r="FX1" s="1">
        <f t="shared" si="2"/>
        <v>141</v>
      </c>
      <c r="FY1" s="1">
        <f t="shared" si="2"/>
        <v>142</v>
      </c>
      <c r="FZ1" s="1">
        <f t="shared" si="2"/>
        <v>143</v>
      </c>
      <c r="GA1" s="1">
        <f t="shared" si="2"/>
        <v>144</v>
      </c>
      <c r="GB1" s="1">
        <f t="shared" si="2"/>
        <v>145</v>
      </c>
      <c r="GC1" s="1">
        <f t="shared" si="2"/>
        <v>146</v>
      </c>
      <c r="GD1" s="1">
        <f t="shared" si="2"/>
        <v>147</v>
      </c>
      <c r="GE1" s="1">
        <f t="shared" si="2"/>
        <v>148</v>
      </c>
      <c r="GF1" s="1">
        <f t="shared" si="2"/>
        <v>149</v>
      </c>
      <c r="GG1" s="1">
        <f t="shared" si="2"/>
        <v>150</v>
      </c>
      <c r="GH1" s="1">
        <f t="shared" si="2"/>
        <v>151</v>
      </c>
      <c r="GI1" s="1">
        <f t="shared" si="2"/>
        <v>152</v>
      </c>
      <c r="GJ1" s="1">
        <f t="shared" si="2"/>
        <v>153</v>
      </c>
      <c r="GK1" s="1">
        <f t="shared" si="2"/>
        <v>154</v>
      </c>
      <c r="GL1" s="1">
        <f t="shared" si="2"/>
        <v>155</v>
      </c>
      <c r="GM1" s="1">
        <f t="shared" si="2"/>
        <v>156</v>
      </c>
      <c r="GN1" s="1">
        <f t="shared" si="2"/>
        <v>157</v>
      </c>
      <c r="GO1" s="1">
        <f t="shared" si="2"/>
        <v>158</v>
      </c>
      <c r="GP1" s="1">
        <f t="shared" si="2"/>
        <v>159</v>
      </c>
      <c r="GQ1" s="1">
        <f t="shared" si="2"/>
        <v>160</v>
      </c>
      <c r="GR1" s="1">
        <f t="shared" si="2"/>
        <v>161</v>
      </c>
      <c r="GS1" s="1">
        <f t="shared" si="2"/>
        <v>162</v>
      </c>
      <c r="GT1" s="1">
        <f t="shared" si="2"/>
        <v>163</v>
      </c>
      <c r="GU1" s="1">
        <f t="shared" si="2"/>
        <v>164</v>
      </c>
      <c r="GV1" s="1">
        <f t="shared" si="2"/>
        <v>165</v>
      </c>
      <c r="GW1" s="1">
        <f t="shared" si="2"/>
        <v>166</v>
      </c>
      <c r="GX1" s="1">
        <f t="shared" si="2"/>
        <v>167</v>
      </c>
      <c r="GY1" s="1">
        <f t="shared" si="2"/>
        <v>168</v>
      </c>
      <c r="GZ1" s="1">
        <f t="shared" si="2"/>
        <v>169</v>
      </c>
      <c r="HA1" s="1">
        <f t="shared" si="2"/>
        <v>170</v>
      </c>
      <c r="HB1" s="1">
        <f t="shared" si="2"/>
        <v>171</v>
      </c>
      <c r="HC1" s="1">
        <f t="shared" ref="HC1:IE1" si="3">+HB1+1</f>
        <v>172</v>
      </c>
      <c r="HD1" s="1">
        <f t="shared" si="3"/>
        <v>173</v>
      </c>
      <c r="HE1" s="1">
        <f t="shared" si="3"/>
        <v>174</v>
      </c>
      <c r="HF1" s="1">
        <f t="shared" si="3"/>
        <v>175</v>
      </c>
      <c r="HG1" s="1">
        <f t="shared" si="3"/>
        <v>176</v>
      </c>
      <c r="HH1" s="1">
        <f t="shared" si="3"/>
        <v>177</v>
      </c>
      <c r="HI1" s="1">
        <f t="shared" si="3"/>
        <v>178</v>
      </c>
      <c r="HJ1" s="1">
        <f t="shared" si="3"/>
        <v>179</v>
      </c>
      <c r="HK1" s="1">
        <f t="shared" si="3"/>
        <v>180</v>
      </c>
      <c r="HL1" s="1">
        <f t="shared" si="3"/>
        <v>181</v>
      </c>
      <c r="HM1" s="1">
        <f t="shared" si="3"/>
        <v>182</v>
      </c>
      <c r="HN1" s="1">
        <f t="shared" si="3"/>
        <v>183</v>
      </c>
      <c r="HO1" s="1">
        <f t="shared" si="3"/>
        <v>184</v>
      </c>
      <c r="HP1" s="1">
        <f t="shared" si="3"/>
        <v>185</v>
      </c>
      <c r="HQ1" s="1">
        <f t="shared" si="3"/>
        <v>186</v>
      </c>
      <c r="HR1" s="1">
        <f t="shared" si="3"/>
        <v>187</v>
      </c>
      <c r="HS1" s="1">
        <f t="shared" si="3"/>
        <v>188</v>
      </c>
      <c r="HT1" s="1">
        <f t="shared" si="3"/>
        <v>189</v>
      </c>
      <c r="HU1" s="1">
        <f t="shared" si="3"/>
        <v>190</v>
      </c>
      <c r="HV1" s="1">
        <f t="shared" si="3"/>
        <v>191</v>
      </c>
      <c r="HW1" s="1">
        <f t="shared" si="3"/>
        <v>192</v>
      </c>
      <c r="HX1" s="1">
        <f t="shared" si="3"/>
        <v>193</v>
      </c>
      <c r="HY1" s="1">
        <f t="shared" si="3"/>
        <v>194</v>
      </c>
      <c r="HZ1" s="1">
        <f t="shared" si="3"/>
        <v>195</v>
      </c>
      <c r="IA1" s="1">
        <f t="shared" si="3"/>
        <v>196</v>
      </c>
      <c r="IB1" s="1">
        <f t="shared" si="3"/>
        <v>197</v>
      </c>
      <c r="IC1" s="1">
        <f t="shared" si="3"/>
        <v>198</v>
      </c>
      <c r="ID1" s="1">
        <f t="shared" si="3"/>
        <v>199</v>
      </c>
      <c r="IE1" s="1">
        <f t="shared" si="3"/>
        <v>200</v>
      </c>
    </row>
    <row r="2" spans="1:248" s="8" customFormat="1">
      <c r="G2" s="8">
        <f>+K2-365</f>
        <v>44921</v>
      </c>
      <c r="H2" s="8">
        <v>45013</v>
      </c>
      <c r="I2" s="8">
        <v>45104</v>
      </c>
      <c r="K2" s="8">
        <v>45286</v>
      </c>
      <c r="L2" s="8">
        <v>45377</v>
      </c>
      <c r="M2" s="8">
        <v>45468</v>
      </c>
      <c r="P2" s="8">
        <v>40451</v>
      </c>
      <c r="Q2" s="8">
        <f>+P2+365</f>
        <v>40816</v>
      </c>
      <c r="R2" s="8">
        <f>+Q2+365</f>
        <v>41181</v>
      </c>
      <c r="S2" s="8">
        <f>+R2+365</f>
        <v>41546</v>
      </c>
      <c r="T2" s="8">
        <f>+S2+365</f>
        <v>41911</v>
      </c>
      <c r="AN2" s="8">
        <v>1</v>
      </c>
    </row>
    <row r="3" spans="1:248">
      <c r="C3" s="1" t="s">
        <v>9</v>
      </c>
      <c r="D3" s="1" t="s">
        <v>10</v>
      </c>
      <c r="E3" s="1" t="s">
        <v>11</v>
      </c>
      <c r="F3" s="1" t="s">
        <v>12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1</v>
      </c>
      <c r="N3" s="1" t="s">
        <v>8</v>
      </c>
      <c r="P3" s="9">
        <v>2010</v>
      </c>
      <c r="Q3" s="9">
        <f>+P3+1</f>
        <v>2011</v>
      </c>
      <c r="R3" s="9">
        <f t="shared" ref="R3:X3" si="4">+Q3+1</f>
        <v>2012</v>
      </c>
      <c r="S3" s="9">
        <f t="shared" si="4"/>
        <v>2013</v>
      </c>
      <c r="T3" s="9">
        <f t="shared" si="4"/>
        <v>2014</v>
      </c>
      <c r="U3" s="9">
        <f t="shared" si="4"/>
        <v>2015</v>
      </c>
      <c r="V3" s="9">
        <f t="shared" si="4"/>
        <v>2016</v>
      </c>
      <c r="W3" s="9">
        <f t="shared" si="4"/>
        <v>2017</v>
      </c>
      <c r="X3" s="9">
        <f t="shared" si="4"/>
        <v>2018</v>
      </c>
      <c r="Y3" s="9">
        <v>2019</v>
      </c>
      <c r="Z3" s="9">
        <v>2020</v>
      </c>
      <c r="AA3" s="9">
        <v>2021</v>
      </c>
      <c r="AB3" s="9">
        <v>2022</v>
      </c>
      <c r="AC3" s="9">
        <f>+AB3+1</f>
        <v>2023</v>
      </c>
      <c r="AD3" s="9">
        <f t="shared" ref="AD3:AO3" si="5">+AC3+1</f>
        <v>2024</v>
      </c>
      <c r="AE3" s="9">
        <f t="shared" si="5"/>
        <v>2025</v>
      </c>
      <c r="AF3" s="9">
        <f t="shared" si="5"/>
        <v>2026</v>
      </c>
      <c r="AG3" s="9">
        <f t="shared" si="5"/>
        <v>2027</v>
      </c>
      <c r="AH3" s="9">
        <f t="shared" si="5"/>
        <v>2028</v>
      </c>
      <c r="AI3" s="9">
        <f t="shared" si="5"/>
        <v>2029</v>
      </c>
      <c r="AJ3" s="9">
        <f t="shared" si="5"/>
        <v>2030</v>
      </c>
      <c r="AK3" s="9">
        <f t="shared" si="5"/>
        <v>2031</v>
      </c>
      <c r="AL3" s="9">
        <f t="shared" si="5"/>
        <v>2032</v>
      </c>
      <c r="AM3" s="9">
        <f t="shared" si="5"/>
        <v>2033</v>
      </c>
      <c r="AN3" s="9">
        <f t="shared" si="5"/>
        <v>2034</v>
      </c>
      <c r="AO3" s="9">
        <f t="shared" si="5"/>
        <v>2035</v>
      </c>
      <c r="AP3" s="9">
        <f t="shared" ref="AP3:DA3" si="6">+AO3+1</f>
        <v>2036</v>
      </c>
      <c r="AQ3" s="9">
        <f t="shared" si="6"/>
        <v>2037</v>
      </c>
      <c r="AR3" s="9">
        <f t="shared" si="6"/>
        <v>2038</v>
      </c>
      <c r="AS3" s="9">
        <f t="shared" si="6"/>
        <v>2039</v>
      </c>
      <c r="AT3" s="9">
        <f t="shared" si="6"/>
        <v>2040</v>
      </c>
      <c r="AU3" s="9">
        <f t="shared" si="6"/>
        <v>2041</v>
      </c>
      <c r="AV3" s="9">
        <f t="shared" si="6"/>
        <v>2042</v>
      </c>
      <c r="AW3" s="9">
        <f t="shared" si="6"/>
        <v>2043</v>
      </c>
      <c r="AX3" s="9">
        <f t="shared" si="6"/>
        <v>2044</v>
      </c>
      <c r="AY3" s="9">
        <f t="shared" si="6"/>
        <v>2045</v>
      </c>
      <c r="AZ3" s="9">
        <f t="shared" si="6"/>
        <v>2046</v>
      </c>
      <c r="BA3" s="9">
        <f t="shared" si="6"/>
        <v>2047</v>
      </c>
      <c r="BB3" s="9">
        <f t="shared" si="6"/>
        <v>2048</v>
      </c>
      <c r="BC3" s="9">
        <f t="shared" si="6"/>
        <v>2049</v>
      </c>
      <c r="BD3" s="9">
        <f t="shared" si="6"/>
        <v>2050</v>
      </c>
      <c r="BE3" s="9">
        <f t="shared" si="6"/>
        <v>2051</v>
      </c>
      <c r="BF3" s="9">
        <f t="shared" si="6"/>
        <v>2052</v>
      </c>
      <c r="BG3" s="9">
        <f t="shared" si="6"/>
        <v>2053</v>
      </c>
      <c r="BH3" s="9">
        <f t="shared" si="6"/>
        <v>2054</v>
      </c>
      <c r="BI3" s="9">
        <f t="shared" si="6"/>
        <v>2055</v>
      </c>
      <c r="BJ3" s="9">
        <f t="shared" si="6"/>
        <v>2056</v>
      </c>
      <c r="BK3" s="9">
        <f t="shared" si="6"/>
        <v>2057</v>
      </c>
      <c r="BL3" s="9">
        <f t="shared" si="6"/>
        <v>2058</v>
      </c>
      <c r="BM3" s="9">
        <f t="shared" si="6"/>
        <v>2059</v>
      </c>
      <c r="BN3" s="9">
        <f t="shared" si="6"/>
        <v>2060</v>
      </c>
      <c r="BO3" s="9">
        <f t="shared" si="6"/>
        <v>2061</v>
      </c>
      <c r="BP3" s="9">
        <f t="shared" si="6"/>
        <v>2062</v>
      </c>
      <c r="BQ3" s="9">
        <f t="shared" si="6"/>
        <v>2063</v>
      </c>
      <c r="BR3" s="9">
        <f t="shared" si="6"/>
        <v>2064</v>
      </c>
      <c r="BS3" s="9">
        <f t="shared" si="6"/>
        <v>2065</v>
      </c>
      <c r="BT3" s="9">
        <f t="shared" si="6"/>
        <v>2066</v>
      </c>
      <c r="BU3" s="9">
        <f t="shared" si="6"/>
        <v>2067</v>
      </c>
      <c r="BV3" s="9">
        <f t="shared" si="6"/>
        <v>2068</v>
      </c>
      <c r="BW3" s="9">
        <f t="shared" si="6"/>
        <v>2069</v>
      </c>
      <c r="BX3" s="9">
        <f t="shared" si="6"/>
        <v>2070</v>
      </c>
      <c r="BY3" s="9">
        <f t="shared" si="6"/>
        <v>2071</v>
      </c>
      <c r="BZ3" s="9">
        <f t="shared" si="6"/>
        <v>2072</v>
      </c>
      <c r="CA3" s="9">
        <f t="shared" si="6"/>
        <v>2073</v>
      </c>
      <c r="CB3" s="9">
        <f t="shared" si="6"/>
        <v>2074</v>
      </c>
      <c r="CC3" s="9">
        <f t="shared" si="6"/>
        <v>2075</v>
      </c>
      <c r="CD3" s="9">
        <f t="shared" si="6"/>
        <v>2076</v>
      </c>
      <c r="CE3" s="9">
        <f t="shared" si="6"/>
        <v>2077</v>
      </c>
      <c r="CF3" s="9">
        <f t="shared" si="6"/>
        <v>2078</v>
      </c>
      <c r="CG3" s="9">
        <f t="shared" si="6"/>
        <v>2079</v>
      </c>
      <c r="CH3" s="9">
        <f t="shared" si="6"/>
        <v>2080</v>
      </c>
      <c r="CI3" s="9">
        <f t="shared" si="6"/>
        <v>2081</v>
      </c>
      <c r="CJ3" s="9">
        <f t="shared" si="6"/>
        <v>2082</v>
      </c>
      <c r="CK3" s="9">
        <f t="shared" si="6"/>
        <v>2083</v>
      </c>
      <c r="CL3" s="9">
        <f t="shared" si="6"/>
        <v>2084</v>
      </c>
      <c r="CM3" s="9">
        <f t="shared" si="6"/>
        <v>2085</v>
      </c>
      <c r="CN3" s="9">
        <f t="shared" si="6"/>
        <v>2086</v>
      </c>
      <c r="CO3" s="9">
        <f t="shared" si="6"/>
        <v>2087</v>
      </c>
      <c r="CP3" s="9">
        <f t="shared" si="6"/>
        <v>2088</v>
      </c>
      <c r="CQ3" s="9">
        <f t="shared" si="6"/>
        <v>2089</v>
      </c>
      <c r="CR3" s="9">
        <f t="shared" si="6"/>
        <v>2090</v>
      </c>
      <c r="CS3" s="9">
        <f t="shared" si="6"/>
        <v>2091</v>
      </c>
      <c r="CT3" s="9">
        <f t="shared" si="6"/>
        <v>2092</v>
      </c>
      <c r="CU3" s="9">
        <f t="shared" si="6"/>
        <v>2093</v>
      </c>
      <c r="CV3" s="9">
        <f t="shared" si="6"/>
        <v>2094</v>
      </c>
      <c r="CW3" s="9">
        <f t="shared" si="6"/>
        <v>2095</v>
      </c>
      <c r="CX3" s="9">
        <f t="shared" si="6"/>
        <v>2096</v>
      </c>
      <c r="CY3" s="9">
        <f t="shared" si="6"/>
        <v>2097</v>
      </c>
      <c r="CZ3" s="9">
        <f t="shared" si="6"/>
        <v>2098</v>
      </c>
      <c r="DA3" s="9">
        <f t="shared" si="6"/>
        <v>2099</v>
      </c>
      <c r="DB3" s="9">
        <f t="shared" ref="DB3:FD3" si="7">+DA3+1</f>
        <v>2100</v>
      </c>
      <c r="DC3" s="9">
        <f t="shared" si="7"/>
        <v>2101</v>
      </c>
      <c r="DD3" s="9">
        <f t="shared" si="7"/>
        <v>2102</v>
      </c>
      <c r="DE3" s="9">
        <f t="shared" si="7"/>
        <v>2103</v>
      </c>
      <c r="DF3" s="9">
        <f t="shared" si="7"/>
        <v>2104</v>
      </c>
      <c r="DG3" s="9">
        <f t="shared" si="7"/>
        <v>2105</v>
      </c>
      <c r="DH3" s="9">
        <f t="shared" si="7"/>
        <v>2106</v>
      </c>
      <c r="DI3" s="9">
        <f t="shared" si="7"/>
        <v>2107</v>
      </c>
      <c r="DJ3" s="9">
        <f t="shared" si="7"/>
        <v>2108</v>
      </c>
      <c r="DK3" s="9">
        <f t="shared" si="7"/>
        <v>2109</v>
      </c>
      <c r="DL3" s="9">
        <f t="shared" si="7"/>
        <v>2110</v>
      </c>
      <c r="DM3" s="9">
        <f t="shared" si="7"/>
        <v>2111</v>
      </c>
      <c r="DN3" s="9">
        <f t="shared" si="7"/>
        <v>2112</v>
      </c>
      <c r="DO3" s="9">
        <f t="shared" si="7"/>
        <v>2113</v>
      </c>
      <c r="DP3" s="9">
        <f t="shared" si="7"/>
        <v>2114</v>
      </c>
      <c r="DQ3" s="9">
        <f t="shared" si="7"/>
        <v>2115</v>
      </c>
      <c r="DR3" s="9">
        <f t="shared" si="7"/>
        <v>2116</v>
      </c>
      <c r="DS3" s="9">
        <f t="shared" si="7"/>
        <v>2117</v>
      </c>
      <c r="DT3" s="9">
        <f t="shared" si="7"/>
        <v>2118</v>
      </c>
      <c r="DU3" s="9">
        <f t="shared" si="7"/>
        <v>2119</v>
      </c>
      <c r="DV3" s="9">
        <f t="shared" si="7"/>
        <v>2120</v>
      </c>
      <c r="DW3" s="9">
        <f t="shared" si="7"/>
        <v>2121</v>
      </c>
      <c r="DX3" s="9">
        <f t="shared" si="7"/>
        <v>2122</v>
      </c>
      <c r="DY3" s="9">
        <f t="shared" si="7"/>
        <v>2123</v>
      </c>
      <c r="DZ3" s="9">
        <f t="shared" si="7"/>
        <v>2124</v>
      </c>
      <c r="EA3" s="9">
        <f t="shared" si="7"/>
        <v>2125</v>
      </c>
      <c r="EB3" s="9">
        <f t="shared" si="7"/>
        <v>2126</v>
      </c>
      <c r="EC3" s="9">
        <f t="shared" si="7"/>
        <v>2127</v>
      </c>
      <c r="ED3" s="9">
        <f t="shared" si="7"/>
        <v>2128</v>
      </c>
      <c r="EE3" s="9">
        <f t="shared" si="7"/>
        <v>2129</v>
      </c>
      <c r="EF3" s="9">
        <f t="shared" si="7"/>
        <v>2130</v>
      </c>
      <c r="EG3" s="9">
        <f t="shared" si="7"/>
        <v>2131</v>
      </c>
      <c r="EH3" s="9">
        <f t="shared" si="7"/>
        <v>2132</v>
      </c>
      <c r="EI3" s="9">
        <f t="shared" si="7"/>
        <v>2133</v>
      </c>
      <c r="EJ3" s="9">
        <f t="shared" si="7"/>
        <v>2134</v>
      </c>
      <c r="EK3" s="9">
        <f t="shared" si="7"/>
        <v>2135</v>
      </c>
      <c r="EL3" s="9">
        <f t="shared" si="7"/>
        <v>2136</v>
      </c>
      <c r="EM3" s="9">
        <f t="shared" si="7"/>
        <v>2137</v>
      </c>
      <c r="EN3" s="9">
        <f t="shared" si="7"/>
        <v>2138</v>
      </c>
      <c r="EO3" s="9">
        <f t="shared" si="7"/>
        <v>2139</v>
      </c>
      <c r="EP3" s="9">
        <f t="shared" si="7"/>
        <v>2140</v>
      </c>
      <c r="EQ3" s="9">
        <f t="shared" si="7"/>
        <v>2141</v>
      </c>
      <c r="ER3" s="9">
        <f t="shared" si="7"/>
        <v>2142</v>
      </c>
      <c r="ES3" s="9">
        <f t="shared" si="7"/>
        <v>2143</v>
      </c>
      <c r="ET3" s="9">
        <f t="shared" si="7"/>
        <v>2144</v>
      </c>
      <c r="EU3" s="9">
        <f t="shared" si="7"/>
        <v>2145</v>
      </c>
      <c r="EV3" s="9">
        <f t="shared" si="7"/>
        <v>2146</v>
      </c>
      <c r="EW3" s="9">
        <f t="shared" si="7"/>
        <v>2147</v>
      </c>
      <c r="EX3" s="9">
        <f t="shared" si="7"/>
        <v>2148</v>
      </c>
      <c r="EY3" s="9">
        <f t="shared" si="7"/>
        <v>2149</v>
      </c>
      <c r="EZ3" s="9">
        <f t="shared" si="7"/>
        <v>2150</v>
      </c>
      <c r="FA3" s="9">
        <f t="shared" si="7"/>
        <v>2151</v>
      </c>
      <c r="FB3" s="9">
        <f t="shared" si="7"/>
        <v>2152</v>
      </c>
      <c r="FC3" s="9">
        <f t="shared" si="7"/>
        <v>2153</v>
      </c>
      <c r="FD3" s="9">
        <f t="shared" si="7"/>
        <v>2154</v>
      </c>
      <c r="FE3" s="9">
        <f t="shared" ref="FE3:HB3" si="8">+FD3+1</f>
        <v>2155</v>
      </c>
      <c r="FF3" s="9">
        <f t="shared" si="8"/>
        <v>2156</v>
      </c>
      <c r="FG3" s="9">
        <f t="shared" si="8"/>
        <v>2157</v>
      </c>
      <c r="FH3" s="9">
        <f t="shared" si="8"/>
        <v>2158</v>
      </c>
      <c r="FI3" s="9">
        <f t="shared" si="8"/>
        <v>2159</v>
      </c>
      <c r="FJ3" s="9">
        <f t="shared" si="8"/>
        <v>2160</v>
      </c>
      <c r="FK3" s="9">
        <f t="shared" si="8"/>
        <v>2161</v>
      </c>
      <c r="FL3" s="9">
        <f t="shared" si="8"/>
        <v>2162</v>
      </c>
      <c r="FM3" s="9">
        <f t="shared" si="8"/>
        <v>2163</v>
      </c>
      <c r="FN3" s="9">
        <f t="shared" si="8"/>
        <v>2164</v>
      </c>
      <c r="FO3" s="9">
        <f t="shared" si="8"/>
        <v>2165</v>
      </c>
      <c r="FP3" s="9">
        <f t="shared" si="8"/>
        <v>2166</v>
      </c>
      <c r="FQ3" s="9">
        <f t="shared" si="8"/>
        <v>2167</v>
      </c>
      <c r="FR3" s="9">
        <f t="shared" si="8"/>
        <v>2168</v>
      </c>
      <c r="FS3" s="9">
        <f t="shared" si="8"/>
        <v>2169</v>
      </c>
      <c r="FT3" s="9">
        <f t="shared" si="8"/>
        <v>2170</v>
      </c>
      <c r="FU3" s="9">
        <f t="shared" si="8"/>
        <v>2171</v>
      </c>
      <c r="FV3" s="9">
        <f t="shared" si="8"/>
        <v>2172</v>
      </c>
      <c r="FW3" s="9">
        <f t="shared" si="8"/>
        <v>2173</v>
      </c>
      <c r="FX3" s="9">
        <f t="shared" si="8"/>
        <v>2174</v>
      </c>
      <c r="FY3" s="9">
        <f t="shared" si="8"/>
        <v>2175</v>
      </c>
      <c r="FZ3" s="9">
        <f t="shared" si="8"/>
        <v>2176</v>
      </c>
      <c r="GA3" s="9">
        <f t="shared" si="8"/>
        <v>2177</v>
      </c>
      <c r="GB3" s="9">
        <f t="shared" si="8"/>
        <v>2178</v>
      </c>
      <c r="GC3" s="9">
        <f t="shared" si="8"/>
        <v>2179</v>
      </c>
      <c r="GD3" s="9">
        <f t="shared" si="8"/>
        <v>2180</v>
      </c>
      <c r="GE3" s="9">
        <f t="shared" si="8"/>
        <v>2181</v>
      </c>
      <c r="GF3" s="9">
        <f t="shared" si="8"/>
        <v>2182</v>
      </c>
      <c r="GG3" s="9">
        <f t="shared" si="8"/>
        <v>2183</v>
      </c>
      <c r="GH3" s="9">
        <f t="shared" si="8"/>
        <v>2184</v>
      </c>
      <c r="GI3" s="9">
        <f t="shared" si="8"/>
        <v>2185</v>
      </c>
      <c r="GJ3" s="9">
        <f t="shared" si="8"/>
        <v>2186</v>
      </c>
      <c r="GK3" s="9">
        <f t="shared" si="8"/>
        <v>2187</v>
      </c>
      <c r="GL3" s="9">
        <f t="shared" si="8"/>
        <v>2188</v>
      </c>
      <c r="GM3" s="9">
        <f t="shared" si="8"/>
        <v>2189</v>
      </c>
      <c r="GN3" s="9">
        <f t="shared" si="8"/>
        <v>2190</v>
      </c>
      <c r="GO3" s="9">
        <f t="shared" si="8"/>
        <v>2191</v>
      </c>
      <c r="GP3" s="9">
        <f t="shared" si="8"/>
        <v>2192</v>
      </c>
      <c r="GQ3" s="9">
        <f t="shared" si="8"/>
        <v>2193</v>
      </c>
      <c r="GR3" s="9">
        <f t="shared" si="8"/>
        <v>2194</v>
      </c>
      <c r="GS3" s="9">
        <f t="shared" si="8"/>
        <v>2195</v>
      </c>
      <c r="GT3" s="9">
        <f t="shared" si="8"/>
        <v>2196</v>
      </c>
      <c r="GU3" s="9">
        <f t="shared" si="8"/>
        <v>2197</v>
      </c>
      <c r="GV3" s="9">
        <f t="shared" si="8"/>
        <v>2198</v>
      </c>
      <c r="GW3" s="9">
        <f t="shared" si="8"/>
        <v>2199</v>
      </c>
      <c r="GX3" s="9">
        <f t="shared" si="8"/>
        <v>2200</v>
      </c>
      <c r="GY3" s="9">
        <f t="shared" si="8"/>
        <v>2201</v>
      </c>
      <c r="GZ3" s="9">
        <f t="shared" si="8"/>
        <v>2202</v>
      </c>
      <c r="HA3" s="9">
        <f t="shared" si="8"/>
        <v>2203</v>
      </c>
      <c r="HB3" s="9">
        <f t="shared" si="8"/>
        <v>2204</v>
      </c>
      <c r="HC3" s="9">
        <f t="shared" ref="HC3:IE3" si="9">+HB3+1</f>
        <v>2205</v>
      </c>
      <c r="HD3" s="9">
        <f t="shared" si="9"/>
        <v>2206</v>
      </c>
      <c r="HE3" s="9">
        <f t="shared" si="9"/>
        <v>2207</v>
      </c>
      <c r="HF3" s="9">
        <f t="shared" si="9"/>
        <v>2208</v>
      </c>
      <c r="HG3" s="9">
        <f t="shared" si="9"/>
        <v>2209</v>
      </c>
      <c r="HH3" s="9">
        <f t="shared" si="9"/>
        <v>2210</v>
      </c>
      <c r="HI3" s="9">
        <f t="shared" si="9"/>
        <v>2211</v>
      </c>
      <c r="HJ3" s="9">
        <f t="shared" si="9"/>
        <v>2212</v>
      </c>
      <c r="HK3" s="9">
        <f t="shared" si="9"/>
        <v>2213</v>
      </c>
      <c r="HL3" s="9">
        <f t="shared" si="9"/>
        <v>2214</v>
      </c>
      <c r="HM3" s="9">
        <f t="shared" si="9"/>
        <v>2215</v>
      </c>
      <c r="HN3" s="9">
        <f t="shared" si="9"/>
        <v>2216</v>
      </c>
      <c r="HO3" s="9">
        <f t="shared" si="9"/>
        <v>2217</v>
      </c>
      <c r="HP3" s="9">
        <f t="shared" si="9"/>
        <v>2218</v>
      </c>
      <c r="HQ3" s="9">
        <f t="shared" si="9"/>
        <v>2219</v>
      </c>
      <c r="HR3" s="9">
        <f t="shared" si="9"/>
        <v>2220</v>
      </c>
      <c r="HS3" s="9">
        <f t="shared" si="9"/>
        <v>2221</v>
      </c>
      <c r="HT3" s="9">
        <f t="shared" si="9"/>
        <v>2222</v>
      </c>
      <c r="HU3" s="9">
        <f t="shared" si="9"/>
        <v>2223</v>
      </c>
      <c r="HV3" s="9">
        <f t="shared" si="9"/>
        <v>2224</v>
      </c>
      <c r="HW3" s="9">
        <f t="shared" si="9"/>
        <v>2225</v>
      </c>
      <c r="HX3" s="9">
        <f t="shared" si="9"/>
        <v>2226</v>
      </c>
      <c r="HY3" s="9">
        <f t="shared" si="9"/>
        <v>2227</v>
      </c>
      <c r="HZ3" s="9">
        <f t="shared" si="9"/>
        <v>2228</v>
      </c>
      <c r="IA3" s="9">
        <f t="shared" si="9"/>
        <v>2229</v>
      </c>
      <c r="IB3" s="9">
        <f t="shared" si="9"/>
        <v>2230</v>
      </c>
      <c r="IC3" s="9">
        <f t="shared" si="9"/>
        <v>2231</v>
      </c>
      <c r="ID3" s="9">
        <f t="shared" si="9"/>
        <v>2232</v>
      </c>
      <c r="IE3" s="9">
        <f t="shared" si="9"/>
        <v>2233</v>
      </c>
      <c r="IF3" s="9"/>
      <c r="IG3" s="9"/>
      <c r="IH3" s="9"/>
      <c r="II3" s="9"/>
      <c r="IJ3" s="9"/>
      <c r="IK3" s="9"/>
      <c r="IL3" s="9"/>
      <c r="IM3" s="9"/>
      <c r="IN3" s="9"/>
    </row>
    <row r="4" spans="1:248">
      <c r="B4" s="1" t="s">
        <v>38</v>
      </c>
      <c r="C4" s="1">
        <v>39</v>
      </c>
      <c r="D4" s="1">
        <v>40</v>
      </c>
      <c r="E4" s="1">
        <v>40</v>
      </c>
      <c r="G4" s="1">
        <v>40</v>
      </c>
      <c r="H4" s="1">
        <v>39</v>
      </c>
      <c r="I4" s="1">
        <v>39</v>
      </c>
      <c r="K4" s="1">
        <v>40</v>
      </c>
      <c r="L4" s="1">
        <v>40</v>
      </c>
      <c r="M4" s="1">
        <v>40</v>
      </c>
    </row>
    <row r="5" spans="1:248">
      <c r="B5" s="1" t="s">
        <v>39</v>
      </c>
      <c r="C5" s="1">
        <v>24</v>
      </c>
      <c r="D5" s="1">
        <v>23</v>
      </c>
      <c r="E5" s="1">
        <v>23</v>
      </c>
      <c r="G5" s="1">
        <v>23</v>
      </c>
      <c r="H5" s="1">
        <v>23</v>
      </c>
      <c r="I5" s="1">
        <v>23</v>
      </c>
      <c r="K5" s="1">
        <v>25</v>
      </c>
      <c r="L5" s="1">
        <v>25</v>
      </c>
      <c r="M5" s="1">
        <v>26</v>
      </c>
    </row>
    <row r="6" spans="1:248" s="3" customFormat="1">
      <c r="B6" s="3" t="s">
        <v>40</v>
      </c>
      <c r="C6" s="3">
        <f>SUM(C4:C5)</f>
        <v>63</v>
      </c>
      <c r="D6" s="3">
        <f>SUM(D4:D5)</f>
        <v>63</v>
      </c>
      <c r="E6" s="3">
        <f>SUM(E4:E5)</f>
        <v>63</v>
      </c>
      <c r="G6" s="3">
        <f>SUM(G4:G5)</f>
        <v>63</v>
      </c>
      <c r="H6" s="3">
        <f>SUM(H4:H5)</f>
        <v>62</v>
      </c>
      <c r="I6" s="3">
        <f>SUM(I4:I5)</f>
        <v>62</v>
      </c>
      <c r="K6" s="3">
        <f>SUM(K4:K5)</f>
        <v>65</v>
      </c>
      <c r="L6" s="3">
        <f>SUM(L4:L5)</f>
        <v>65</v>
      </c>
      <c r="M6" s="3">
        <f>SUM(M4:M5)</f>
        <v>66</v>
      </c>
    </row>
    <row r="7" spans="1:248" s="3" customFormat="1" ht="6" customHeight="1"/>
    <row r="8" spans="1:248" s="11" customFormat="1">
      <c r="B8" s="11" t="s">
        <v>38</v>
      </c>
      <c r="C8" s="11">
        <v>2</v>
      </c>
      <c r="D8" s="11">
        <v>1</v>
      </c>
      <c r="E8" s="11">
        <v>1</v>
      </c>
      <c r="G8" s="11">
        <v>1</v>
      </c>
      <c r="H8" s="11">
        <v>1</v>
      </c>
      <c r="I8" s="11">
        <v>1</v>
      </c>
      <c r="K8" s="11">
        <v>1</v>
      </c>
      <c r="L8" s="11">
        <v>1</v>
      </c>
      <c r="M8" s="11">
        <v>1</v>
      </c>
    </row>
    <row r="9" spans="1:248" s="11" customFormat="1">
      <c r="B9" s="11" t="s">
        <v>39</v>
      </c>
      <c r="C9" s="11">
        <v>8</v>
      </c>
      <c r="D9" s="11">
        <v>8</v>
      </c>
      <c r="E9" s="11">
        <v>8</v>
      </c>
      <c r="G9" s="11">
        <v>8</v>
      </c>
      <c r="H9" s="11">
        <v>8</v>
      </c>
      <c r="I9" s="11">
        <v>8</v>
      </c>
      <c r="K9" s="11">
        <v>6</v>
      </c>
      <c r="L9" s="11">
        <v>6</v>
      </c>
      <c r="M9" s="11">
        <v>5</v>
      </c>
    </row>
    <row r="10" spans="1:248" s="3" customFormat="1">
      <c r="B10" s="3" t="s">
        <v>41</v>
      </c>
      <c r="C10" s="3">
        <f>SUM(C8:C9)</f>
        <v>10</v>
      </c>
      <c r="D10" s="3">
        <f>SUM(D8:D9)</f>
        <v>9</v>
      </c>
      <c r="E10" s="3">
        <f>SUM(E8:E9)</f>
        <v>9</v>
      </c>
      <c r="G10" s="3">
        <f>SUM(G8:G9)</f>
        <v>9</v>
      </c>
      <c r="H10" s="3">
        <f>SUM(H8:H9)</f>
        <v>9</v>
      </c>
      <c r="I10" s="3">
        <f>SUM(I8:I9)</f>
        <v>9</v>
      </c>
      <c r="K10" s="3">
        <f>SUM(K8:K9)</f>
        <v>7</v>
      </c>
      <c r="L10" s="3">
        <f>SUM(L8:L9)</f>
        <v>7</v>
      </c>
      <c r="M10" s="3">
        <f>SUM(M8:M9)</f>
        <v>6</v>
      </c>
    </row>
    <row r="11" spans="1:248" s="3" customFormat="1"/>
    <row r="12" spans="1:248" s="11" customFormat="1">
      <c r="B12" s="11" t="s">
        <v>42</v>
      </c>
      <c r="C12" s="11">
        <f>+C22/C6</f>
        <v>518.66666666666663</v>
      </c>
      <c r="D12" s="11">
        <f>+D22/D6</f>
        <v>529.58730158730157</v>
      </c>
      <c r="E12" s="11">
        <f>+E22/E6</f>
        <v>575.6349206349206</v>
      </c>
      <c r="G12" s="11">
        <f>+G22/G6</f>
        <v>526.65079365079362</v>
      </c>
      <c r="H12" s="11">
        <f>+H22/H6</f>
        <v>557.54838709677415</v>
      </c>
      <c r="I12" s="11">
        <f>+I22/I6</f>
        <v>570.58064516129036</v>
      </c>
      <c r="K12" s="11">
        <f>+K22/K6</f>
        <v>506.86153846153849</v>
      </c>
      <c r="L12" s="11">
        <f>+L22/L6</f>
        <v>542.53846153846155</v>
      </c>
      <c r="M12" s="11">
        <f>+M22/M6</f>
        <v>571.84848484848487</v>
      </c>
    </row>
    <row r="13" spans="1:248" s="11" customFormat="1">
      <c r="B13" s="11" t="s">
        <v>43</v>
      </c>
      <c r="C13" s="11">
        <f>+C23/C10</f>
        <v>24</v>
      </c>
      <c r="D13" s="11">
        <f>+D23/D10</f>
        <v>25.888888888888889</v>
      </c>
      <c r="E13" s="11">
        <f>+E23/E10</f>
        <v>25.777777777777779</v>
      </c>
      <c r="G13" s="11">
        <f>+G23/G10</f>
        <v>23.888888888888889</v>
      </c>
      <c r="H13" s="11">
        <f>+H23/H10</f>
        <v>24.111111111111111</v>
      </c>
      <c r="I13" s="11">
        <f>+I23/I10</f>
        <v>28.444444444444443</v>
      </c>
      <c r="K13" s="11">
        <f>+K23/K10</f>
        <v>26.571428571428573</v>
      </c>
      <c r="L13" s="11">
        <f>+L23/L10</f>
        <v>24.714285714285715</v>
      </c>
      <c r="M13" s="11">
        <f>+M23/M10</f>
        <v>33.333333333333336</v>
      </c>
    </row>
    <row r="14" spans="1:248" s="11" customFormat="1"/>
    <row r="15" spans="1:248" s="11" customFormat="1">
      <c r="B15" s="11" t="s">
        <v>84</v>
      </c>
      <c r="C15" s="11">
        <f>+G15-575</f>
        <v>24590</v>
      </c>
      <c r="D15" s="11">
        <f>+H15-895</f>
        <v>25447</v>
      </c>
      <c r="E15" s="11">
        <f>+I15+1087</f>
        <v>27172</v>
      </c>
      <c r="F15" s="11">
        <f>+AB15-SUM(C15:E15)</f>
        <v>26293</v>
      </c>
      <c r="G15" s="11">
        <f>+K15+1045</f>
        <v>25165</v>
      </c>
      <c r="H15" s="11">
        <f>+L15-106</f>
        <v>26342</v>
      </c>
      <c r="I15" s="11">
        <f>+M15-1242</f>
        <v>26085</v>
      </c>
      <c r="J15" s="11">
        <f>+AC15-SUM(G15:I15)</f>
        <v>24925</v>
      </c>
      <c r="K15" s="11">
        <v>24120</v>
      </c>
      <c r="L15" s="11">
        <v>26448</v>
      </c>
      <c r="M15" s="11">
        <v>27327</v>
      </c>
      <c r="V15" s="11">
        <v>35222</v>
      </c>
      <c r="W15" s="11">
        <v>48067</v>
      </c>
      <c r="X15" s="11">
        <v>67792</v>
      </c>
      <c r="Y15" s="11">
        <v>80124</v>
      </c>
      <c r="Z15" s="11">
        <v>76538</v>
      </c>
      <c r="AA15" s="11">
        <v>88844</v>
      </c>
      <c r="AB15" s="11">
        <v>103502</v>
      </c>
      <c r="AC15" s="11">
        <v>102517</v>
      </c>
    </row>
    <row r="16" spans="1:248" s="11" customFormat="1">
      <c r="B16" s="11" t="s">
        <v>85</v>
      </c>
      <c r="C16" s="11">
        <f>+G16+72</f>
        <v>8086</v>
      </c>
      <c r="D16" s="11">
        <f>+H16-309</f>
        <v>7917</v>
      </c>
      <c r="E16" s="11">
        <f>+I16-198</f>
        <v>9093</v>
      </c>
      <c r="F16" s="11">
        <f>+AB16-SUM(C16:E16)</f>
        <v>9602</v>
      </c>
      <c r="G16" s="11">
        <f>+K16-812</f>
        <v>8014</v>
      </c>
      <c r="H16" s="11">
        <f>+L16-591</f>
        <v>8226</v>
      </c>
      <c r="I16" s="11">
        <f>+M16-1124</f>
        <v>9291</v>
      </c>
      <c r="J16" s="11">
        <f>+AC16-SUM(G16:I16)</f>
        <v>7074</v>
      </c>
      <c r="K16" s="11">
        <v>8826</v>
      </c>
      <c r="L16" s="11">
        <v>8817</v>
      </c>
      <c r="M16" s="11">
        <v>10415</v>
      </c>
      <c r="V16" s="11">
        <v>29217</v>
      </c>
      <c r="W16" s="11">
        <v>31013</v>
      </c>
      <c r="X16" s="11">
        <v>31779</v>
      </c>
      <c r="Y16" s="11">
        <v>30631</v>
      </c>
      <c r="Z16" s="11">
        <v>33320</v>
      </c>
      <c r="AA16" s="11">
        <v>35109</v>
      </c>
      <c r="AB16" s="11">
        <v>34698</v>
      </c>
      <c r="AC16" s="11">
        <v>32605</v>
      </c>
    </row>
    <row r="17" spans="2:39" s="11" customFormat="1">
      <c r="B17" s="11" t="s">
        <v>86</v>
      </c>
      <c r="G17" s="11">
        <v>-7</v>
      </c>
      <c r="H17" s="11">
        <v>678</v>
      </c>
      <c r="I17" s="11">
        <v>-946</v>
      </c>
      <c r="J17" s="11">
        <f>+AC17-SUM(G17:I17)</f>
        <v>-1067</v>
      </c>
      <c r="K17" s="11">
        <v>-763</v>
      </c>
      <c r="L17" s="11">
        <v>382</v>
      </c>
      <c r="M17" s="11">
        <v>388</v>
      </c>
      <c r="V17" s="11">
        <v>-520</v>
      </c>
      <c r="W17" s="11">
        <v>-1104</v>
      </c>
      <c r="X17" s="11">
        <v>281</v>
      </c>
      <c r="Y17" s="11">
        <v>-2788</v>
      </c>
      <c r="Z17" s="11">
        <v>-14837</v>
      </c>
      <c r="AA17" s="11">
        <v>3274</v>
      </c>
      <c r="AB17" s="11">
        <v>-811</v>
      </c>
      <c r="AC17" s="11">
        <v>-1342</v>
      </c>
    </row>
    <row r="18" spans="2:39" s="11" customFormat="1">
      <c r="B18" s="11" t="s">
        <v>87</v>
      </c>
      <c r="G18" s="11">
        <v>114</v>
      </c>
      <c r="H18" s="11">
        <v>139</v>
      </c>
      <c r="I18" s="11">
        <v>1390</v>
      </c>
      <c r="J18" s="11">
        <f>+AC18-SUM(G18:I18)</f>
        <v>662</v>
      </c>
      <c r="K18" s="11">
        <v>389</v>
      </c>
      <c r="L18" s="11">
        <v>262</v>
      </c>
      <c r="M18" s="11">
        <v>840</v>
      </c>
      <c r="V18" s="11">
        <v>804</v>
      </c>
      <c r="W18" s="11">
        <v>322</v>
      </c>
      <c r="X18" s="11">
        <v>496</v>
      </c>
      <c r="Y18" s="11">
        <v>704</v>
      </c>
      <c r="Z18" s="11">
        <v>3035</v>
      </c>
      <c r="AA18" s="11">
        <v>3623</v>
      </c>
      <c r="AB18" s="11">
        <v>-67</v>
      </c>
      <c r="AC18" s="11">
        <v>2305</v>
      </c>
    </row>
    <row r="19" spans="2:39" s="11" customFormat="1">
      <c r="B19" s="11" t="s">
        <v>88</v>
      </c>
      <c r="G19" s="11">
        <f>+G17/G15</f>
        <v>-2.7816411682892909E-4</v>
      </c>
      <c r="H19" s="11">
        <f>+H17/H15</f>
        <v>2.5738364588869488E-2</v>
      </c>
      <c r="I19" s="11">
        <f>+I17/I15</f>
        <v>-3.6266053287329882E-2</v>
      </c>
      <c r="J19" s="11">
        <f>+J17/J15</f>
        <v>-4.2808425275827483E-2</v>
      </c>
      <c r="K19" s="11">
        <f>+K17/K15</f>
        <v>-3.1633499170812603E-2</v>
      </c>
      <c r="L19" s="11">
        <f>+L17/L15</f>
        <v>1.4443436176648517E-2</v>
      </c>
      <c r="M19" s="11">
        <f>+M17/M15</f>
        <v>1.4198411827130676E-2</v>
      </c>
      <c r="V19" s="10">
        <f t="shared" ref="V19:AB19" si="10">+V17/V15</f>
        <v>-1.4763500085174039E-2</v>
      </c>
      <c r="W19" s="10">
        <f t="shared" si="10"/>
        <v>-2.2967940582936316E-2</v>
      </c>
      <c r="X19" s="10">
        <f t="shared" si="10"/>
        <v>4.1450318621666276E-3</v>
      </c>
      <c r="Y19" s="10">
        <f t="shared" si="10"/>
        <v>-3.4796066097548796E-2</v>
      </c>
      <c r="Z19" s="10">
        <f t="shared" si="10"/>
        <v>-0.19385142020956911</v>
      </c>
      <c r="AA19" s="10">
        <f t="shared" si="10"/>
        <v>3.685110981045428E-2</v>
      </c>
      <c r="AB19" s="10">
        <f>+AB17/AB15</f>
        <v>-7.8355973797607781E-3</v>
      </c>
      <c r="AC19" s="10">
        <f>+AC17/AC15</f>
        <v>-1.3090511817552211E-2</v>
      </c>
    </row>
    <row r="20" spans="2:39" s="11" customFormat="1">
      <c r="B20" s="11" t="s">
        <v>89</v>
      </c>
      <c r="G20" s="11">
        <f>+G18/G16</f>
        <v>1.4225106064387321E-2</v>
      </c>
      <c r="H20" s="11">
        <f>+H18/H16</f>
        <v>1.6897641624118647E-2</v>
      </c>
      <c r="I20" s="11">
        <f>+I18/I16</f>
        <v>0.14960714670110861</v>
      </c>
      <c r="J20" s="11">
        <f>+J18/J16</f>
        <v>9.3582131750070685E-2</v>
      </c>
      <c r="K20" s="11">
        <f>+K18/K16</f>
        <v>4.407432585542715E-2</v>
      </c>
      <c r="L20" s="11">
        <f>+L18/L16</f>
        <v>2.9715322672110696E-2</v>
      </c>
      <c r="M20" s="11">
        <f>+M18/M16</f>
        <v>8.0652904464714348E-2</v>
      </c>
      <c r="V20" s="10">
        <f t="shared" ref="V20:AB20" si="11">+V18/V16</f>
        <v>2.7518225690522639E-2</v>
      </c>
      <c r="W20" s="10">
        <f t="shared" si="11"/>
        <v>1.0382742720794506E-2</v>
      </c>
      <c r="X20" s="10">
        <f t="shared" si="11"/>
        <v>1.5607791308725888E-2</v>
      </c>
      <c r="Y20" s="10">
        <f t="shared" si="11"/>
        <v>2.2983252260781562E-2</v>
      </c>
      <c r="Z20" s="10">
        <f t="shared" si="11"/>
        <v>9.1086434573829533E-2</v>
      </c>
      <c r="AA20" s="10">
        <f t="shared" si="11"/>
        <v>0.10319291349796349</v>
      </c>
      <c r="AB20" s="10">
        <f>+AB18/AB16</f>
        <v>-1.9309470286471844E-3</v>
      </c>
      <c r="AC20" s="10">
        <f>+AC18/AC16</f>
        <v>7.0694678730256102E-2</v>
      </c>
    </row>
    <row r="22" spans="2:39">
      <c r="B22" s="1" t="s">
        <v>13</v>
      </c>
      <c r="C22" s="1">
        <f>SUM(C15:C16)</f>
        <v>32676</v>
      </c>
      <c r="D22" s="1">
        <f>SUM(D15:D16)</f>
        <v>33364</v>
      </c>
      <c r="E22" s="1">
        <f>SUM(E15:E16)</f>
        <v>36265</v>
      </c>
      <c r="F22" s="1">
        <f>+AB22-SUM(C22:E22)</f>
        <v>34945</v>
      </c>
      <c r="G22" s="1">
        <f>SUM(G15:G16)</f>
        <v>33179</v>
      </c>
      <c r="H22" s="1">
        <f>SUM(H15:H16)</f>
        <v>34568</v>
      </c>
      <c r="I22" s="1">
        <f>SUM(I15:I16)</f>
        <v>35376</v>
      </c>
      <c r="J22" s="1">
        <f>+AC22-SUM(G22:I22)</f>
        <v>34106</v>
      </c>
      <c r="K22" s="1">
        <f>SUM(K15:K16)</f>
        <v>32946</v>
      </c>
      <c r="L22" s="1">
        <f>SUM(L15:L16)</f>
        <v>35265</v>
      </c>
      <c r="M22" s="1">
        <f>SUM(M15:M16)</f>
        <v>37742</v>
      </c>
      <c r="P22" s="1">
        <v>20390</v>
      </c>
      <c r="Q22" s="1">
        <v>20183</v>
      </c>
      <c r="R22" s="1">
        <v>19247</v>
      </c>
      <c r="S22" s="1">
        <v>22523</v>
      </c>
      <c r="T22" s="1">
        <v>27662</v>
      </c>
      <c r="U22" s="1">
        <v>43517</v>
      </c>
      <c r="V22" s="1">
        <v>63716</v>
      </c>
      <c r="W22" s="1">
        <v>78395</v>
      </c>
      <c r="X22" s="1">
        <v>98564</v>
      </c>
      <c r="Y22" s="1">
        <v>109800</v>
      </c>
      <c r="Z22" s="1">
        <v>109078</v>
      </c>
      <c r="AA22" s="1">
        <v>123058</v>
      </c>
      <c r="AB22" s="1">
        <v>137250</v>
      </c>
      <c r="AC22" s="1">
        <v>137229</v>
      </c>
    </row>
    <row r="23" spans="2:39">
      <c r="B23" s="1" t="s">
        <v>14</v>
      </c>
      <c r="C23" s="1">
        <v>240</v>
      </c>
      <c r="D23" s="1">
        <v>233</v>
      </c>
      <c r="E23" s="1">
        <v>232</v>
      </c>
      <c r="F23" s="1">
        <f>+AB23-SUM(C23:E23)</f>
        <v>245</v>
      </c>
      <c r="G23" s="1">
        <v>215</v>
      </c>
      <c r="H23" s="1">
        <v>217</v>
      </c>
      <c r="I23" s="1">
        <v>256</v>
      </c>
      <c r="J23" s="1">
        <f>+AC23-SUM(G23:I23)</f>
        <v>205</v>
      </c>
      <c r="K23" s="1">
        <v>186</v>
      </c>
      <c r="L23" s="1">
        <v>173</v>
      </c>
      <c r="M23" s="1">
        <v>200</v>
      </c>
      <c r="P23" s="1">
        <v>473</v>
      </c>
      <c r="Q23" s="1">
        <v>420</v>
      </c>
      <c r="R23" s="1">
        <v>432</v>
      </c>
      <c r="S23" s="1">
        <v>369</v>
      </c>
      <c r="T23" s="1">
        <v>375</v>
      </c>
      <c r="U23" s="1">
        <v>540</v>
      </c>
      <c r="V23" s="1">
        <v>723</v>
      </c>
      <c r="W23" s="1">
        <v>685</v>
      </c>
      <c r="X23" s="1">
        <v>1007</v>
      </c>
      <c r="Y23" s="1">
        <v>955</v>
      </c>
      <c r="Z23" s="1">
        <v>780</v>
      </c>
      <c r="AA23" s="1">
        <v>895</v>
      </c>
      <c r="AB23" s="1">
        <v>950</v>
      </c>
      <c r="AC23" s="1">
        <v>893</v>
      </c>
    </row>
    <row r="24" spans="2:39" s="3" customFormat="1">
      <c r="B24" s="3" t="s">
        <v>15</v>
      </c>
      <c r="C24" s="3">
        <f>+SUM(C22:C23)</f>
        <v>32916</v>
      </c>
      <c r="D24" s="3">
        <f>+SUM(D22:D23)</f>
        <v>33597</v>
      </c>
      <c r="E24" s="3">
        <f>+SUM(E22:E23)</f>
        <v>36497</v>
      </c>
      <c r="F24" s="3">
        <f>+AB24-SUM(C24:E24)</f>
        <v>35190</v>
      </c>
      <c r="G24" s="3">
        <f>+SUM(G22:G23)</f>
        <v>33394</v>
      </c>
      <c r="H24" s="3">
        <f>+SUM(H22:H23)</f>
        <v>34785</v>
      </c>
      <c r="I24" s="3">
        <f>+SUM(I22:I23)</f>
        <v>35632</v>
      </c>
      <c r="J24" s="3">
        <f>+AC24-SUM(G24:I24)</f>
        <v>34311</v>
      </c>
      <c r="K24" s="3">
        <f>+SUM(K22:K23)</f>
        <v>33132</v>
      </c>
      <c r="L24" s="3">
        <f>+SUM(L22:L23)</f>
        <v>35438</v>
      </c>
      <c r="M24" s="3">
        <f>+SUM(M22:M23)</f>
        <v>37942</v>
      </c>
      <c r="O24" s="5"/>
      <c r="P24" s="3">
        <f>+SUM(P22:P23)</f>
        <v>20863</v>
      </c>
      <c r="Q24" s="3">
        <f>+SUM(Q22:Q23)</f>
        <v>20603</v>
      </c>
      <c r="R24" s="3">
        <f>+SUM(R22:R23)</f>
        <v>19679</v>
      </c>
      <c r="S24" s="3">
        <f>+SUM(S22:S23)</f>
        <v>22892</v>
      </c>
      <c r="T24" s="3">
        <f>+SUM(T22:T23)</f>
        <v>28037</v>
      </c>
      <c r="U24" s="3">
        <f>+SUM(U22:U23)</f>
        <v>44057</v>
      </c>
      <c r="V24" s="3">
        <f>+SUM(V22:V23)</f>
        <v>64439</v>
      </c>
      <c r="W24" s="3">
        <f>+SUM(W22:W23)</f>
        <v>79080</v>
      </c>
      <c r="X24" s="3">
        <f>+SUM(X22:X23)</f>
        <v>99571</v>
      </c>
      <c r="Y24" s="3">
        <f>+SUM(Y22:Y23)</f>
        <v>110755</v>
      </c>
      <c r="Z24" s="3">
        <f>+SUM(Z22:Z23)</f>
        <v>109858</v>
      </c>
      <c r="AA24" s="3">
        <f>+SUM(AA22:AA23)</f>
        <v>123953</v>
      </c>
      <c r="AB24" s="3">
        <f>+SUM(AB22:AB23)</f>
        <v>138200</v>
      </c>
      <c r="AC24" s="3">
        <f>+SUM(AC22:AC23)</f>
        <v>138122</v>
      </c>
      <c r="AD24" s="3">
        <f>SUM(K24:M24)/0.75</f>
        <v>142016</v>
      </c>
      <c r="AE24" s="3">
        <f>+AD24*1.05</f>
        <v>149116.80000000002</v>
      </c>
      <c r="AF24" s="3">
        <f t="shared" ref="AF24:AM24" si="12">+AE24*1.05</f>
        <v>156572.64000000001</v>
      </c>
      <c r="AG24" s="3">
        <f t="shared" si="12"/>
        <v>164401.27200000003</v>
      </c>
      <c r="AH24" s="3">
        <f t="shared" si="12"/>
        <v>172621.33560000005</v>
      </c>
      <c r="AI24" s="3">
        <f t="shared" si="12"/>
        <v>181252.40238000007</v>
      </c>
      <c r="AJ24" s="3">
        <f t="shared" si="12"/>
        <v>190315.02249900007</v>
      </c>
      <c r="AK24" s="3">
        <f t="shared" si="12"/>
        <v>199830.77362395008</v>
      </c>
      <c r="AL24" s="3">
        <f t="shared" si="12"/>
        <v>209822.31230514758</v>
      </c>
      <c r="AM24" s="3">
        <f t="shared" si="12"/>
        <v>220313.42792040497</v>
      </c>
    </row>
    <row r="25" spans="2:39">
      <c r="B25" s="1" t="s">
        <v>16</v>
      </c>
      <c r="C25" s="1">
        <v>10226</v>
      </c>
      <c r="D25" s="1">
        <v>10457</v>
      </c>
      <c r="E25" s="1">
        <v>11767</v>
      </c>
      <c r="F25" s="1">
        <f>+AB25-SUM(C25:E25)</f>
        <v>11427</v>
      </c>
      <c r="G25" s="1">
        <v>10607</v>
      </c>
      <c r="H25" s="1">
        <v>10655</v>
      </c>
      <c r="I25" s="1">
        <v>10923</v>
      </c>
      <c r="J25" s="1">
        <f>+AC25-SUM(G25:I25)</f>
        <v>10725</v>
      </c>
      <c r="K25" s="1">
        <v>10327</v>
      </c>
      <c r="L25" s="1">
        <v>10599</v>
      </c>
      <c r="M25" s="1">
        <v>11698</v>
      </c>
      <c r="P25" s="1">
        <v>7181</v>
      </c>
      <c r="Q25" s="1">
        <v>7241</v>
      </c>
      <c r="R25" s="1">
        <v>6592</v>
      </c>
      <c r="S25" s="1">
        <v>7655</v>
      </c>
      <c r="T25" s="1">
        <v>9273</v>
      </c>
      <c r="U25" s="1">
        <v>14567</v>
      </c>
      <c r="V25" s="1">
        <v>20236</v>
      </c>
      <c r="W25" s="1">
        <v>24900</v>
      </c>
      <c r="X25" s="1">
        <v>30256</v>
      </c>
      <c r="Y25" s="1">
        <v>32471</v>
      </c>
      <c r="Z25" s="1">
        <v>32599</v>
      </c>
      <c r="AA25" s="1">
        <v>36164</v>
      </c>
      <c r="AB25" s="1">
        <v>43877</v>
      </c>
      <c r="AC25" s="1">
        <v>42910</v>
      </c>
      <c r="AD25" s="1">
        <f>+AD24*(AC25/AC24)</f>
        <v>44119.738781656793</v>
      </c>
      <c r="AE25" s="1">
        <f t="shared" ref="AE25:AM25" si="13">+AE24*0.31</f>
        <v>46226.208000000006</v>
      </c>
      <c r="AF25" s="1">
        <f t="shared" si="13"/>
        <v>48537.518400000001</v>
      </c>
      <c r="AG25" s="1">
        <f t="shared" si="13"/>
        <v>50964.394320000007</v>
      </c>
      <c r="AH25" s="1">
        <f t="shared" si="13"/>
        <v>53512.614036000014</v>
      </c>
      <c r="AI25" s="1">
        <f t="shared" si="13"/>
        <v>56188.244737800022</v>
      </c>
      <c r="AJ25" s="1">
        <f t="shared" si="13"/>
        <v>58997.65697469002</v>
      </c>
      <c r="AK25" s="1">
        <f t="shared" si="13"/>
        <v>61947.539823424522</v>
      </c>
      <c r="AL25" s="1">
        <f t="shared" si="13"/>
        <v>65044.916814595752</v>
      </c>
      <c r="AM25" s="1">
        <f t="shared" si="13"/>
        <v>68297.162655325534</v>
      </c>
    </row>
    <row r="26" spans="2:39">
      <c r="B26" s="1" t="s">
        <v>17</v>
      </c>
      <c r="C26" s="1">
        <v>11177</v>
      </c>
      <c r="D26" s="1">
        <v>11555</v>
      </c>
      <c r="E26" s="1">
        <v>12295</v>
      </c>
      <c r="F26" s="1">
        <f>+AB26-SUM(C26:E26)</f>
        <v>11488</v>
      </c>
      <c r="G26" s="1">
        <v>11548</v>
      </c>
      <c r="H26" s="1">
        <v>11989</v>
      </c>
      <c r="I26" s="1">
        <v>11940</v>
      </c>
      <c r="J26" s="1">
        <f>+AC26-SUM(G26:I26)</f>
        <v>12072</v>
      </c>
      <c r="K26" s="1">
        <v>11624</v>
      </c>
      <c r="L26" s="1">
        <v>12266</v>
      </c>
      <c r="M26" s="1">
        <v>12635</v>
      </c>
      <c r="P26" s="1">
        <v>7359</v>
      </c>
      <c r="Q26" s="1">
        <v>7043</v>
      </c>
      <c r="R26" s="1">
        <v>6691</v>
      </c>
      <c r="S26" s="1">
        <v>7809</v>
      </c>
      <c r="T26" s="1">
        <v>9309</v>
      </c>
      <c r="U26" s="1">
        <v>14387</v>
      </c>
      <c r="V26" s="1">
        <v>22098</v>
      </c>
      <c r="W26" s="1">
        <v>28274</v>
      </c>
      <c r="X26" s="1">
        <v>35653</v>
      </c>
      <c r="Y26" s="1">
        <v>41221</v>
      </c>
      <c r="Z26" s="1">
        <v>38762</v>
      </c>
      <c r="AA26" s="1">
        <v>41049</v>
      </c>
      <c r="AB26" s="1">
        <v>46515</v>
      </c>
      <c r="AC26" s="1">
        <v>47549</v>
      </c>
      <c r="AD26" s="1">
        <f>+AD24*0.343</f>
        <v>48711.488000000005</v>
      </c>
      <c r="AE26" s="1">
        <f t="shared" ref="AE26:AM26" si="14">+AE24*0.343</f>
        <v>51147.06240000001</v>
      </c>
      <c r="AF26" s="1">
        <f t="shared" si="14"/>
        <v>53704.41552000001</v>
      </c>
      <c r="AG26" s="1">
        <f t="shared" si="14"/>
        <v>56389.636296000011</v>
      </c>
      <c r="AH26" s="1">
        <f t="shared" si="14"/>
        <v>59209.118110800024</v>
      </c>
      <c r="AI26" s="1">
        <f t="shared" si="14"/>
        <v>62169.574016340033</v>
      </c>
      <c r="AJ26" s="1">
        <f t="shared" si="14"/>
        <v>65278.052717157028</v>
      </c>
      <c r="AK26" s="1">
        <f t="shared" si="14"/>
        <v>68541.955353014884</v>
      </c>
      <c r="AL26" s="1">
        <f t="shared" si="14"/>
        <v>71969.053120665631</v>
      </c>
      <c r="AM26" s="1">
        <f t="shared" si="14"/>
        <v>75567.505776698905</v>
      </c>
    </row>
    <row r="27" spans="2:39">
      <c r="B27" s="1" t="s">
        <v>18</v>
      </c>
      <c r="C27" s="1">
        <v>2328</v>
      </c>
      <c r="D27" s="1">
        <v>2377</v>
      </c>
      <c r="E27" s="1">
        <v>2383</v>
      </c>
      <c r="F27" s="1">
        <f>+AB27-SUM(C27:E27)</f>
        <v>2352</v>
      </c>
      <c r="G27" s="1">
        <v>2458</v>
      </c>
      <c r="H27" s="1">
        <v>2428</v>
      </c>
      <c r="I27" s="1">
        <v>2432</v>
      </c>
      <c r="J27" s="1">
        <f>+AC27-SUM(G27:I27)</f>
        <v>2289</v>
      </c>
      <c r="K27" s="1">
        <v>2505</v>
      </c>
      <c r="L27" s="1">
        <v>2613</v>
      </c>
      <c r="M27" s="1">
        <v>2580</v>
      </c>
      <c r="P27" s="1">
        <v>4331</v>
      </c>
      <c r="Q27" s="1">
        <v>4172</v>
      </c>
      <c r="R27" s="1">
        <v>3939</v>
      </c>
      <c r="S27" s="1">
        <v>4345</v>
      </c>
      <c r="T27" s="1">
        <v>4892</v>
      </c>
      <c r="U27" s="1">
        <v>3360</v>
      </c>
      <c r="V27" s="1">
        <v>4893</v>
      </c>
      <c r="W27" s="1">
        <v>5759</v>
      </c>
      <c r="X27" s="1">
        <v>7261</v>
      </c>
      <c r="Y27" s="1">
        <v>8353</v>
      </c>
      <c r="Z27" s="1">
        <v>8875</v>
      </c>
      <c r="AA27" s="1">
        <v>8815</v>
      </c>
      <c r="AB27" s="1">
        <v>9440</v>
      </c>
      <c r="AC27" s="1">
        <v>9607</v>
      </c>
      <c r="AD27" s="1">
        <f>+AD24*0.072</f>
        <v>10225.152</v>
      </c>
      <c r="AE27" s="1">
        <f t="shared" ref="AE27:AM27" si="15">+AE24*0.072</f>
        <v>10736.409600000001</v>
      </c>
      <c r="AF27" s="1">
        <f t="shared" si="15"/>
        <v>11273.230079999999</v>
      </c>
      <c r="AG27" s="1">
        <f t="shared" si="15"/>
        <v>11836.891584000001</v>
      </c>
      <c r="AH27" s="1">
        <f t="shared" si="15"/>
        <v>12428.736163200003</v>
      </c>
      <c r="AI27" s="1">
        <f t="shared" si="15"/>
        <v>13050.172971360003</v>
      </c>
      <c r="AJ27" s="1">
        <f t="shared" si="15"/>
        <v>13702.681619928004</v>
      </c>
      <c r="AK27" s="1">
        <f t="shared" si="15"/>
        <v>14387.815700924404</v>
      </c>
      <c r="AL27" s="1">
        <f t="shared" si="15"/>
        <v>15107.206485970624</v>
      </c>
      <c r="AM27" s="1">
        <f t="shared" si="15"/>
        <v>15862.566810269156</v>
      </c>
    </row>
    <row r="28" spans="2:39">
      <c r="B28" s="1" t="s">
        <v>19</v>
      </c>
      <c r="C28" s="1">
        <v>4138</v>
      </c>
      <c r="D28" s="1">
        <v>4667</v>
      </c>
      <c r="E28" s="1">
        <v>4753</v>
      </c>
      <c r="F28" s="1">
        <f>+AB28-SUM(C28:E28)</f>
        <v>4957</v>
      </c>
      <c r="G28" s="1">
        <v>4492</v>
      </c>
      <c r="H28" s="1">
        <v>4826</v>
      </c>
      <c r="I28" s="1">
        <v>4811</v>
      </c>
      <c r="J28" s="1">
        <f>+AC28-SUM(G28:I28)</f>
        <v>4884</v>
      </c>
      <c r="K28" s="1">
        <v>4728</v>
      </c>
      <c r="L28" s="1">
        <v>5105</v>
      </c>
      <c r="M28" s="1">
        <v>5195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3819</v>
      </c>
      <c r="V28" s="1">
        <v>5684</v>
      </c>
      <c r="W28" s="1">
        <v>7084</v>
      </c>
      <c r="X28" s="1">
        <v>9283</v>
      </c>
      <c r="Y28" s="1">
        <v>11862</v>
      </c>
      <c r="Z28" s="1">
        <v>12148</v>
      </c>
      <c r="AA28" s="1">
        <v>14911</v>
      </c>
      <c r="AB28" s="1">
        <v>18515</v>
      </c>
      <c r="AC28" s="1">
        <v>19013</v>
      </c>
      <c r="AD28" s="1">
        <f>+AD24*0.141</f>
        <v>20024.255999999998</v>
      </c>
      <c r="AE28" s="1">
        <f t="shared" ref="AE28:AM28" si="16">+AE24*0.141</f>
        <v>21025.468799999999</v>
      </c>
      <c r="AF28" s="1">
        <f t="shared" si="16"/>
        <v>22076.74224</v>
      </c>
      <c r="AG28" s="1">
        <f t="shared" si="16"/>
        <v>23180.579352000001</v>
      </c>
      <c r="AH28" s="1">
        <f t="shared" si="16"/>
        <v>24339.608319600004</v>
      </c>
      <c r="AI28" s="1">
        <f t="shared" si="16"/>
        <v>25556.588735580008</v>
      </c>
      <c r="AJ28" s="1">
        <f t="shared" si="16"/>
        <v>26834.418172359008</v>
      </c>
      <c r="AK28" s="1">
        <f t="shared" si="16"/>
        <v>28176.139080976958</v>
      </c>
      <c r="AL28" s="1">
        <f t="shared" si="16"/>
        <v>29584.946035025805</v>
      </c>
      <c r="AM28" s="1">
        <f t="shared" si="16"/>
        <v>31064.193336777098</v>
      </c>
    </row>
    <row r="29" spans="2:39">
      <c r="B29" s="1" t="s">
        <v>20</v>
      </c>
      <c r="C29" s="1">
        <v>50</v>
      </c>
      <c r="D29" s="1">
        <v>0</v>
      </c>
      <c r="E29" s="1">
        <v>0</v>
      </c>
      <c r="F29" s="1">
        <f>+AB29-SUM(C29:E29)</f>
        <v>1</v>
      </c>
      <c r="G29" s="1">
        <v>0</v>
      </c>
      <c r="H29" s="1">
        <v>30</v>
      </c>
      <c r="I29" s="1">
        <v>80</v>
      </c>
      <c r="J29" s="1">
        <f>+AC29-SUM(G29:I29)</f>
        <v>374</v>
      </c>
      <c r="K29" s="1">
        <v>0</v>
      </c>
      <c r="L29" s="1">
        <v>0</v>
      </c>
      <c r="M29" s="1">
        <v>0</v>
      </c>
      <c r="P29" s="1">
        <v>0</v>
      </c>
      <c r="Q29" s="1">
        <v>0</v>
      </c>
      <c r="R29" s="1">
        <v>0</v>
      </c>
      <c r="S29" s="1">
        <v>99</v>
      </c>
      <c r="T29" s="1">
        <v>669</v>
      </c>
      <c r="U29" s="1">
        <v>784</v>
      </c>
      <c r="V29" s="1">
        <v>1695</v>
      </c>
      <c r="W29" s="1">
        <v>2588</v>
      </c>
      <c r="X29" s="1">
        <v>9283</v>
      </c>
      <c r="Y29" s="1">
        <v>1774</v>
      </c>
      <c r="Z29" s="1">
        <v>1031</v>
      </c>
      <c r="AA29" s="1">
        <v>766</v>
      </c>
      <c r="AB29" s="1">
        <v>51</v>
      </c>
      <c r="AC29" s="1">
        <v>484</v>
      </c>
      <c r="AD29" s="1">
        <f>+AD24*(AC29/AC24)</f>
        <v>497.64515428389393</v>
      </c>
      <c r="AE29" s="1">
        <f t="shared" ref="AE29:AM29" si="17">+AE24*(AD29/AD24)</f>
        <v>522.52741199808872</v>
      </c>
      <c r="AF29" s="1">
        <f t="shared" si="17"/>
        <v>548.6537825979932</v>
      </c>
      <c r="AG29" s="1">
        <f t="shared" si="17"/>
        <v>576.0864717278929</v>
      </c>
      <c r="AH29" s="1">
        <f t="shared" si="17"/>
        <v>604.89079531428763</v>
      </c>
      <c r="AI29" s="1">
        <f t="shared" si="17"/>
        <v>635.13533508000216</v>
      </c>
      <c r="AJ29" s="1">
        <f t="shared" si="17"/>
        <v>666.89210183400235</v>
      </c>
      <c r="AK29" s="1">
        <f t="shared" si="17"/>
        <v>700.23670692570249</v>
      </c>
      <c r="AL29" s="1">
        <f t="shared" si="17"/>
        <v>735.24854227198762</v>
      </c>
      <c r="AM29" s="1">
        <f t="shared" si="17"/>
        <v>772.01096938558703</v>
      </c>
    </row>
    <row r="30" spans="2:39">
      <c r="B30" s="1" t="s">
        <v>21</v>
      </c>
      <c r="C30" s="1">
        <v>984</v>
      </c>
      <c r="D30" s="1">
        <v>1013</v>
      </c>
      <c r="E30" s="1">
        <v>993</v>
      </c>
      <c r="F30" s="1">
        <f>+AB30-SUM(C30:E30)</f>
        <v>905</v>
      </c>
      <c r="G30" s="1">
        <v>910</v>
      </c>
      <c r="H30" s="1">
        <v>911</v>
      </c>
      <c r="I30" s="1">
        <v>919</v>
      </c>
      <c r="J30" s="1">
        <f>+AC30-SUM(G30:I30)</f>
        <v>923</v>
      </c>
      <c r="K30" s="1">
        <v>927</v>
      </c>
      <c r="L30" s="1">
        <v>926</v>
      </c>
      <c r="M30" s="1">
        <v>960</v>
      </c>
      <c r="P30" s="1">
        <v>943</v>
      </c>
      <c r="Q30" s="1">
        <v>888</v>
      </c>
      <c r="R30" s="1">
        <v>795</v>
      </c>
      <c r="S30" s="1">
        <v>719</v>
      </c>
      <c r="T30" s="1">
        <v>682</v>
      </c>
      <c r="U30" s="1">
        <v>1246</v>
      </c>
      <c r="V30" s="1">
        <v>2222</v>
      </c>
      <c r="W30" s="1">
        <v>2897</v>
      </c>
      <c r="X30" s="1">
        <v>3705</v>
      </c>
      <c r="Y30" s="1">
        <v>4345</v>
      </c>
      <c r="Z30" s="1">
        <v>4129</v>
      </c>
      <c r="AA30" s="1">
        <v>3842</v>
      </c>
      <c r="AB30" s="1">
        <v>3895</v>
      </c>
      <c r="AC30" s="1">
        <v>3663</v>
      </c>
      <c r="AD30" s="1">
        <f>+AD$24*(AC30/AC$24)</f>
        <v>3766.2690085576519</v>
      </c>
      <c r="AE30" s="1">
        <f t="shared" ref="AE30:AM30" si="18">+AE$24*(AD30/AD$24)</f>
        <v>3954.5824589855347</v>
      </c>
      <c r="AF30" s="1">
        <f t="shared" si="18"/>
        <v>4152.3115819348113</v>
      </c>
      <c r="AG30" s="1">
        <f t="shared" si="18"/>
        <v>4359.9271610315527</v>
      </c>
      <c r="AH30" s="1">
        <f t="shared" si="18"/>
        <v>4577.9235190831314</v>
      </c>
      <c r="AI30" s="1">
        <f t="shared" si="18"/>
        <v>4806.8196950372885</v>
      </c>
      <c r="AJ30" s="1">
        <f t="shared" si="18"/>
        <v>5047.1606797891527</v>
      </c>
      <c r="AK30" s="1">
        <f t="shared" si="18"/>
        <v>5299.5187137786106</v>
      </c>
      <c r="AL30" s="1">
        <f t="shared" si="18"/>
        <v>5564.4946494675405</v>
      </c>
      <c r="AM30" s="1">
        <f t="shared" si="18"/>
        <v>5842.7193819409176</v>
      </c>
    </row>
    <row r="31" spans="2:39">
      <c r="B31" s="1" t="s">
        <v>22</v>
      </c>
      <c r="C31" s="1">
        <v>2705</v>
      </c>
      <c r="D31" s="1">
        <v>2577</v>
      </c>
      <c r="E31" s="1">
        <v>2384</v>
      </c>
      <c r="F31" s="1">
        <f>+AB31-SUM(C31:E31)</f>
        <v>2862</v>
      </c>
      <c r="G31" s="1">
        <v>2378</v>
      </c>
      <c r="H31" s="1">
        <v>2297</v>
      </c>
      <c r="I31" s="1">
        <v>2377</v>
      </c>
      <c r="J31" s="1">
        <f>+AC31-SUM(G31:I31)</f>
        <v>2075</v>
      </c>
      <c r="K31" s="1">
        <v>2313</v>
      </c>
      <c r="L31" s="1">
        <v>2554</v>
      </c>
      <c r="M31" s="1">
        <v>2680</v>
      </c>
      <c r="P31" s="1">
        <v>2638</v>
      </c>
      <c r="Q31" s="1">
        <v>2038</v>
      </c>
      <c r="R31" s="1">
        <v>2154</v>
      </c>
      <c r="S31" s="1">
        <v>2608</v>
      </c>
      <c r="T31" s="1">
        <v>3351</v>
      </c>
      <c r="U31" s="1">
        <v>4167</v>
      </c>
      <c r="V31" s="1">
        <v>6288</v>
      </c>
      <c r="W31" s="1">
        <v>7002</v>
      </c>
      <c r="X31" s="1">
        <v>7857</v>
      </c>
      <c r="Y31" s="1">
        <v>9071</v>
      </c>
      <c r="Z31" s="1">
        <v>6781</v>
      </c>
      <c r="AA31" s="1">
        <v>9437</v>
      </c>
      <c r="AB31" s="1">
        <v>10528</v>
      </c>
      <c r="AC31" s="1">
        <v>9127</v>
      </c>
      <c r="AD31" s="1">
        <f>+AD24*0.071</f>
        <v>10083.135999999999</v>
      </c>
      <c r="AE31" s="1">
        <f t="shared" ref="AE31:AM31" si="19">+AE24*0.071</f>
        <v>10587.292800000001</v>
      </c>
      <c r="AF31" s="1">
        <f t="shared" si="19"/>
        <v>11116.657440000001</v>
      </c>
      <c r="AG31" s="1">
        <f t="shared" si="19"/>
        <v>11672.490312000002</v>
      </c>
      <c r="AH31" s="1">
        <f t="shared" si="19"/>
        <v>12256.114827600002</v>
      </c>
      <c r="AI31" s="1">
        <f t="shared" si="19"/>
        <v>12868.920568980004</v>
      </c>
      <c r="AJ31" s="1">
        <f t="shared" si="19"/>
        <v>13512.366597429003</v>
      </c>
      <c r="AK31" s="1">
        <f t="shared" si="19"/>
        <v>14187.984927300455</v>
      </c>
      <c r="AL31" s="1">
        <f t="shared" si="19"/>
        <v>14897.384173665478</v>
      </c>
      <c r="AM31" s="1">
        <f t="shared" si="19"/>
        <v>15642.253382348752</v>
      </c>
    </row>
    <row r="32" spans="2:39">
      <c r="B32" s="1" t="s">
        <v>23</v>
      </c>
      <c r="C32" s="1">
        <v>641</v>
      </c>
      <c r="D32" s="1">
        <v>812</v>
      </c>
      <c r="E32" s="1">
        <v>807</v>
      </c>
      <c r="F32" s="1">
        <f>+AB32-SUM(C32:E32)</f>
        <v>904</v>
      </c>
      <c r="G32" s="1">
        <v>894</v>
      </c>
      <c r="H32" s="1">
        <v>778</v>
      </c>
      <c r="I32" s="1">
        <v>751</v>
      </c>
      <c r="J32" s="1">
        <f>+AC32-SUM(G32:I32)</f>
        <v>835</v>
      </c>
      <c r="K32" s="1">
        <v>1092</v>
      </c>
      <c r="L32" s="1">
        <v>824</v>
      </c>
      <c r="M32" s="1">
        <v>749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1198</v>
      </c>
      <c r="V32" s="1">
        <v>1540</v>
      </c>
      <c r="W32" s="1">
        <v>1694</v>
      </c>
      <c r="X32" s="1">
        <v>2322</v>
      </c>
      <c r="Y32" s="1">
        <v>2082</v>
      </c>
      <c r="Z32" s="1">
        <v>2082</v>
      </c>
      <c r="AA32" s="1">
        <v>2082</v>
      </c>
      <c r="AB32" s="1">
        <v>3164</v>
      </c>
      <c r="AC32" s="1">
        <v>3258</v>
      </c>
      <c r="AD32" s="1">
        <f>+AD24*0.025</f>
        <v>3550.4</v>
      </c>
      <c r="AE32" s="1">
        <f t="shared" ref="AE32:AM32" si="20">+AE24*0.025</f>
        <v>3727.9200000000005</v>
      </c>
      <c r="AF32" s="1">
        <f t="shared" si="20"/>
        <v>3914.3160000000007</v>
      </c>
      <c r="AG32" s="1">
        <f t="shared" si="20"/>
        <v>4110.0318000000007</v>
      </c>
      <c r="AH32" s="1">
        <f t="shared" si="20"/>
        <v>4315.5333900000014</v>
      </c>
      <c r="AI32" s="1">
        <f t="shared" si="20"/>
        <v>4531.3100595000024</v>
      </c>
      <c r="AJ32" s="1">
        <f t="shared" si="20"/>
        <v>4757.875562475002</v>
      </c>
      <c r="AK32" s="1">
        <f t="shared" si="20"/>
        <v>4995.769340598752</v>
      </c>
      <c r="AL32" s="1">
        <f t="shared" si="20"/>
        <v>5245.5578076286902</v>
      </c>
      <c r="AM32" s="1">
        <f t="shared" si="20"/>
        <v>5507.8356980101244</v>
      </c>
    </row>
    <row r="33" spans="2:239" s="3" customFormat="1">
      <c r="B33" s="3" t="s">
        <v>24</v>
      </c>
      <c r="C33" s="3">
        <f>+C24-SUM(C25:C32)</f>
        <v>667</v>
      </c>
      <c r="D33" s="3">
        <f>+D24-SUM(D25:D32)</f>
        <v>139</v>
      </c>
      <c r="E33" s="3">
        <v>965</v>
      </c>
      <c r="F33" s="3">
        <f>+AB33-SUM(C33:E33)</f>
        <v>444</v>
      </c>
      <c r="G33" s="3">
        <f>+G24-SUM(G25:G32)</f>
        <v>107</v>
      </c>
      <c r="H33" s="3">
        <f>+H24-SUM(H25:H32)</f>
        <v>871</v>
      </c>
      <c r="I33" s="3">
        <v>965</v>
      </c>
      <c r="J33" s="3">
        <f>+AC33-SUM(G33:I33)</f>
        <v>568</v>
      </c>
      <c r="K33" s="3">
        <f>+K24-SUM(K25:K32)</f>
        <v>-384</v>
      </c>
      <c r="L33" s="3">
        <f>+L24-SUM(L25:L32)</f>
        <v>551</v>
      </c>
      <c r="M33" s="3">
        <f>+M24-SUM(M25:M32)</f>
        <v>1445</v>
      </c>
      <c r="P33" s="3">
        <f>+P24-SUM(P25:P32)</f>
        <v>-1589</v>
      </c>
      <c r="Q33" s="3">
        <f t="shared" ref="Q33:T33" si="21">+Q24-SUM(Q25:Q32)</f>
        <v>-779</v>
      </c>
      <c r="R33" s="3">
        <f t="shared" si="21"/>
        <v>-492</v>
      </c>
      <c r="S33" s="3">
        <f t="shared" si="21"/>
        <v>-343</v>
      </c>
      <c r="T33" s="3">
        <f t="shared" si="21"/>
        <v>-139</v>
      </c>
      <c r="U33" s="3">
        <f>+U24-SUM(U25:U32)</f>
        <v>529</v>
      </c>
      <c r="V33" s="3">
        <f>+V24-SUM(V25:V32)</f>
        <v>-217</v>
      </c>
      <c r="W33" s="3">
        <f>+W24-SUM(W25:W32)</f>
        <v>-1118</v>
      </c>
      <c r="X33" s="3">
        <f>+X24-SUM(X25:X32)</f>
        <v>-6049</v>
      </c>
      <c r="Y33" s="3">
        <f>+Y24-SUM(Y25:Y32)</f>
        <v>-424</v>
      </c>
      <c r="Z33" s="3">
        <f t="shared" ref="Z33:AD33" si="22">+Z24-SUM(Z25:Z32)</f>
        <v>3451</v>
      </c>
      <c r="AA33" s="3">
        <f t="shared" si="22"/>
        <v>6887</v>
      </c>
      <c r="AB33" s="3">
        <f t="shared" si="22"/>
        <v>2215</v>
      </c>
      <c r="AC33" s="3">
        <f t="shared" si="22"/>
        <v>2511</v>
      </c>
      <c r="AD33" s="3">
        <f t="shared" si="22"/>
        <v>1037.9150555016822</v>
      </c>
      <c r="AE33" s="3">
        <f t="shared" ref="AE33" si="23">+AE24-SUM(AE25:AE32)</f>
        <v>1189.3285290163767</v>
      </c>
      <c r="AF33" s="3">
        <f t="shared" ref="AF33" si="24">+AF24-SUM(AF25:AF32)</f>
        <v>1248.7949554671941</v>
      </c>
      <c r="AG33" s="3">
        <f t="shared" ref="AG33" si="25">+AG24-SUM(AG25:AG32)</f>
        <v>1311.2347032405669</v>
      </c>
      <c r="AH33" s="3">
        <f t="shared" ref="AH33" si="26">+AH24-SUM(AH25:AH32)</f>
        <v>1376.7964384026127</v>
      </c>
      <c r="AI33" s="3">
        <f t="shared" ref="AI33" si="27">+AI24-SUM(AI25:AI32)</f>
        <v>1445.6362603226735</v>
      </c>
      <c r="AJ33" s="3">
        <f t="shared" ref="AJ33" si="28">+AJ24-SUM(AJ25:AJ32)</f>
        <v>1517.9180733388639</v>
      </c>
      <c r="AK33" s="3">
        <f t="shared" ref="AK33" si="29">+AK24-SUM(AK25:AK32)</f>
        <v>1593.8139770058042</v>
      </c>
      <c r="AL33" s="3">
        <f t="shared" ref="AL33" si="30">+AL24-SUM(AL25:AL32)</f>
        <v>1673.5046758560638</v>
      </c>
      <c r="AM33" s="3">
        <f t="shared" ref="AM33" si="31">+AM24-SUM(AM25:AM32)</f>
        <v>1757.1799096488976</v>
      </c>
    </row>
    <row r="34" spans="2:239">
      <c r="B34" s="1" t="s">
        <v>25</v>
      </c>
      <c r="C34" s="1">
        <v>-18</v>
      </c>
      <c r="D34" s="1">
        <v>-11</v>
      </c>
      <c r="E34" s="1">
        <v>-12</v>
      </c>
      <c r="F34" s="1">
        <f>+AB34-SUM(C34:E34)</f>
        <v>-13</v>
      </c>
      <c r="G34" s="1">
        <v>-12</v>
      </c>
      <c r="H34" s="1">
        <v>-26</v>
      </c>
      <c r="I34" s="1">
        <v>-18</v>
      </c>
      <c r="J34" s="1">
        <f>+AC34-SUM(G34:I34)</f>
        <v>-22</v>
      </c>
      <c r="K34" s="1">
        <v>-32</v>
      </c>
      <c r="L34" s="1">
        <v>-42</v>
      </c>
      <c r="M34" s="1">
        <v>-27</v>
      </c>
      <c r="P34" s="1">
        <v>-598</v>
      </c>
      <c r="Q34" s="1">
        <v>-279</v>
      </c>
      <c r="R34" s="1">
        <v>-199</v>
      </c>
      <c r="S34" s="1">
        <v>-44</v>
      </c>
      <c r="T34" s="1">
        <v>-10</v>
      </c>
      <c r="U34" s="1">
        <f>44-93</f>
        <v>-49</v>
      </c>
      <c r="V34" s="1">
        <f>19-126</f>
        <v>-107</v>
      </c>
      <c r="W34" s="1">
        <f>9-191</f>
        <v>-182</v>
      </c>
      <c r="X34" s="1">
        <f>4-392</f>
        <v>-388</v>
      </c>
      <c r="Y34" s="1">
        <f>3-756</f>
        <v>-753</v>
      </c>
      <c r="Z34" s="1">
        <f>2-755</f>
        <v>-753</v>
      </c>
      <c r="AA34" s="1">
        <v>-269</v>
      </c>
      <c r="AB34" s="1">
        <v>-54</v>
      </c>
      <c r="AC34" s="1">
        <v>-78</v>
      </c>
      <c r="AD34" s="1">
        <f>+AC63*$AQ$48</f>
        <v>36.89</v>
      </c>
      <c r="AE34" s="1">
        <f t="shared" ref="AE34:AM34" si="32">+AD63*$AQ$48</f>
        <v>49.895141171570359</v>
      </c>
      <c r="AF34" s="1">
        <f t="shared" si="32"/>
        <v>64.889747580844528</v>
      </c>
      <c r="AG34" s="1">
        <f t="shared" si="32"/>
        <v>80.785332487725796</v>
      </c>
      <c r="AH34" s="1">
        <f t="shared" si="32"/>
        <v>97.628774920038126</v>
      </c>
      <c r="AI34" s="1">
        <f t="shared" si="32"/>
        <v>115.4693200012422</v>
      </c>
      <c r="AJ34" s="1">
        <f t="shared" si="32"/>
        <v>134.35869752316157</v>
      </c>
      <c r="AK34" s="1">
        <f t="shared" si="32"/>
        <v>154.35124645059207</v>
      </c>
      <c r="AL34" s="1">
        <f t="shared" si="32"/>
        <v>175.50404565441448</v>
      </c>
      <c r="AM34" s="1">
        <f t="shared" si="32"/>
        <v>197.87705118469125</v>
      </c>
    </row>
    <row r="35" spans="2:239">
      <c r="B35" s="1" t="s">
        <v>26</v>
      </c>
      <c r="C35" s="1">
        <f>+SUM(C33:C34)</f>
        <v>649</v>
      </c>
      <c r="D35" s="1">
        <f>+SUM(D33:D34)</f>
        <v>128</v>
      </c>
      <c r="E35" s="1">
        <f>+SUM(E33:E34)</f>
        <v>953</v>
      </c>
      <c r="F35" s="1">
        <f>+AB35-SUM(C35:E35)</f>
        <v>431</v>
      </c>
      <c r="G35" s="1">
        <f>+SUM(G33:G34)</f>
        <v>95</v>
      </c>
      <c r="H35" s="1">
        <f>+SUM(H33:H34)</f>
        <v>845</v>
      </c>
      <c r="I35" s="1">
        <f>+SUM(I33:I34)</f>
        <v>947</v>
      </c>
      <c r="J35" s="1">
        <f>+AC35-SUM(G35:I35)</f>
        <v>546</v>
      </c>
      <c r="K35" s="1">
        <f>+SUM(K33:K34)</f>
        <v>-416</v>
      </c>
      <c r="L35" s="1">
        <f>+SUM(L33:L34)</f>
        <v>509</v>
      </c>
      <c r="M35" s="1">
        <f>+SUM(M33:M34)</f>
        <v>1418</v>
      </c>
      <c r="P35" s="1">
        <f>+SUM(P33:P34)</f>
        <v>-2187</v>
      </c>
      <c r="Q35" s="1">
        <f t="shared" ref="Q35:T35" si="33">+SUM(Q33:Q34)</f>
        <v>-1058</v>
      </c>
      <c r="R35" s="1">
        <f t="shared" si="33"/>
        <v>-691</v>
      </c>
      <c r="S35" s="1">
        <f t="shared" si="33"/>
        <v>-387</v>
      </c>
      <c r="T35" s="1">
        <f t="shared" si="33"/>
        <v>-149</v>
      </c>
      <c r="U35" s="1">
        <f>+SUM(U33:U34)</f>
        <v>480</v>
      </c>
      <c r="V35" s="1">
        <f>+SUM(V33:V34)</f>
        <v>-324</v>
      </c>
      <c r="W35" s="1">
        <f>+SUM(W33:W34)</f>
        <v>-1300</v>
      </c>
      <c r="X35" s="1">
        <f>+SUM(X33:X34)</f>
        <v>-6437</v>
      </c>
      <c r="Y35" s="1">
        <f>+SUM(Y33:Y34)</f>
        <v>-1177</v>
      </c>
      <c r="Z35" s="1">
        <f>+SUM(Z33:Z34)</f>
        <v>2698</v>
      </c>
      <c r="AA35" s="1">
        <f>+SUM(AA33:AA34)</f>
        <v>6618</v>
      </c>
      <c r="AB35" s="1">
        <f>+SUM(AB33:AB34)</f>
        <v>2161</v>
      </c>
      <c r="AC35" s="1">
        <f>+SUM(AC33:AC34)</f>
        <v>2433</v>
      </c>
      <c r="AD35" s="1">
        <f>+SUM(AD33:AD34)</f>
        <v>1074.8050555016823</v>
      </c>
      <c r="AE35" s="1">
        <f t="shared" ref="AE35:AM35" si="34">+SUM(AE33:AE34)</f>
        <v>1239.2236701879472</v>
      </c>
      <c r="AF35" s="1">
        <f t="shared" si="34"/>
        <v>1313.6847030480385</v>
      </c>
      <c r="AG35" s="1">
        <f t="shared" si="34"/>
        <v>1392.0200357282927</v>
      </c>
      <c r="AH35" s="1">
        <f t="shared" si="34"/>
        <v>1474.4252133226507</v>
      </c>
      <c r="AI35" s="1">
        <f t="shared" si="34"/>
        <v>1561.1055803239158</v>
      </c>
      <c r="AJ35" s="1">
        <f t="shared" si="34"/>
        <v>1652.2767708620254</v>
      </c>
      <c r="AK35" s="1">
        <f t="shared" si="34"/>
        <v>1748.1652234563962</v>
      </c>
      <c r="AL35" s="1">
        <f t="shared" si="34"/>
        <v>1849.0087215104784</v>
      </c>
      <c r="AM35" s="1">
        <f t="shared" si="34"/>
        <v>1955.0569608335888</v>
      </c>
    </row>
    <row r="36" spans="2:239">
      <c r="B36" s="1" t="s">
        <v>27</v>
      </c>
      <c r="C36" s="1">
        <v>8</v>
      </c>
      <c r="D36" s="1">
        <v>0</v>
      </c>
      <c r="E36" s="1">
        <v>-1</v>
      </c>
      <c r="F36" s="1">
        <f>+AB36-SUM(C36:E36)</f>
        <v>-2</v>
      </c>
      <c r="G36" s="1">
        <v>0</v>
      </c>
      <c r="H36" s="1">
        <v>9952</v>
      </c>
      <c r="I36" s="1">
        <v>-18</v>
      </c>
      <c r="J36" s="1">
        <f>+AC36-SUM(G36:I36)</f>
        <v>853</v>
      </c>
      <c r="K36" s="1">
        <v>-77</v>
      </c>
      <c r="L36" s="1">
        <v>78</v>
      </c>
      <c r="M36" s="1">
        <v>197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-6</v>
      </c>
      <c r="AB36" s="1">
        <v>5</v>
      </c>
      <c r="AC36" s="1">
        <v>10787</v>
      </c>
      <c r="AD36" s="1">
        <f>+AD35*0.21</f>
        <v>225.70906165535328</v>
      </c>
      <c r="AE36" s="1">
        <f t="shared" ref="AE36:AM36" si="35">+AE35*0.21</f>
        <v>260.23697073946892</v>
      </c>
      <c r="AF36" s="1">
        <f t="shared" si="35"/>
        <v>275.8737876400881</v>
      </c>
      <c r="AG36" s="1">
        <f t="shared" si="35"/>
        <v>292.32420750294148</v>
      </c>
      <c r="AH36" s="1">
        <f t="shared" si="35"/>
        <v>309.62929479775664</v>
      </c>
      <c r="AI36" s="1">
        <f t="shared" si="35"/>
        <v>327.83217186802233</v>
      </c>
      <c r="AJ36" s="1">
        <f t="shared" si="35"/>
        <v>346.97812188102534</v>
      </c>
      <c r="AK36" s="1">
        <f t="shared" si="35"/>
        <v>367.11469692584319</v>
      </c>
      <c r="AL36" s="1">
        <f t="shared" si="35"/>
        <v>388.29183151720042</v>
      </c>
      <c r="AM36" s="1">
        <f t="shared" si="35"/>
        <v>410.56196177505365</v>
      </c>
    </row>
    <row r="37" spans="2:239">
      <c r="B37" s="1" t="s">
        <v>28</v>
      </c>
      <c r="C37" s="1">
        <f>+SUM(C35:C36)</f>
        <v>657</v>
      </c>
      <c r="D37" s="1">
        <f>+SUM(D35:D36)</f>
        <v>128</v>
      </c>
      <c r="E37" s="1">
        <f>+SUM(E35:E36)</f>
        <v>952</v>
      </c>
      <c r="F37" s="1">
        <f>+AB37-SUM(C37:E37)</f>
        <v>429</v>
      </c>
      <c r="G37" s="1">
        <f>+SUM(G35:G36)</f>
        <v>95</v>
      </c>
      <c r="H37" s="1">
        <f>+SUM(H35:H36)</f>
        <v>10797</v>
      </c>
      <c r="I37" s="1">
        <f>+SUM(I35:I36)</f>
        <v>929</v>
      </c>
      <c r="J37" s="1">
        <f>+AC37-SUM(G37:I37)</f>
        <v>1399</v>
      </c>
      <c r="K37" s="1">
        <f>+SUM(K35:K36)</f>
        <v>-493</v>
      </c>
      <c r="L37" s="1">
        <f>+SUM(L35:L36)</f>
        <v>587</v>
      </c>
      <c r="M37" s="1">
        <f>+SUM(M35:M36)</f>
        <v>1615</v>
      </c>
      <c r="P37" s="1">
        <f>+SUM(P35:P36)</f>
        <v>-2187</v>
      </c>
      <c r="Q37" s="1">
        <f t="shared" ref="Q37:T37" si="36">+SUM(Q35:Q36)</f>
        <v>-1058</v>
      </c>
      <c r="R37" s="1">
        <f t="shared" si="36"/>
        <v>-691</v>
      </c>
      <c r="S37" s="1">
        <f t="shared" si="36"/>
        <v>-387</v>
      </c>
      <c r="T37" s="1">
        <f t="shared" si="36"/>
        <v>-149</v>
      </c>
      <c r="U37" s="1">
        <f>+SUM(U35:U36)</f>
        <v>480</v>
      </c>
      <c r="V37" s="1">
        <f>+SUM(V35:V36)</f>
        <v>-324</v>
      </c>
      <c r="W37" s="1">
        <f>+SUM(W35:W36)</f>
        <v>-1300</v>
      </c>
      <c r="X37" s="1">
        <f>+SUM(X35:X36)</f>
        <v>-6437</v>
      </c>
      <c r="Y37" s="1">
        <f>+SUM(Y35:Y36)</f>
        <v>-1177</v>
      </c>
      <c r="Z37" s="1">
        <f>+SUM(Z35:Z36)</f>
        <v>2698</v>
      </c>
      <c r="AA37" s="1">
        <f>+SUM(AA35:AA36)</f>
        <v>6612</v>
      </c>
      <c r="AB37" s="1">
        <f>+SUM(AB35:AB36)</f>
        <v>2166</v>
      </c>
      <c r="AC37" s="1">
        <f>+SUM(AC35:AC36)</f>
        <v>13220</v>
      </c>
      <c r="AD37" s="1">
        <f>+SUM(AD35:AD36)</f>
        <v>1300.5141171570356</v>
      </c>
      <c r="AE37" s="1">
        <f t="shared" ref="AE37:AM37" si="37">+SUM(AE35:AE36)</f>
        <v>1499.4606409274161</v>
      </c>
      <c r="AF37" s="1">
        <f t="shared" si="37"/>
        <v>1589.5584906881265</v>
      </c>
      <c r="AG37" s="1">
        <f t="shared" si="37"/>
        <v>1684.344243231234</v>
      </c>
      <c r="AH37" s="1">
        <f t="shared" si="37"/>
        <v>1784.0545081204073</v>
      </c>
      <c r="AI37" s="1">
        <f t="shared" si="37"/>
        <v>1888.9377521919382</v>
      </c>
      <c r="AJ37" s="1">
        <f t="shared" si="37"/>
        <v>1999.2548927430507</v>
      </c>
      <c r="AK37" s="1">
        <f t="shared" si="37"/>
        <v>2115.2799203822397</v>
      </c>
      <c r="AL37" s="1">
        <f t="shared" si="37"/>
        <v>2237.3005530276787</v>
      </c>
      <c r="AM37" s="1">
        <f t="shared" si="37"/>
        <v>2365.6189226086426</v>
      </c>
    </row>
    <row r="38" spans="2:239" s="6" customFormat="1">
      <c r="B38" s="6" t="s">
        <v>31</v>
      </c>
      <c r="C38" s="6">
        <v>-920</v>
      </c>
      <c r="D38" s="6">
        <v>-230</v>
      </c>
      <c r="E38" s="6">
        <v>-339</v>
      </c>
      <c r="F38" s="1">
        <f>+AB38-SUM(C38:E38)</f>
        <v>-225</v>
      </c>
      <c r="G38" s="6">
        <v>-222</v>
      </c>
      <c r="H38" s="6">
        <v>-122</v>
      </c>
      <c r="I38" s="6">
        <v>-135</v>
      </c>
      <c r="J38" s="1">
        <f>+AC38-SUM(G38:I38)</f>
        <v>-107</v>
      </c>
      <c r="K38" s="6">
        <v>-73</v>
      </c>
      <c r="L38" s="6">
        <v>-62</v>
      </c>
      <c r="M38" s="6">
        <v>-77</v>
      </c>
      <c r="P38" s="6">
        <v>165</v>
      </c>
      <c r="Q38" s="6">
        <v>-118</v>
      </c>
      <c r="R38" s="6">
        <v>-109</v>
      </c>
      <c r="S38" s="6">
        <v>-143</v>
      </c>
      <c r="T38" s="6">
        <v>-320</v>
      </c>
      <c r="U38" s="6">
        <v>-491</v>
      </c>
      <c r="V38" s="6">
        <v>-856</v>
      </c>
      <c r="W38" s="6">
        <v>-650</v>
      </c>
      <c r="X38" s="6">
        <v>-1017</v>
      </c>
      <c r="Y38" s="6">
        <v>-889</v>
      </c>
      <c r="Z38" s="6">
        <v>-1122</v>
      </c>
      <c r="AA38" s="6">
        <v>-1613</v>
      </c>
      <c r="AB38" s="6">
        <v>-1714</v>
      </c>
      <c r="AC38" s="6">
        <v>-586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</row>
    <row r="39" spans="2:239" s="3" customFormat="1">
      <c r="B39" s="3" t="s">
        <v>32</v>
      </c>
      <c r="C39" s="3">
        <f>+SUM(C37:C38)</f>
        <v>-263</v>
      </c>
      <c r="D39" s="3">
        <f>+SUM(D37:D38)</f>
        <v>-102</v>
      </c>
      <c r="E39" s="3">
        <f>+SUM(E37:E38)</f>
        <v>613</v>
      </c>
      <c r="F39" s="3">
        <f>+AB39-SUM(C39:E39)</f>
        <v>204</v>
      </c>
      <c r="G39" s="3">
        <f>+SUM(G37:G38)</f>
        <v>-127</v>
      </c>
      <c r="H39" s="3">
        <f>+SUM(H37:H38)</f>
        <v>10675</v>
      </c>
      <c r="I39" s="3">
        <f>+SUM(I37:I38)</f>
        <v>794</v>
      </c>
      <c r="J39" s="3">
        <f>+AC39-SUM(G39:I39)</f>
        <v>1292</v>
      </c>
      <c r="K39" s="3">
        <f>+SUM(K37:K38)</f>
        <v>-566</v>
      </c>
      <c r="L39" s="3">
        <f>+SUM(L37:L38)</f>
        <v>525</v>
      </c>
      <c r="M39" s="3">
        <f>+SUM(M37:M38)</f>
        <v>1538</v>
      </c>
      <c r="P39" s="3">
        <f>+SUM(P37:P38)</f>
        <v>-2022</v>
      </c>
      <c r="Q39" s="3">
        <f t="shared" ref="Q39:T39" si="38">+SUM(Q37:Q38)</f>
        <v>-1176</v>
      </c>
      <c r="R39" s="3">
        <f t="shared" si="38"/>
        <v>-800</v>
      </c>
      <c r="S39" s="3">
        <f t="shared" si="38"/>
        <v>-530</v>
      </c>
      <c r="T39" s="3">
        <f t="shared" si="38"/>
        <v>-469</v>
      </c>
      <c r="U39" s="3">
        <f>+SUM(U37:U38)</f>
        <v>-11</v>
      </c>
      <c r="V39" s="3">
        <f>+SUM(V37:V38)</f>
        <v>-1180</v>
      </c>
      <c r="W39" s="3">
        <f>+SUM(W37:W38)</f>
        <v>-1950</v>
      </c>
      <c r="X39" s="3">
        <f>+SUM(X37:X38)</f>
        <v>-7454</v>
      </c>
      <c r="Y39" s="3">
        <f>+SUM(Y37:Y38)</f>
        <v>-2066</v>
      </c>
      <c r="Z39" s="3">
        <f>+SUM(Z37:Z38)</f>
        <v>1576</v>
      </c>
      <c r="AA39" s="3">
        <f>+SUM(AA37:AA38)</f>
        <v>4999</v>
      </c>
      <c r="AB39" s="3">
        <f>+SUM(AB37:AB38)</f>
        <v>452</v>
      </c>
      <c r="AC39" s="3">
        <f>+SUM(AC37:AC38)</f>
        <v>12634</v>
      </c>
      <c r="AD39" s="3">
        <f>+SUM(AD37:AD38)</f>
        <v>1300.5141171570356</v>
      </c>
      <c r="AE39" s="3">
        <f t="shared" ref="AE39:AM39" si="39">+SUM(AE37:AE38)</f>
        <v>1499.4606409274161</v>
      </c>
      <c r="AF39" s="3">
        <f t="shared" si="39"/>
        <v>1589.5584906881265</v>
      </c>
      <c r="AG39" s="3">
        <f t="shared" si="39"/>
        <v>1684.344243231234</v>
      </c>
      <c r="AH39" s="3">
        <f t="shared" si="39"/>
        <v>1784.0545081204073</v>
      </c>
      <c r="AI39" s="3">
        <f t="shared" si="39"/>
        <v>1888.9377521919382</v>
      </c>
      <c r="AJ39" s="3">
        <f t="shared" si="39"/>
        <v>1999.2548927430507</v>
      </c>
      <c r="AK39" s="3">
        <f t="shared" si="39"/>
        <v>2115.2799203822397</v>
      </c>
      <c r="AL39" s="3">
        <f t="shared" si="39"/>
        <v>2237.3005530276787</v>
      </c>
      <c r="AM39" s="3">
        <f t="shared" si="39"/>
        <v>2365.6189226086426</v>
      </c>
      <c r="AN39" s="3">
        <f>+AM39*(1+$AQ$49)</f>
        <v>2341.9627333825561</v>
      </c>
      <c r="AO39" s="3">
        <f>+AN39*(1+$AQ$49)</f>
        <v>2318.5431060487304</v>
      </c>
      <c r="AP39" s="3">
        <f t="shared" ref="AP39:DA39" si="40">+AO39*(1+$AQ$49)</f>
        <v>2295.3576749882432</v>
      </c>
      <c r="AQ39" s="3">
        <f t="shared" si="40"/>
        <v>2272.4040982383608</v>
      </c>
      <c r="AR39" s="3">
        <f t="shared" si="40"/>
        <v>2249.6800572559773</v>
      </c>
      <c r="AS39" s="3">
        <f t="shared" si="40"/>
        <v>2227.1832566834173</v>
      </c>
      <c r="AT39" s="3">
        <f t="shared" si="40"/>
        <v>2204.911424116583</v>
      </c>
      <c r="AU39" s="3">
        <f t="shared" si="40"/>
        <v>2182.8623098754174</v>
      </c>
      <c r="AV39" s="3">
        <f t="shared" si="40"/>
        <v>2161.0336867766632</v>
      </c>
      <c r="AW39" s="3">
        <f t="shared" si="40"/>
        <v>2139.4233499088964</v>
      </c>
      <c r="AX39" s="3">
        <f t="shared" si="40"/>
        <v>2118.0291164098076</v>
      </c>
      <c r="AY39" s="3">
        <f t="shared" si="40"/>
        <v>2096.8488252457096</v>
      </c>
      <c r="AZ39" s="3">
        <f t="shared" si="40"/>
        <v>2075.8803369932525</v>
      </c>
      <c r="BA39" s="3">
        <f t="shared" si="40"/>
        <v>2055.1215336233199</v>
      </c>
      <c r="BB39" s="3">
        <f t="shared" si="40"/>
        <v>2034.5703182870866</v>
      </c>
      <c r="BC39" s="3">
        <f t="shared" si="40"/>
        <v>2014.2246151042157</v>
      </c>
      <c r="BD39" s="3">
        <f t="shared" si="40"/>
        <v>1994.0823689531735</v>
      </c>
      <c r="BE39" s="3">
        <f t="shared" si="40"/>
        <v>1974.1415452636418</v>
      </c>
      <c r="BF39" s="3">
        <f t="shared" si="40"/>
        <v>1954.4001298110054</v>
      </c>
      <c r="BG39" s="3">
        <f t="shared" si="40"/>
        <v>1934.8561285128953</v>
      </c>
      <c r="BH39" s="3">
        <f t="shared" si="40"/>
        <v>1915.5075672277665</v>
      </c>
      <c r="BI39" s="3">
        <f t="shared" si="40"/>
        <v>1896.3524915554888</v>
      </c>
      <c r="BJ39" s="3">
        <f t="shared" si="40"/>
        <v>1877.3889666399339</v>
      </c>
      <c r="BK39" s="3">
        <f t="shared" si="40"/>
        <v>1858.6150769735345</v>
      </c>
      <c r="BL39" s="3">
        <f t="shared" si="40"/>
        <v>1840.0289262037991</v>
      </c>
      <c r="BM39" s="3">
        <f t="shared" si="40"/>
        <v>1821.628636941761</v>
      </c>
      <c r="BN39" s="3">
        <f t="shared" si="40"/>
        <v>1803.4123505723433</v>
      </c>
      <c r="BO39" s="3">
        <f t="shared" si="40"/>
        <v>1785.3782270666197</v>
      </c>
      <c r="BP39" s="3">
        <f t="shared" si="40"/>
        <v>1767.5244447959535</v>
      </c>
      <c r="BQ39" s="3">
        <f t="shared" si="40"/>
        <v>1749.8492003479939</v>
      </c>
      <c r="BR39" s="3">
        <f t="shared" si="40"/>
        <v>1732.350708344514</v>
      </c>
      <c r="BS39" s="3">
        <f t="shared" si="40"/>
        <v>1715.027201261069</v>
      </c>
      <c r="BT39" s="3">
        <f t="shared" si="40"/>
        <v>1697.8769292484583</v>
      </c>
      <c r="BU39" s="3">
        <f t="shared" si="40"/>
        <v>1680.8981599559736</v>
      </c>
      <c r="BV39" s="3">
        <f t="shared" si="40"/>
        <v>1664.0891783564139</v>
      </c>
      <c r="BW39" s="3">
        <f t="shared" si="40"/>
        <v>1647.4482865728496</v>
      </c>
      <c r="BX39" s="3">
        <f t="shared" si="40"/>
        <v>1630.9738037071211</v>
      </c>
      <c r="BY39" s="3">
        <f t="shared" si="40"/>
        <v>1614.6640656700499</v>
      </c>
      <c r="BZ39" s="3">
        <f t="shared" si="40"/>
        <v>1598.5174250133493</v>
      </c>
      <c r="CA39" s="3">
        <f t="shared" si="40"/>
        <v>1582.5322507632159</v>
      </c>
      <c r="CB39" s="3">
        <f t="shared" si="40"/>
        <v>1566.7069282555838</v>
      </c>
      <c r="CC39" s="3">
        <f t="shared" si="40"/>
        <v>1551.039858973028</v>
      </c>
      <c r="CD39" s="3">
        <f t="shared" si="40"/>
        <v>1535.5294603832976</v>
      </c>
      <c r="CE39" s="3">
        <f t="shared" si="40"/>
        <v>1520.1741657794646</v>
      </c>
      <c r="CF39" s="3">
        <f t="shared" si="40"/>
        <v>1504.97242412167</v>
      </c>
      <c r="CG39" s="3">
        <f t="shared" si="40"/>
        <v>1489.9226998804534</v>
      </c>
      <c r="CH39" s="3">
        <f t="shared" si="40"/>
        <v>1475.0234728816488</v>
      </c>
      <c r="CI39" s="3">
        <f t="shared" si="40"/>
        <v>1460.2732381528324</v>
      </c>
      <c r="CJ39" s="3">
        <f t="shared" si="40"/>
        <v>1445.6705057713041</v>
      </c>
      <c r="CK39" s="3">
        <f t="shared" si="40"/>
        <v>1431.2138007135911</v>
      </c>
      <c r="CL39" s="3">
        <f t="shared" si="40"/>
        <v>1416.9016627064552</v>
      </c>
      <c r="CM39" s="3">
        <f t="shared" si="40"/>
        <v>1402.7326460793906</v>
      </c>
      <c r="CN39" s="3">
        <f t="shared" si="40"/>
        <v>1388.7053196185966</v>
      </c>
      <c r="CO39" s="3">
        <f t="shared" si="40"/>
        <v>1374.8182664224107</v>
      </c>
      <c r="CP39" s="3">
        <f t="shared" si="40"/>
        <v>1361.0700837581867</v>
      </c>
      <c r="CQ39" s="3">
        <f t="shared" si="40"/>
        <v>1347.4593829206049</v>
      </c>
      <c r="CR39" s="3">
        <f t="shared" si="40"/>
        <v>1333.9847890913989</v>
      </c>
      <c r="CS39" s="3">
        <f t="shared" si="40"/>
        <v>1320.6449412004849</v>
      </c>
      <c r="CT39" s="3">
        <f t="shared" si="40"/>
        <v>1307.4384917884802</v>
      </c>
      <c r="CU39" s="3">
        <f t="shared" si="40"/>
        <v>1294.3641068705954</v>
      </c>
      <c r="CV39" s="3">
        <f t="shared" si="40"/>
        <v>1281.4204658018893</v>
      </c>
      <c r="CW39" s="3">
        <f t="shared" si="40"/>
        <v>1268.6062611438704</v>
      </c>
      <c r="CX39" s="3">
        <f t="shared" si="40"/>
        <v>1255.9201985324316</v>
      </c>
      <c r="CY39" s="3">
        <f t="shared" si="40"/>
        <v>1243.3609965471073</v>
      </c>
      <c r="CZ39" s="3">
        <f t="shared" si="40"/>
        <v>1230.9273865816363</v>
      </c>
      <c r="DA39" s="3">
        <f t="shared" si="40"/>
        <v>1218.61811271582</v>
      </c>
      <c r="DB39" s="3">
        <f t="shared" ref="DB39:FD39" si="41">+DA39*(1+$AQ$49)</f>
        <v>1206.4319315886617</v>
      </c>
      <c r="DC39" s="3">
        <f t="shared" si="41"/>
        <v>1194.367612272775</v>
      </c>
      <c r="DD39" s="3">
        <f t="shared" si="41"/>
        <v>1182.4239361500472</v>
      </c>
      <c r="DE39" s="3">
        <f t="shared" si="41"/>
        <v>1170.5996967885467</v>
      </c>
      <c r="DF39" s="3">
        <f t="shared" si="41"/>
        <v>1158.8936998206611</v>
      </c>
      <c r="DG39" s="3">
        <f t="shared" si="41"/>
        <v>1147.3047628224544</v>
      </c>
      <c r="DH39" s="3">
        <f t="shared" si="41"/>
        <v>1135.8317151942299</v>
      </c>
      <c r="DI39" s="3">
        <f t="shared" si="41"/>
        <v>1124.4733980422875</v>
      </c>
      <c r="DJ39" s="3">
        <f t="shared" si="41"/>
        <v>1113.2286640618647</v>
      </c>
      <c r="DK39" s="3">
        <f t="shared" si="41"/>
        <v>1102.096377421246</v>
      </c>
      <c r="DL39" s="3">
        <f t="shared" si="41"/>
        <v>1091.0754136470334</v>
      </c>
      <c r="DM39" s="3">
        <f t="shared" si="41"/>
        <v>1080.1646595105631</v>
      </c>
      <c r="DN39" s="3">
        <f t="shared" si="41"/>
        <v>1069.3630129154574</v>
      </c>
      <c r="DO39" s="3">
        <f t="shared" si="41"/>
        <v>1058.6693827863028</v>
      </c>
      <c r="DP39" s="3">
        <f t="shared" si="41"/>
        <v>1048.0826889584398</v>
      </c>
      <c r="DQ39" s="3">
        <f t="shared" si="41"/>
        <v>1037.6018620688553</v>
      </c>
      <c r="DR39" s="3">
        <f t="shared" si="41"/>
        <v>1027.2258434481669</v>
      </c>
      <c r="DS39" s="3">
        <f t="shared" si="41"/>
        <v>1016.9535850136851</v>
      </c>
      <c r="DT39" s="3">
        <f t="shared" si="41"/>
        <v>1006.7840491635483</v>
      </c>
      <c r="DU39" s="3">
        <f t="shared" si="41"/>
        <v>996.7162086719128</v>
      </c>
      <c r="DV39" s="3">
        <f t="shared" si="41"/>
        <v>986.7490465851937</v>
      </c>
      <c r="DW39" s="3">
        <f t="shared" si="41"/>
        <v>976.88155611934178</v>
      </c>
      <c r="DX39" s="3">
        <f t="shared" si="41"/>
        <v>967.1127405581484</v>
      </c>
      <c r="DY39" s="3">
        <f t="shared" si="41"/>
        <v>957.4416131525669</v>
      </c>
      <c r="DZ39" s="3">
        <f t="shared" si="41"/>
        <v>947.86719702104119</v>
      </c>
      <c r="EA39" s="3">
        <f t="shared" si="41"/>
        <v>938.38852505083082</v>
      </c>
      <c r="EB39" s="3">
        <f t="shared" si="41"/>
        <v>929.00463980032248</v>
      </c>
      <c r="EC39" s="3">
        <f t="shared" si="41"/>
        <v>919.71459340231922</v>
      </c>
      <c r="ED39" s="3">
        <f t="shared" si="41"/>
        <v>910.51744746829604</v>
      </c>
      <c r="EE39" s="3">
        <f t="shared" si="41"/>
        <v>901.4122729936131</v>
      </c>
      <c r="EF39" s="3">
        <f t="shared" si="41"/>
        <v>892.39815026367694</v>
      </c>
      <c r="EG39" s="3">
        <f t="shared" si="41"/>
        <v>883.47416876104012</v>
      </c>
      <c r="EH39" s="3">
        <f t="shared" si="41"/>
        <v>874.63942707342972</v>
      </c>
      <c r="EI39" s="3">
        <f t="shared" si="41"/>
        <v>865.89303280269542</v>
      </c>
      <c r="EJ39" s="3">
        <f t="shared" si="41"/>
        <v>857.23410247466848</v>
      </c>
      <c r="EK39" s="3">
        <f t="shared" si="41"/>
        <v>848.66176144992176</v>
      </c>
      <c r="EL39" s="3">
        <f t="shared" si="41"/>
        <v>840.17514383542255</v>
      </c>
      <c r="EM39" s="3">
        <f t="shared" si="41"/>
        <v>831.77339239706828</v>
      </c>
      <c r="EN39" s="3">
        <f t="shared" si="41"/>
        <v>823.45565847309763</v>
      </c>
      <c r="EO39" s="3">
        <f t="shared" si="41"/>
        <v>815.22110188836666</v>
      </c>
      <c r="EP39" s="3">
        <f t="shared" si="41"/>
        <v>807.06889086948297</v>
      </c>
      <c r="EQ39" s="3">
        <f t="shared" si="41"/>
        <v>798.99820196078815</v>
      </c>
      <c r="ER39" s="3">
        <f t="shared" si="41"/>
        <v>791.0082199411803</v>
      </c>
      <c r="ES39" s="3">
        <f t="shared" si="41"/>
        <v>783.09813774176848</v>
      </c>
      <c r="ET39" s="3">
        <f t="shared" si="41"/>
        <v>775.26715636435074</v>
      </c>
      <c r="EU39" s="3">
        <f t="shared" si="41"/>
        <v>767.51448480070724</v>
      </c>
      <c r="EV39" s="3">
        <f t="shared" si="41"/>
        <v>759.83933995270013</v>
      </c>
      <c r="EW39" s="3">
        <f t="shared" si="41"/>
        <v>752.2409465531731</v>
      </c>
      <c r="EX39" s="3">
        <f t="shared" si="41"/>
        <v>744.71853708764138</v>
      </c>
      <c r="EY39" s="3">
        <f t="shared" si="41"/>
        <v>737.27135171676491</v>
      </c>
      <c r="EZ39" s="3">
        <f t="shared" si="41"/>
        <v>729.89863819959726</v>
      </c>
      <c r="FA39" s="3">
        <f t="shared" si="41"/>
        <v>722.59965181760128</v>
      </c>
      <c r="FB39" s="3">
        <f t="shared" si="41"/>
        <v>715.37365529942531</v>
      </c>
      <c r="FC39" s="3">
        <f t="shared" si="41"/>
        <v>708.21991874643106</v>
      </c>
      <c r="FD39" s="3">
        <f t="shared" si="41"/>
        <v>701.13771955896675</v>
      </c>
      <c r="FE39" s="3">
        <f t="shared" ref="FE39:HB39" si="42">+FD39*(1+$AQ$49)</f>
        <v>694.12634236337703</v>
      </c>
      <c r="FF39" s="3">
        <f t="shared" si="42"/>
        <v>687.18507893974322</v>
      </c>
      <c r="FG39" s="3">
        <f t="shared" si="42"/>
        <v>680.31322815034582</v>
      </c>
      <c r="FH39" s="3">
        <f t="shared" si="42"/>
        <v>673.51009586884231</v>
      </c>
      <c r="FI39" s="3">
        <f t="shared" si="42"/>
        <v>666.77499491015385</v>
      </c>
      <c r="FJ39" s="3">
        <f t="shared" si="42"/>
        <v>660.10724496105229</v>
      </c>
      <c r="FK39" s="3">
        <f t="shared" si="42"/>
        <v>653.50617251144172</v>
      </c>
      <c r="FL39" s="3">
        <f t="shared" si="42"/>
        <v>646.97111078632724</v>
      </c>
      <c r="FM39" s="3">
        <f t="shared" si="42"/>
        <v>640.50139967846394</v>
      </c>
      <c r="FN39" s="3">
        <f t="shared" si="42"/>
        <v>634.09638568167929</v>
      </c>
      <c r="FO39" s="3">
        <f t="shared" si="42"/>
        <v>627.75542182486254</v>
      </c>
      <c r="FP39" s="3">
        <f t="shared" si="42"/>
        <v>621.47786760661393</v>
      </c>
      <c r="FQ39" s="3">
        <f t="shared" si="42"/>
        <v>615.26308893054784</v>
      </c>
      <c r="FR39" s="3">
        <f t="shared" si="42"/>
        <v>609.1104580412424</v>
      </c>
      <c r="FS39" s="3">
        <f t="shared" si="42"/>
        <v>603.01935346082996</v>
      </c>
      <c r="FT39" s="3">
        <f t="shared" si="42"/>
        <v>596.98915992622165</v>
      </c>
      <c r="FU39" s="3">
        <f t="shared" si="42"/>
        <v>591.01926832695938</v>
      </c>
      <c r="FV39" s="3">
        <f t="shared" si="42"/>
        <v>585.10907564368983</v>
      </c>
      <c r="FW39" s="3">
        <f t="shared" si="42"/>
        <v>579.25798488725297</v>
      </c>
      <c r="FX39" s="3">
        <f t="shared" si="42"/>
        <v>573.46540503838048</v>
      </c>
      <c r="FY39" s="3">
        <f t="shared" si="42"/>
        <v>567.73075098799666</v>
      </c>
      <c r="FZ39" s="3">
        <f t="shared" si="42"/>
        <v>562.05344347811672</v>
      </c>
      <c r="GA39" s="3">
        <f t="shared" si="42"/>
        <v>556.4329090433356</v>
      </c>
      <c r="GB39" s="3">
        <f t="shared" si="42"/>
        <v>550.86857995290222</v>
      </c>
      <c r="GC39" s="3">
        <f t="shared" si="42"/>
        <v>545.35989415337315</v>
      </c>
      <c r="GD39" s="3">
        <f t="shared" si="42"/>
        <v>539.90629521183939</v>
      </c>
      <c r="GE39" s="3">
        <f t="shared" si="42"/>
        <v>534.50723225972104</v>
      </c>
      <c r="GF39" s="3">
        <f t="shared" si="42"/>
        <v>529.16215993712387</v>
      </c>
      <c r="GG39" s="3">
        <f t="shared" si="42"/>
        <v>523.87053833775258</v>
      </c>
      <c r="GH39" s="3">
        <f t="shared" si="42"/>
        <v>518.631832954375</v>
      </c>
      <c r="GI39" s="3">
        <f t="shared" si="42"/>
        <v>513.44551462483128</v>
      </c>
      <c r="GJ39" s="3">
        <f t="shared" si="42"/>
        <v>508.31105947858293</v>
      </c>
      <c r="GK39" s="3">
        <f t="shared" si="42"/>
        <v>503.22794888379713</v>
      </c>
      <c r="GL39" s="3">
        <f t="shared" si="42"/>
        <v>498.19566939495917</v>
      </c>
      <c r="GM39" s="3">
        <f t="shared" si="42"/>
        <v>493.21371270100957</v>
      </c>
      <c r="GN39" s="3">
        <f t="shared" si="42"/>
        <v>488.28157557399948</v>
      </c>
      <c r="GO39" s="3">
        <f t="shared" si="42"/>
        <v>483.39875981825946</v>
      </c>
      <c r="GP39" s="3">
        <f t="shared" si="42"/>
        <v>478.56477222007686</v>
      </c>
      <c r="GQ39" s="3">
        <f t="shared" si="42"/>
        <v>473.77912449787607</v>
      </c>
      <c r="GR39" s="3">
        <f t="shared" si="42"/>
        <v>469.04133325289729</v>
      </c>
      <c r="GS39" s="3">
        <f t="shared" si="42"/>
        <v>464.35091992036831</v>
      </c>
      <c r="GT39" s="3">
        <f t="shared" si="42"/>
        <v>459.70741072116465</v>
      </c>
      <c r="GU39" s="3">
        <f t="shared" si="42"/>
        <v>455.110336613953</v>
      </c>
      <c r="GV39" s="3">
        <f t="shared" si="42"/>
        <v>450.55923324781344</v>
      </c>
      <c r="GW39" s="3">
        <f t="shared" si="42"/>
        <v>446.05364091533528</v>
      </c>
      <c r="GX39" s="3">
        <f t="shared" si="42"/>
        <v>441.59310450618193</v>
      </c>
      <c r="GY39" s="3">
        <f t="shared" si="42"/>
        <v>437.17717346112011</v>
      </c>
      <c r="GZ39" s="3">
        <f t="shared" si="42"/>
        <v>432.80540172650888</v>
      </c>
      <c r="HA39" s="3">
        <f t="shared" si="42"/>
        <v>428.47734770924376</v>
      </c>
      <c r="HB39" s="3">
        <f t="shared" si="42"/>
        <v>424.19257423215134</v>
      </c>
      <c r="HC39" s="3">
        <f t="shared" ref="HC39:IE39" si="43">+HB39*(1+$AQ$49)</f>
        <v>419.9506484898298</v>
      </c>
      <c r="HD39" s="3">
        <f t="shared" si="43"/>
        <v>415.75114200493152</v>
      </c>
      <c r="HE39" s="3">
        <f t="shared" si="43"/>
        <v>411.59363058488219</v>
      </c>
      <c r="HF39" s="3">
        <f t="shared" si="43"/>
        <v>407.47769427903336</v>
      </c>
      <c r="HG39" s="3">
        <f t="shared" si="43"/>
        <v>403.40291733624304</v>
      </c>
      <c r="HH39" s="3">
        <f t="shared" si="43"/>
        <v>399.36888816288058</v>
      </c>
      <c r="HI39" s="3">
        <f t="shared" si="43"/>
        <v>395.37519928125175</v>
      </c>
      <c r="HJ39" s="3">
        <f t="shared" si="43"/>
        <v>391.42144728843925</v>
      </c>
      <c r="HK39" s="3">
        <f t="shared" si="43"/>
        <v>387.50723281555486</v>
      </c>
      <c r="HL39" s="3">
        <f t="shared" si="43"/>
        <v>383.63216048739929</v>
      </c>
      <c r="HM39" s="3">
        <f t="shared" si="43"/>
        <v>379.79583888252529</v>
      </c>
      <c r="HN39" s="3">
        <f t="shared" si="43"/>
        <v>375.99788049370005</v>
      </c>
      <c r="HO39" s="3">
        <f t="shared" si="43"/>
        <v>372.23790168876303</v>
      </c>
      <c r="HP39" s="3">
        <f t="shared" si="43"/>
        <v>368.51552267187537</v>
      </c>
      <c r="HQ39" s="3">
        <f t="shared" si="43"/>
        <v>364.83036744515664</v>
      </c>
      <c r="HR39" s="3">
        <f t="shared" si="43"/>
        <v>361.18206377070504</v>
      </c>
      <c r="HS39" s="3">
        <f t="shared" si="43"/>
        <v>357.57024313299797</v>
      </c>
      <c r="HT39" s="3">
        <f t="shared" si="43"/>
        <v>353.99454070166797</v>
      </c>
      <c r="HU39" s="3">
        <f t="shared" si="43"/>
        <v>350.45459529465131</v>
      </c>
      <c r="HV39" s="3">
        <f t="shared" si="43"/>
        <v>346.95004934170481</v>
      </c>
      <c r="HW39" s="3">
        <f t="shared" si="43"/>
        <v>343.48054884828775</v>
      </c>
      <c r="HX39" s="3">
        <f t="shared" si="43"/>
        <v>340.04574335980487</v>
      </c>
      <c r="HY39" s="3">
        <f t="shared" si="43"/>
        <v>336.64528592620684</v>
      </c>
      <c r="HZ39" s="3">
        <f t="shared" si="43"/>
        <v>333.27883306694474</v>
      </c>
      <c r="IA39" s="3">
        <f t="shared" si="43"/>
        <v>329.94604473627527</v>
      </c>
      <c r="IB39" s="3">
        <f t="shared" si="43"/>
        <v>326.64658428891249</v>
      </c>
      <c r="IC39" s="3">
        <f t="shared" si="43"/>
        <v>323.38011844602335</v>
      </c>
      <c r="ID39" s="3">
        <f t="shared" si="43"/>
        <v>320.14631726156313</v>
      </c>
      <c r="IE39" s="3">
        <f t="shared" si="43"/>
        <v>316.94485408894747</v>
      </c>
    </row>
    <row r="40" spans="2:239">
      <c r="B40" s="1" t="s">
        <v>29</v>
      </c>
      <c r="C40" s="1">
        <v>12684.978999999999</v>
      </c>
      <c r="D40" s="1">
        <v>12527.625</v>
      </c>
      <c r="E40" s="1">
        <v>12560.657999999999</v>
      </c>
      <c r="F40" s="1">
        <f>+F39/F41</f>
        <v>1608.1000112237757</v>
      </c>
      <c r="G40" s="1">
        <v>11377.579</v>
      </c>
      <c r="H40" s="1">
        <v>11230.717000000001</v>
      </c>
      <c r="I40" s="1">
        <v>11769.286</v>
      </c>
      <c r="J40" s="1">
        <f>+J39/J41</f>
        <v>12995.347659286861</v>
      </c>
      <c r="K40" s="1">
        <v>11377.579</v>
      </c>
      <c r="L40" s="1">
        <v>11230.717000000001</v>
      </c>
      <c r="M40" s="1">
        <v>11034.486999999999</v>
      </c>
      <c r="P40" s="1">
        <f>+P39/P41</f>
        <v>894.69026548672571</v>
      </c>
      <c r="Q40" s="1">
        <f>+Q39/Q41</f>
        <v>2800</v>
      </c>
      <c r="R40" s="1">
        <f>+R39/R41</f>
        <v>2758.6206896551726</v>
      </c>
      <c r="S40" s="1">
        <f>+S39/S41</f>
        <v>1962.9629629629628</v>
      </c>
      <c r="T40" s="1">
        <f>+T39/T41</f>
        <v>3908.3333333333335</v>
      </c>
      <c r="U40" s="1">
        <v>10510.105</v>
      </c>
      <c r="V40" s="1">
        <v>12269.036</v>
      </c>
      <c r="W40" s="1">
        <v>12320.909</v>
      </c>
      <c r="X40" s="1">
        <v>12463.76</v>
      </c>
      <c r="Y40" s="1">
        <v>12522.727999999999</v>
      </c>
      <c r="Z40" s="1">
        <v>12594.951999999999</v>
      </c>
      <c r="AA40" s="1">
        <v>12828.18</v>
      </c>
      <c r="AB40" s="1">
        <v>12464.407999999999</v>
      </c>
      <c r="AC40" s="1">
        <v>11827.752</v>
      </c>
      <c r="AD40" s="1">
        <f>+AC40</f>
        <v>11827.752</v>
      </c>
      <c r="AE40" s="1">
        <f t="shared" ref="AE40:AM40" si="44">+AD40</f>
        <v>11827.752</v>
      </c>
      <c r="AF40" s="1">
        <f t="shared" si="44"/>
        <v>11827.752</v>
      </c>
      <c r="AG40" s="1">
        <f t="shared" si="44"/>
        <v>11827.752</v>
      </c>
      <c r="AH40" s="1">
        <f t="shared" si="44"/>
        <v>11827.752</v>
      </c>
      <c r="AI40" s="1">
        <f t="shared" si="44"/>
        <v>11827.752</v>
      </c>
      <c r="AJ40" s="1">
        <f t="shared" si="44"/>
        <v>11827.752</v>
      </c>
      <c r="AK40" s="1">
        <f t="shared" si="44"/>
        <v>11827.752</v>
      </c>
      <c r="AL40" s="1">
        <f t="shared" si="44"/>
        <v>11827.752</v>
      </c>
      <c r="AM40" s="1">
        <f t="shared" si="44"/>
        <v>11827.752</v>
      </c>
    </row>
    <row r="41" spans="2:239">
      <c r="B41" s="1" t="s">
        <v>30</v>
      </c>
      <c r="C41" s="1">
        <f>+C39/C40</f>
        <v>-2.0733183712799211E-2</v>
      </c>
      <c r="D41" s="1">
        <f>+D39/D40</f>
        <v>-8.1420061663723172E-3</v>
      </c>
      <c r="E41" s="1">
        <f>+E37/E40</f>
        <v>7.5792207701220748E-2</v>
      </c>
      <c r="F41" s="1">
        <f>+AB41-SUM(C41:E41)</f>
        <v>0.12685778159080699</v>
      </c>
      <c r="G41" s="1">
        <f>+G39/G40</f>
        <v>-1.1162304388306159E-2</v>
      </c>
      <c r="H41" s="1">
        <f>+H39/H40</f>
        <v>0.95051811919043094</v>
      </c>
      <c r="I41" s="1">
        <f>+I37/I40</f>
        <v>7.8934270099307632E-2</v>
      </c>
      <c r="J41" s="1">
        <f>+AC41-SUM(G41:I41)</f>
        <v>9.9420195124729771E-2</v>
      </c>
      <c r="K41" s="1">
        <f>+K39/K40</f>
        <v>-4.9746962864419576E-2</v>
      </c>
      <c r="L41" s="1">
        <f>+L39/L40</f>
        <v>4.6746792747070373E-2</v>
      </c>
      <c r="M41" s="1">
        <f>+M37/M40</f>
        <v>0.14635931874313687</v>
      </c>
      <c r="P41" s="1">
        <v>-2.2599999999999998</v>
      </c>
      <c r="Q41" s="1">
        <v>-0.42</v>
      </c>
      <c r="R41" s="1">
        <v>-0.28999999999999998</v>
      </c>
      <c r="S41" s="1">
        <v>-0.27</v>
      </c>
      <c r="T41" s="1">
        <v>-0.12</v>
      </c>
      <c r="U41" s="1">
        <f>+U37/U40</f>
        <v>4.5670333455279467E-2</v>
      </c>
      <c r="V41" s="1">
        <f>+V37/V40</f>
        <v>-2.6407942726714633E-2</v>
      </c>
      <c r="W41" s="1">
        <f>+W37/W40</f>
        <v>-0.10551169560622516</v>
      </c>
      <c r="X41" s="1">
        <f>+X37/X40</f>
        <v>-0.51645731304197129</v>
      </c>
      <c r="Y41" s="1">
        <f>+Y37/Y40</f>
        <v>-9.3989105249271565E-2</v>
      </c>
      <c r="Z41" s="1">
        <f>+Z37/Z40</f>
        <v>0.21421280525721734</v>
      </c>
      <c r="AA41" s="1">
        <f>+AA37/AA40</f>
        <v>0.51542775358624526</v>
      </c>
      <c r="AB41" s="1">
        <f>+AB37/AB40</f>
        <v>0.1737747994128562</v>
      </c>
      <c r="AC41" s="1">
        <f>+AC37/AC40</f>
        <v>1.1177102800261622</v>
      </c>
      <c r="AD41" s="1">
        <f>+AD39/AD40</f>
        <v>0.10995446278862082</v>
      </c>
      <c r="AE41" s="1">
        <f t="shared" ref="AE41:AM41" si="45">+AE39/AE40</f>
        <v>0.12677477858238961</v>
      </c>
      <c r="AF41" s="1">
        <f t="shared" si="45"/>
        <v>0.1343922742621021</v>
      </c>
      <c r="AG41" s="1">
        <f t="shared" si="45"/>
        <v>0.14240611768248387</v>
      </c>
      <c r="AH41" s="1">
        <f t="shared" si="45"/>
        <v>0.15083631345334322</v>
      </c>
      <c r="AI41" s="1">
        <f t="shared" si="45"/>
        <v>0.15970386868036615</v>
      </c>
      <c r="AJ41" s="1">
        <f t="shared" si="45"/>
        <v>0.16903084311736083</v>
      </c>
      <c r="AK41" s="1">
        <f t="shared" si="45"/>
        <v>0.17884040182633518</v>
      </c>
      <c r="AL41" s="1">
        <f t="shared" si="45"/>
        <v>0.18915687047104798</v>
      </c>
      <c r="AM41" s="1">
        <f t="shared" si="45"/>
        <v>0.20000579337549879</v>
      </c>
    </row>
    <row r="43" spans="2:239">
      <c r="B43" s="1" t="s">
        <v>81</v>
      </c>
      <c r="G43" s="1">
        <v>752</v>
      </c>
      <c r="H43" s="1">
        <v>1594</v>
      </c>
      <c r="I43" s="1">
        <v>2148</v>
      </c>
      <c r="J43" s="1">
        <f>3994-SUM(G43:I43)</f>
        <v>-500</v>
      </c>
      <c r="K43" s="1">
        <v>482</v>
      </c>
      <c r="L43" s="1">
        <v>1511</v>
      </c>
      <c r="M43" s="1">
        <v>2110</v>
      </c>
      <c r="N43" s="25"/>
      <c r="O43" s="25"/>
      <c r="W43" s="4">
        <f t="shared" ref="W43:AC43" si="46">+W29/W24</f>
        <v>3.2726353060192212E-2</v>
      </c>
      <c r="X43" s="4">
        <f t="shared" si="46"/>
        <v>9.3229956513442666E-2</v>
      </c>
      <c r="Y43" s="4">
        <f t="shared" si="46"/>
        <v>1.6017335560471309E-2</v>
      </c>
      <c r="Z43" s="4">
        <f t="shared" si="46"/>
        <v>9.3848422509057155E-3</v>
      </c>
      <c r="AA43" s="4">
        <f t="shared" si="46"/>
        <v>6.179761683864045E-3</v>
      </c>
      <c r="AB43" s="4">
        <f t="shared" si="46"/>
        <v>3.6903039073806079E-4</v>
      </c>
      <c r="AC43" s="4">
        <f>+AC29/AC24</f>
        <v>3.5041485063928989E-3</v>
      </c>
    </row>
    <row r="44" spans="2:239">
      <c r="N44" s="25"/>
      <c r="O44" s="25"/>
    </row>
    <row r="45" spans="2:239">
      <c r="B45" s="3" t="s">
        <v>91</v>
      </c>
      <c r="M45" s="4">
        <f>+M29/M24</f>
        <v>0</v>
      </c>
      <c r="N45" s="25"/>
      <c r="O45" s="25"/>
    </row>
    <row r="46" spans="2:239" s="4" customFormat="1">
      <c r="B46" s="22" t="s">
        <v>82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3">
        <f t="shared" ref="W46:AC46" si="47">+W15/V15-1</f>
        <v>0.36468684345011648</v>
      </c>
      <c r="X46" s="23">
        <f t="shared" si="47"/>
        <v>0.41036469927393004</v>
      </c>
      <c r="Y46" s="23">
        <f t="shared" si="47"/>
        <v>0.181909369837149</v>
      </c>
      <c r="Z46" s="23">
        <f t="shared" si="47"/>
        <v>-4.4755628775398182E-2</v>
      </c>
      <c r="AA46" s="23">
        <f t="shared" si="47"/>
        <v>0.16078287909273814</v>
      </c>
      <c r="AB46" s="23">
        <f t="shared" si="47"/>
        <v>0.16498581783800814</v>
      </c>
      <c r="AC46" s="23">
        <f>+AC15/AB15-1</f>
        <v>-9.5167243145060088E-3</v>
      </c>
    </row>
    <row r="47" spans="2:239" s="4" customFormat="1">
      <c r="B47" s="22" t="s">
        <v>83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3">
        <f t="shared" ref="W47:AC47" si="48">+W16/V16-1</f>
        <v>6.1471061368381319E-2</v>
      </c>
      <c r="X47" s="23">
        <f t="shared" si="48"/>
        <v>2.4699319640150819E-2</v>
      </c>
      <c r="Y47" s="23">
        <f t="shared" si="48"/>
        <v>-3.6124484722615535E-2</v>
      </c>
      <c r="Z47" s="23">
        <f t="shared" si="48"/>
        <v>8.778688256994549E-2</v>
      </c>
      <c r="AA47" s="23">
        <f t="shared" si="48"/>
        <v>5.3691476590636222E-2</v>
      </c>
      <c r="AB47" s="23">
        <f t="shared" si="48"/>
        <v>-1.1706400068358547E-2</v>
      </c>
      <c r="AC47" s="23">
        <f>+AC16/AB16-1</f>
        <v>-6.0320479566545626E-2</v>
      </c>
    </row>
    <row r="48" spans="2:239" s="4" customFormat="1">
      <c r="B48" s="23" t="s">
        <v>92</v>
      </c>
      <c r="C48" s="26"/>
      <c r="D48" s="26"/>
      <c r="E48" s="26"/>
      <c r="F48" s="26"/>
      <c r="G48" s="23">
        <f>+G22/C22-1</f>
        <v>1.5393561023381075E-2</v>
      </c>
      <c r="H48" s="23">
        <f>+H22/D22-1</f>
        <v>3.608680014386767E-2</v>
      </c>
      <c r="I48" s="23">
        <f>+I22/E22-1</f>
        <v>-2.4513994209292678E-2</v>
      </c>
      <c r="J48" s="23">
        <f>+J22/F22-1</f>
        <v>-2.4009157247102619E-2</v>
      </c>
      <c r="K48" s="23">
        <f>+K22/G22-1</f>
        <v>-7.0225142409355845E-3</v>
      </c>
      <c r="L48" s="23">
        <f>+L22/H22-1</f>
        <v>2.0163156676695104E-2</v>
      </c>
      <c r="M48" s="23">
        <f>+M22/I22-1</f>
        <v>6.6881501582994218E-2</v>
      </c>
      <c r="N48" s="26"/>
      <c r="O48" s="26"/>
      <c r="P48" s="26"/>
      <c r="Q48" s="23">
        <f t="shared" ref="Q48" si="49">+Q22/P22-1</f>
        <v>-1.0152035311427166E-2</v>
      </c>
      <c r="R48" s="23">
        <f t="shared" ref="R48:V48" si="50">+R22/Q22-1</f>
        <v>-4.6375662686419239E-2</v>
      </c>
      <c r="S48" s="23">
        <f t="shared" si="50"/>
        <v>0.17020834415753106</v>
      </c>
      <c r="T48" s="23">
        <f t="shared" si="50"/>
        <v>0.22816676286462734</v>
      </c>
      <c r="U48" s="23">
        <f t="shared" si="50"/>
        <v>0.57316896825970653</v>
      </c>
      <c r="V48" s="23">
        <f>+V22/U22-1</f>
        <v>0.46416343038352825</v>
      </c>
      <c r="W48" s="23">
        <f>+W22/V22-1</f>
        <v>0.23038169376608697</v>
      </c>
      <c r="X48" s="23">
        <f>+X22/W22-1</f>
        <v>0.25727406084571713</v>
      </c>
      <c r="Y48" s="23">
        <f>+Y22/X22-1</f>
        <v>0.11399699687512688</v>
      </c>
      <c r="Z48" s="23">
        <f>+Z22/Y22-1</f>
        <v>-6.5755919854280087E-3</v>
      </c>
      <c r="AA48" s="23">
        <f>+AA22/Z22-1</f>
        <v>0.128165166211335</v>
      </c>
      <c r="AB48" s="23">
        <f>+AB22/AA22-1</f>
        <v>0.11532773163873955</v>
      </c>
      <c r="AC48" s="23">
        <f>+AC22/AB22-1</f>
        <v>-1.5300546448082653E-4</v>
      </c>
      <c r="AP48" s="4" t="s">
        <v>194</v>
      </c>
      <c r="AQ48" s="4">
        <v>0.01</v>
      </c>
    </row>
    <row r="49" spans="2:48" s="4" customFormat="1">
      <c r="B49" s="23" t="s">
        <v>90</v>
      </c>
      <c r="C49" s="26"/>
      <c r="D49" s="26"/>
      <c r="E49" s="26"/>
      <c r="F49" s="26"/>
      <c r="G49" s="23">
        <f>+G23/C23-1</f>
        <v>-0.10416666666666663</v>
      </c>
      <c r="H49" s="23">
        <f>+H23/D23-1</f>
        <v>-6.8669527896995763E-2</v>
      </c>
      <c r="I49" s="23">
        <f>+I23/E23-1</f>
        <v>0.10344827586206895</v>
      </c>
      <c r="J49" s="23">
        <f>+J23/F23-1</f>
        <v>-0.16326530612244894</v>
      </c>
      <c r="K49" s="23">
        <f>+K23/G23-1</f>
        <v>-0.1348837209302326</v>
      </c>
      <c r="L49" s="23">
        <f>+L23/H23-1</f>
        <v>-0.20276497695852536</v>
      </c>
      <c r="M49" s="23">
        <f>+M23/I23-1</f>
        <v>-0.21875</v>
      </c>
      <c r="N49" s="26"/>
      <c r="O49" s="26"/>
      <c r="P49" s="26"/>
      <c r="Q49" s="23">
        <f t="shared" ref="Q49" si="51">+Q23/P23-1</f>
        <v>-0.11205073995771675</v>
      </c>
      <c r="R49" s="23">
        <f t="shared" ref="R49:V49" si="52">+R23/Q23-1</f>
        <v>2.857142857142847E-2</v>
      </c>
      <c r="S49" s="23">
        <f t="shared" si="52"/>
        <v>-0.14583333333333337</v>
      </c>
      <c r="T49" s="23">
        <f t="shared" si="52"/>
        <v>1.6260162601626105E-2</v>
      </c>
      <c r="U49" s="23">
        <f t="shared" si="52"/>
        <v>0.43999999999999995</v>
      </c>
      <c r="V49" s="23">
        <f>+V23/U23-1</f>
        <v>0.3388888888888888</v>
      </c>
      <c r="W49" s="23">
        <f>+W23/V23-1</f>
        <v>-5.2558782849239316E-2</v>
      </c>
      <c r="X49" s="23">
        <f>+X23/W23-1</f>
        <v>0.47007299270072989</v>
      </c>
      <c r="Y49" s="23">
        <f>+Y23/X23-1</f>
        <v>-5.1638530287984152E-2</v>
      </c>
      <c r="Z49" s="23">
        <f>+Z23/Y23-1</f>
        <v>-0.18324607329842935</v>
      </c>
      <c r="AA49" s="23">
        <f>+AA23/Z23-1</f>
        <v>0.14743589743589736</v>
      </c>
      <c r="AB49" s="23">
        <f>+AB23/AA23-1</f>
        <v>6.1452513966480549E-2</v>
      </c>
      <c r="AC49" s="23">
        <f>+AC23/AB23-1</f>
        <v>-6.0000000000000053E-2</v>
      </c>
      <c r="AP49" s="4" t="s">
        <v>57</v>
      </c>
      <c r="AQ49" s="16">
        <v>-0.01</v>
      </c>
      <c r="AT49" s="4" t="s">
        <v>189</v>
      </c>
      <c r="AU49" s="4" t="s">
        <v>191</v>
      </c>
      <c r="AV49" s="4" t="s">
        <v>190</v>
      </c>
    </row>
    <row r="50" spans="2:48" s="5" customFormat="1">
      <c r="B50" s="24" t="s">
        <v>195</v>
      </c>
      <c r="C50" s="27"/>
      <c r="D50" s="27"/>
      <c r="E50" s="27"/>
      <c r="F50" s="27"/>
      <c r="G50" s="24">
        <f>+G24/C24-1</f>
        <v>1.4521813100012215E-2</v>
      </c>
      <c r="H50" s="24">
        <f>+H24/D24-1</f>
        <v>3.5360300026788138E-2</v>
      </c>
      <c r="I50" s="24">
        <f>+I24/E24-1</f>
        <v>-2.3700578129709271E-2</v>
      </c>
      <c r="J50" s="24">
        <f>+J24/F24-1</f>
        <v>-2.4978687127024668E-2</v>
      </c>
      <c r="K50" s="24">
        <f>+K24/G24-1</f>
        <v>-7.8457207881655888E-3</v>
      </c>
      <c r="L50" s="24">
        <f>+L24/H24-1</f>
        <v>1.8772459393416652E-2</v>
      </c>
      <c r="M50" s="24">
        <f>+M24/I24-1</f>
        <v>6.4829366861248294E-2</v>
      </c>
      <c r="N50" s="27"/>
      <c r="O50" s="27"/>
      <c r="P50" s="27"/>
      <c r="Q50" s="24">
        <f t="shared" ref="Q50:Y50" si="53">+Q24/P24-1</f>
        <v>-1.2462253750659014E-2</v>
      </c>
      <c r="R50" s="24">
        <f t="shared" si="53"/>
        <v>-4.4847837693539727E-2</v>
      </c>
      <c r="S50" s="24">
        <f t="shared" si="53"/>
        <v>0.16327049138675753</v>
      </c>
      <c r="T50" s="24">
        <f t="shared" si="53"/>
        <v>0.2247510047178054</v>
      </c>
      <c r="U50" s="24">
        <f t="shared" si="53"/>
        <v>0.57138780896672259</v>
      </c>
      <c r="V50" s="24">
        <f t="shared" si="53"/>
        <v>0.46262795923462785</v>
      </c>
      <c r="W50" s="24">
        <f t="shared" si="53"/>
        <v>0.22720712611927563</v>
      </c>
      <c r="X50" s="24">
        <f t="shared" si="53"/>
        <v>0.25911734951947385</v>
      </c>
      <c r="Y50" s="24">
        <f t="shared" si="53"/>
        <v>0.11232186078275808</v>
      </c>
      <c r="Z50" s="24">
        <f>+Z24/Y24-1</f>
        <v>-8.0989571576903785E-3</v>
      </c>
      <c r="AA50" s="24">
        <f>+AA24/Z24-1</f>
        <v>0.12830198984143171</v>
      </c>
      <c r="AB50" s="24">
        <f>+AB24/AA24-1</f>
        <v>0.11493872677547134</v>
      </c>
      <c r="AC50" s="24">
        <f>+AC24/AB24-1</f>
        <v>-5.6439942112884722E-4</v>
      </c>
      <c r="AD50" s="5">
        <f t="shared" ref="AD50:AM50" si="54">+AD24/AC24-1</f>
        <v>2.8192467528706411E-2</v>
      </c>
      <c r="AE50" s="5">
        <f t="shared" si="54"/>
        <v>5.0000000000000044E-2</v>
      </c>
      <c r="AF50" s="5">
        <f t="shared" si="54"/>
        <v>5.0000000000000044E-2</v>
      </c>
      <c r="AG50" s="5">
        <f t="shared" si="54"/>
        <v>5.0000000000000044E-2</v>
      </c>
      <c r="AH50" s="5">
        <f t="shared" si="54"/>
        <v>5.0000000000000044E-2</v>
      </c>
      <c r="AI50" s="5">
        <f t="shared" si="54"/>
        <v>5.0000000000000044E-2</v>
      </c>
      <c r="AJ50" s="5">
        <f t="shared" si="54"/>
        <v>5.0000000000000044E-2</v>
      </c>
      <c r="AK50" s="5">
        <f t="shared" si="54"/>
        <v>5.0000000000000044E-2</v>
      </c>
      <c r="AL50" s="5">
        <f t="shared" si="54"/>
        <v>5.0000000000000044E-2</v>
      </c>
      <c r="AM50" s="5">
        <f t="shared" si="54"/>
        <v>5.0000000000000044E-2</v>
      </c>
      <c r="AP50" s="5" t="s">
        <v>58</v>
      </c>
      <c r="AQ50" s="17">
        <v>0.1</v>
      </c>
      <c r="AS50" s="5" t="s">
        <v>0</v>
      </c>
      <c r="AT50" s="5" t="s">
        <v>192</v>
      </c>
    </row>
    <row r="51" spans="2:48">
      <c r="B51" s="1" t="s">
        <v>179</v>
      </c>
      <c r="C51" s="12">
        <v>0.24</v>
      </c>
      <c r="D51" s="12">
        <v>0.155</v>
      </c>
      <c r="E51" s="12">
        <v>5.2999999999999999E-2</v>
      </c>
      <c r="F51" s="12">
        <f>+AB51</f>
        <v>0.112</v>
      </c>
      <c r="G51" s="12">
        <v>2.4E-2</v>
      </c>
      <c r="H51" s="12">
        <v>4.5999999999999999E-2</v>
      </c>
      <c r="I51" s="12">
        <v>-1.4E-2</v>
      </c>
      <c r="J51" s="12">
        <f>+AC51</f>
        <v>1E-3</v>
      </c>
      <c r="K51" s="12">
        <v>6.2E-2</v>
      </c>
      <c r="L51" s="12">
        <v>-3.2000000000000001E-2</v>
      </c>
      <c r="M51" s="12">
        <v>1.2E-2</v>
      </c>
      <c r="N51" s="12">
        <v>2.9000000000000001E-2</v>
      </c>
      <c r="O51" s="25"/>
      <c r="U51" s="12"/>
      <c r="V51" s="12"/>
      <c r="W51" s="12">
        <v>1.6E-2</v>
      </c>
      <c r="X51" s="12">
        <v>2E-3</v>
      </c>
      <c r="Y51" s="12">
        <v>-2E-3</v>
      </c>
      <c r="Z51" s="12">
        <v>0.17699999999999999</v>
      </c>
      <c r="AA51" s="12">
        <v>0.182</v>
      </c>
      <c r="AB51" s="12">
        <v>0.112</v>
      </c>
      <c r="AC51" s="12">
        <v>1E-3</v>
      </c>
      <c r="AP51" s="1" t="s">
        <v>59</v>
      </c>
      <c r="AQ51" s="14">
        <f>NPV(AQ50,AD39:IE39)</f>
        <v>19022.257848600169</v>
      </c>
      <c r="AS51" s="1" t="s">
        <v>56</v>
      </c>
    </row>
    <row r="52" spans="2:48">
      <c r="B52" s="1" t="s">
        <v>180</v>
      </c>
      <c r="C52" s="12">
        <v>-2.5000000000000001E-2</v>
      </c>
      <c r="D52" s="12">
        <v>8.9999999999999993E-3</v>
      </c>
      <c r="E52" s="12">
        <v>1.6E-2</v>
      </c>
      <c r="F52" s="12">
        <f>+AB52</f>
        <v>1.0999999999999999E-2</v>
      </c>
      <c r="G52" s="12">
        <v>0.03</v>
      </c>
      <c r="H52" s="12">
        <v>7.5999999999999998E-2</v>
      </c>
      <c r="I52" s="12">
        <v>2.1000000000000001E-2</v>
      </c>
      <c r="J52" s="12">
        <f>+AC52</f>
        <v>3.6999999999999998E-2</v>
      </c>
      <c r="K52" s="12">
        <v>4.1000000000000002E-2</v>
      </c>
      <c r="L52" s="12">
        <v>8.9999999999999993E-3</v>
      </c>
      <c r="M52" s="12">
        <v>5.8000000000000003E-2</v>
      </c>
      <c r="N52" s="12">
        <v>-1E-3</v>
      </c>
      <c r="U52" s="12"/>
      <c r="V52" s="12"/>
      <c r="W52" s="12">
        <v>2.1000000000000001E-2</v>
      </c>
      <c r="X52" s="12">
        <v>4.2000000000000003E-2</v>
      </c>
      <c r="Y52" s="12">
        <v>-1.4E-3</v>
      </c>
      <c r="Z52" s="12">
        <v>7.9000000000000001E-2</v>
      </c>
      <c r="AA52" s="12">
        <v>0.105</v>
      </c>
      <c r="AB52" s="12">
        <v>1.0999999999999999E-2</v>
      </c>
      <c r="AC52" s="12">
        <v>3.6999999999999998E-2</v>
      </c>
      <c r="AP52" s="1" t="s">
        <v>56</v>
      </c>
      <c r="AQ52" s="14">
        <f>+M63</f>
        <v>3689</v>
      </c>
      <c r="AS52" s="1" t="s">
        <v>193</v>
      </c>
    </row>
    <row r="53" spans="2:48">
      <c r="B53" s="1" t="s">
        <v>44</v>
      </c>
      <c r="AP53" s="1" t="s">
        <v>60</v>
      </c>
      <c r="AQ53" s="14">
        <f>+SUM(AQ51:AQ52)</f>
        <v>22711.257848600169</v>
      </c>
    </row>
    <row r="54" spans="2:48" s="11" customFormat="1">
      <c r="B54" s="11" t="s">
        <v>16</v>
      </c>
      <c r="C54" s="15">
        <f>+C25/C$24</f>
        <v>0.31066958318143151</v>
      </c>
      <c r="D54" s="15">
        <f t="shared" ref="D54:M54" si="55">+D25/D$24</f>
        <v>0.31124802809774682</v>
      </c>
      <c r="E54" s="15">
        <f t="shared" si="55"/>
        <v>0.32241006110091242</v>
      </c>
      <c r="F54" s="15">
        <f t="shared" si="55"/>
        <v>0.32472293265132141</v>
      </c>
      <c r="G54" s="15">
        <f t="shared" si="55"/>
        <v>0.31763190992393842</v>
      </c>
      <c r="H54" s="15">
        <f t="shared" si="55"/>
        <v>0.30631019117435676</v>
      </c>
      <c r="I54" s="15">
        <f t="shared" si="55"/>
        <v>0.30655029187247418</v>
      </c>
      <c r="J54" s="15">
        <f t="shared" si="55"/>
        <v>0.31258197079653754</v>
      </c>
      <c r="K54" s="15">
        <f t="shared" si="55"/>
        <v>0.31169262344561149</v>
      </c>
      <c r="L54" s="15">
        <f t="shared" si="55"/>
        <v>0.29908572718550708</v>
      </c>
      <c r="M54" s="15">
        <f t="shared" si="55"/>
        <v>0.30831268778662169</v>
      </c>
      <c r="P54" s="15">
        <f t="shared" ref="P54:T54" si="56">+P25/P$24</f>
        <v>0.34419786224416432</v>
      </c>
      <c r="Q54" s="15">
        <f t="shared" si="56"/>
        <v>0.35145367179536963</v>
      </c>
      <c r="R54" s="15">
        <f t="shared" si="56"/>
        <v>0.33497637075054626</v>
      </c>
      <c r="S54" s="15">
        <f t="shared" si="56"/>
        <v>0.33439629564913509</v>
      </c>
      <c r="T54" s="15">
        <f t="shared" si="56"/>
        <v>0.33074152013410851</v>
      </c>
      <c r="U54" s="15">
        <f t="shared" ref="U54:AG54" si="57">+U25/U$24</f>
        <v>0.33063985291781101</v>
      </c>
      <c r="V54" s="15">
        <f t="shared" si="57"/>
        <v>0.31403342696193298</v>
      </c>
      <c r="W54" s="15">
        <f t="shared" si="57"/>
        <v>0.31487101669195749</v>
      </c>
      <c r="X54" s="15">
        <f t="shared" si="57"/>
        <v>0.30386357473561582</v>
      </c>
      <c r="Y54" s="15">
        <f t="shared" si="57"/>
        <v>0.29317863753329421</v>
      </c>
      <c r="Z54" s="15">
        <f t="shared" si="57"/>
        <v>0.2967376067286861</v>
      </c>
      <c r="AA54" s="15">
        <f t="shared" si="57"/>
        <v>0.29175574612958138</v>
      </c>
      <c r="AB54" s="15">
        <f t="shared" si="57"/>
        <v>0.31748914616497831</v>
      </c>
      <c r="AC54" s="15">
        <f t="shared" si="57"/>
        <v>0.31066738101099028</v>
      </c>
      <c r="AD54" s="15">
        <f t="shared" si="57"/>
        <v>0.31066738101099028</v>
      </c>
      <c r="AE54" s="15">
        <f t="shared" si="57"/>
        <v>0.31</v>
      </c>
      <c r="AF54" s="15">
        <f t="shared" si="57"/>
        <v>0.31</v>
      </c>
      <c r="AG54" s="15">
        <f t="shared" si="57"/>
        <v>0.31</v>
      </c>
      <c r="AH54" s="15">
        <f t="shared" ref="AH54:AM54" si="58">+AH25/AH$24</f>
        <v>0.31</v>
      </c>
      <c r="AI54" s="15">
        <f t="shared" si="58"/>
        <v>0.31</v>
      </c>
      <c r="AJ54" s="15">
        <f t="shared" si="58"/>
        <v>0.31</v>
      </c>
      <c r="AK54" s="15">
        <f t="shared" si="58"/>
        <v>0.31</v>
      </c>
      <c r="AL54" s="15">
        <f t="shared" si="58"/>
        <v>0.31</v>
      </c>
      <c r="AM54" s="15">
        <f t="shared" si="58"/>
        <v>0.31</v>
      </c>
      <c r="AP54" s="11" t="s">
        <v>61</v>
      </c>
      <c r="AQ54" s="13">
        <f>+Main!K4/1000</f>
        <v>10752.803</v>
      </c>
    </row>
    <row r="55" spans="2:48" s="11" customFormat="1">
      <c r="B55" s="11" t="s">
        <v>17</v>
      </c>
      <c r="C55" s="15">
        <f>+C26/C$24</f>
        <v>0.33956130757078623</v>
      </c>
      <c r="D55" s="15">
        <f t="shared" ref="C55:M57" si="59">+D26/D$24</f>
        <v>0.3439295175164449</v>
      </c>
      <c r="E55" s="15">
        <f t="shared" si="59"/>
        <v>0.33687700358933609</v>
      </c>
      <c r="F55" s="15">
        <f t="shared" si="59"/>
        <v>0.32645637965331059</v>
      </c>
      <c r="G55" s="15">
        <f t="shared" si="59"/>
        <v>0.34581062466311313</v>
      </c>
      <c r="H55" s="15">
        <f t="shared" si="59"/>
        <v>0.34466005462124477</v>
      </c>
      <c r="I55" s="15">
        <f t="shared" si="59"/>
        <v>0.33509205208801079</v>
      </c>
      <c r="J55" s="15">
        <f t="shared" si="59"/>
        <v>0.35184051761825652</v>
      </c>
      <c r="K55" s="15">
        <f t="shared" si="59"/>
        <v>0.3508390679705421</v>
      </c>
      <c r="L55" s="15">
        <f t="shared" si="59"/>
        <v>0.34612562785710255</v>
      </c>
      <c r="M55" s="15">
        <f t="shared" si="59"/>
        <v>0.33300827578936271</v>
      </c>
      <c r="P55" s="15">
        <f t="shared" ref="P55:T55" si="60">+P26/P$24</f>
        <v>0.3527297128888463</v>
      </c>
      <c r="Q55" s="15">
        <f t="shared" si="60"/>
        <v>0.34184342086103964</v>
      </c>
      <c r="R55" s="15">
        <f t="shared" si="60"/>
        <v>0.34000711418263124</v>
      </c>
      <c r="S55" s="15">
        <f t="shared" si="60"/>
        <v>0.34112353660667483</v>
      </c>
      <c r="T55" s="15">
        <f t="shared" si="60"/>
        <v>0.33202553768234833</v>
      </c>
      <c r="U55" s="15">
        <f t="shared" ref="U55:AG55" si="61">+U26/U$24</f>
        <v>0.32655423655718729</v>
      </c>
      <c r="V55" s="15">
        <f t="shared" si="61"/>
        <v>0.34292897158553048</v>
      </c>
      <c r="W55" s="15">
        <f t="shared" si="61"/>
        <v>0.35753667172483561</v>
      </c>
      <c r="X55" s="15">
        <f t="shared" si="61"/>
        <v>0.35806610358437696</v>
      </c>
      <c r="Y55" s="15">
        <f t="shared" si="61"/>
        <v>0.37218184280619387</v>
      </c>
      <c r="Z55" s="15">
        <f t="shared" si="61"/>
        <v>0.35283729905878497</v>
      </c>
      <c r="AA55" s="15">
        <f t="shared" si="61"/>
        <v>0.33116584511871433</v>
      </c>
      <c r="AB55" s="15">
        <f t="shared" si="61"/>
        <v>0.33657742402315483</v>
      </c>
      <c r="AC55" s="15">
        <f t="shared" si="61"/>
        <v>0.3442536308480908</v>
      </c>
      <c r="AD55" s="15">
        <f t="shared" si="61"/>
        <v>0.34300000000000003</v>
      </c>
      <c r="AE55" s="15">
        <f t="shared" si="61"/>
        <v>0.34300000000000003</v>
      </c>
      <c r="AF55" s="15">
        <f t="shared" si="61"/>
        <v>0.34300000000000003</v>
      </c>
      <c r="AG55" s="15">
        <f t="shared" si="61"/>
        <v>0.34300000000000003</v>
      </c>
      <c r="AH55" s="15">
        <f t="shared" ref="AH55:AM55" si="62">+AH26/AH$24</f>
        <v>0.34300000000000003</v>
      </c>
      <c r="AI55" s="15">
        <f t="shared" si="62"/>
        <v>0.34300000000000003</v>
      </c>
      <c r="AJ55" s="15">
        <f t="shared" si="62"/>
        <v>0.34300000000000003</v>
      </c>
      <c r="AK55" s="15">
        <f t="shared" si="62"/>
        <v>0.34300000000000003</v>
      </c>
      <c r="AL55" s="15">
        <f t="shared" si="62"/>
        <v>0.34300000000000003</v>
      </c>
      <c r="AM55" s="15">
        <f t="shared" si="62"/>
        <v>0.34300000000000003</v>
      </c>
      <c r="AP55" s="11" t="s">
        <v>62</v>
      </c>
      <c r="AQ55" s="18">
        <f>+AQ53/AQ54</f>
        <v>2.1121244245430861</v>
      </c>
    </row>
    <row r="56" spans="2:48" s="11" customFormat="1">
      <c r="B56" s="11" t="s">
        <v>18</v>
      </c>
      <c r="C56" s="15">
        <f>+C27/C$24</f>
        <v>7.0725483047757928E-2</v>
      </c>
      <c r="D56" s="15">
        <f t="shared" si="59"/>
        <v>7.0750364615888323E-2</v>
      </c>
      <c r="E56" s="15">
        <f t="shared" si="59"/>
        <v>6.5293037783927449E-2</v>
      </c>
      <c r="F56" s="15">
        <f t="shared" si="59"/>
        <v>6.6837169650468889E-2</v>
      </c>
      <c r="G56" s="15">
        <f t="shared" si="59"/>
        <v>7.3606037012637002E-2</v>
      </c>
      <c r="H56" s="15">
        <f t="shared" si="59"/>
        <v>6.980020123616501E-2</v>
      </c>
      <c r="I56" s="15">
        <f t="shared" si="59"/>
        <v>6.8253255500673557E-2</v>
      </c>
      <c r="J56" s="15">
        <f t="shared" si="59"/>
        <v>6.671329894203025E-2</v>
      </c>
      <c r="K56" s="15">
        <f t="shared" si="59"/>
        <v>7.5606664252082581E-2</v>
      </c>
      <c r="L56" s="15">
        <f t="shared" si="59"/>
        <v>7.3734409391049152E-2</v>
      </c>
      <c r="M56" s="15">
        <f t="shared" si="59"/>
        <v>6.7998524063043589E-2</v>
      </c>
      <c r="P56" s="15">
        <f t="shared" ref="P56:T56" si="63">+P27/P$24</f>
        <v>0.20759238843886305</v>
      </c>
      <c r="Q56" s="15">
        <f t="shared" si="63"/>
        <v>0.20249478231325535</v>
      </c>
      <c r="R56" s="15">
        <f t="shared" si="63"/>
        <v>0.20016260988871384</v>
      </c>
      <c r="S56" s="15">
        <f t="shared" si="63"/>
        <v>0.18980429844487157</v>
      </c>
      <c r="T56" s="15">
        <f t="shared" si="63"/>
        <v>0.17448371794414524</v>
      </c>
      <c r="U56" s="15">
        <f t="shared" ref="U56:AG56" si="64">+U27/U$24</f>
        <v>7.6264838731643095E-2</v>
      </c>
      <c r="V56" s="15">
        <f t="shared" si="64"/>
        <v>7.5932277037197973E-2</v>
      </c>
      <c r="W56" s="15">
        <f t="shared" si="64"/>
        <v>7.2824987354577639E-2</v>
      </c>
      <c r="X56" s="15">
        <f t="shared" si="64"/>
        <v>7.2922838979220861E-2</v>
      </c>
      <c r="Y56" s="15">
        <f t="shared" si="64"/>
        <v>7.5418716987946374E-2</v>
      </c>
      <c r="Z56" s="15">
        <f t="shared" si="64"/>
        <v>8.078610570008557E-2</v>
      </c>
      <c r="AA56" s="15">
        <f t="shared" si="64"/>
        <v>7.1115664808435453E-2</v>
      </c>
      <c r="AB56" s="15">
        <f t="shared" si="64"/>
        <v>6.8306801736613604E-2</v>
      </c>
      <c r="AC56" s="15">
        <f t="shared" si="64"/>
        <v>6.9554451861397901E-2</v>
      </c>
      <c r="AD56" s="15">
        <f t="shared" si="64"/>
        <v>7.1999999999999995E-2</v>
      </c>
      <c r="AE56" s="15">
        <f t="shared" si="64"/>
        <v>7.1999999999999995E-2</v>
      </c>
      <c r="AF56" s="15">
        <f t="shared" si="64"/>
        <v>7.1999999999999995E-2</v>
      </c>
      <c r="AG56" s="15">
        <f t="shared" si="64"/>
        <v>7.1999999999999995E-2</v>
      </c>
      <c r="AH56" s="15">
        <f t="shared" ref="AH56:AM56" si="65">+AH27/AH$24</f>
        <v>7.1999999999999995E-2</v>
      </c>
      <c r="AI56" s="15">
        <f t="shared" si="65"/>
        <v>7.1999999999999995E-2</v>
      </c>
      <c r="AJ56" s="15">
        <f t="shared" si="65"/>
        <v>7.1999999999999995E-2</v>
      </c>
      <c r="AK56" s="15">
        <f t="shared" si="65"/>
        <v>7.1999999999999995E-2</v>
      </c>
      <c r="AL56" s="15">
        <f t="shared" si="65"/>
        <v>7.1999999999999995E-2</v>
      </c>
      <c r="AM56" s="15">
        <f t="shared" si="65"/>
        <v>7.1999999999999995E-2</v>
      </c>
      <c r="AP56" s="11" t="s">
        <v>63</v>
      </c>
      <c r="AQ56" s="18">
        <f>+Main!K3</f>
        <v>2.65</v>
      </c>
    </row>
    <row r="57" spans="2:48" s="11" customFormat="1">
      <c r="B57" s="11" t="s">
        <v>19</v>
      </c>
      <c r="C57" s="15">
        <f>+C28/C$24</f>
        <v>0.12571393851014703</v>
      </c>
      <c r="D57" s="15">
        <f t="shared" si="59"/>
        <v>0.13891121231062298</v>
      </c>
      <c r="E57" s="15">
        <f t="shared" si="59"/>
        <v>0.13022988190810203</v>
      </c>
      <c r="F57" s="15">
        <f t="shared" si="59"/>
        <v>0.14086388178459791</v>
      </c>
      <c r="G57" s="15">
        <f t="shared" si="59"/>
        <v>0.13451518236809007</v>
      </c>
      <c r="H57" s="15">
        <f t="shared" si="59"/>
        <v>0.13873796176512865</v>
      </c>
      <c r="I57" s="15">
        <f t="shared" si="59"/>
        <v>0.13501908396946566</v>
      </c>
      <c r="J57" s="15">
        <f t="shared" si="59"/>
        <v>0.14234502054734632</v>
      </c>
      <c r="K57" s="15">
        <f t="shared" si="59"/>
        <v>0.14270191959434989</v>
      </c>
      <c r="L57" s="15">
        <f t="shared" si="59"/>
        <v>0.14405440487612167</v>
      </c>
      <c r="M57" s="15">
        <f t="shared" si="59"/>
        <v>0.13691950872384165</v>
      </c>
      <c r="P57" s="15">
        <f t="shared" ref="P57:T57" si="66">+P28/P$24</f>
        <v>0</v>
      </c>
      <c r="Q57" s="15">
        <f t="shared" si="66"/>
        <v>0</v>
      </c>
      <c r="R57" s="15">
        <f t="shared" si="66"/>
        <v>0</v>
      </c>
      <c r="S57" s="15">
        <f t="shared" si="66"/>
        <v>0</v>
      </c>
      <c r="T57" s="15">
        <f t="shared" si="66"/>
        <v>0</v>
      </c>
      <c r="U57" s="15">
        <f t="shared" ref="U57:AG57" si="67">+U28/U$24</f>
        <v>8.6683160451233629E-2</v>
      </c>
      <c r="V57" s="15">
        <f t="shared" si="67"/>
        <v>8.8207452008876613E-2</v>
      </c>
      <c r="W57" s="15">
        <f t="shared" si="67"/>
        <v>8.9580171977744052E-2</v>
      </c>
      <c r="X57" s="15">
        <f t="shared" si="67"/>
        <v>9.3229956513442666E-2</v>
      </c>
      <c r="Y57" s="15">
        <f t="shared" si="67"/>
        <v>0.1071012595368155</v>
      </c>
      <c r="Z57" s="15">
        <f t="shared" si="67"/>
        <v>0.1105791112162974</v>
      </c>
      <c r="AA57" s="15">
        <f t="shared" si="67"/>
        <v>0.1202955959113535</v>
      </c>
      <c r="AB57" s="15">
        <f t="shared" si="67"/>
        <v>0.13397250361794499</v>
      </c>
      <c r="AC57" s="15">
        <f t="shared" si="67"/>
        <v>0.13765366849596733</v>
      </c>
      <c r="AD57" s="15">
        <f t="shared" si="67"/>
        <v>0.14099999999999999</v>
      </c>
      <c r="AE57" s="15">
        <f t="shared" si="67"/>
        <v>0.14099999999999999</v>
      </c>
      <c r="AF57" s="15">
        <f t="shared" si="67"/>
        <v>0.14099999999999999</v>
      </c>
      <c r="AG57" s="15">
        <f t="shared" si="67"/>
        <v>0.14099999999999999</v>
      </c>
      <c r="AH57" s="15">
        <f t="shared" ref="AH57:AM57" si="68">+AH28/AH$24</f>
        <v>0.14099999999999999</v>
      </c>
      <c r="AI57" s="15">
        <f t="shared" si="68"/>
        <v>0.14099999999999999</v>
      </c>
      <c r="AJ57" s="15">
        <f t="shared" si="68"/>
        <v>0.14099999999999999</v>
      </c>
      <c r="AK57" s="15">
        <f t="shared" si="68"/>
        <v>0.14099999999999999</v>
      </c>
      <c r="AL57" s="15">
        <f t="shared" si="68"/>
        <v>0.14099999999999999</v>
      </c>
      <c r="AM57" s="15">
        <f t="shared" si="68"/>
        <v>0.14099999999999999</v>
      </c>
    </row>
    <row r="58" spans="2:48">
      <c r="B58" s="1" t="s">
        <v>22</v>
      </c>
      <c r="C58" s="12">
        <f>+C31/C$24</f>
        <v>8.2178879572244498E-2</v>
      </c>
      <c r="D58" s="12">
        <f t="shared" ref="D58:M58" si="69">+D31/D$24</f>
        <v>7.6703277078310567E-2</v>
      </c>
      <c r="E58" s="12">
        <f t="shared" si="69"/>
        <v>6.532043729621613E-2</v>
      </c>
      <c r="F58" s="12">
        <f t="shared" si="69"/>
        <v>8.132992327365729E-2</v>
      </c>
      <c r="G58" s="12">
        <f t="shared" si="69"/>
        <v>7.1210397077319285E-2</v>
      </c>
      <c r="H58" s="12">
        <f t="shared" si="69"/>
        <v>6.6034210148052316E-2</v>
      </c>
      <c r="I58" s="12">
        <f t="shared" si="69"/>
        <v>6.6709699146834306E-2</v>
      </c>
      <c r="J58" s="12">
        <f t="shared" si="69"/>
        <v>6.047623211215062E-2</v>
      </c>
      <c r="K58" s="12">
        <f t="shared" si="69"/>
        <v>6.9811662441144506E-2</v>
      </c>
      <c r="L58" s="12">
        <f t="shared" si="69"/>
        <v>7.2069529883176248E-2</v>
      </c>
      <c r="M58" s="12">
        <f t="shared" si="69"/>
        <v>7.0634125770913506E-2</v>
      </c>
      <c r="P58" s="12">
        <f t="shared" ref="P58:T58" si="70">+P31/P$24</f>
        <v>0.12644394382399463</v>
      </c>
      <c r="Q58" s="12">
        <f t="shared" si="70"/>
        <v>9.8917633354365875E-2</v>
      </c>
      <c r="R58" s="12">
        <f t="shared" si="70"/>
        <v>0.10945678134051527</v>
      </c>
      <c r="S58" s="12">
        <f t="shared" si="70"/>
        <v>0.11392626244976412</v>
      </c>
      <c r="T58" s="12">
        <f t="shared" si="70"/>
        <v>0.11952063344865713</v>
      </c>
      <c r="U58" s="12">
        <f t="shared" ref="U58:AG58" si="71">+U31/U$24</f>
        <v>9.4582018748439523E-2</v>
      </c>
      <c r="V58" s="12">
        <f t="shared" si="71"/>
        <v>9.7580657676251958E-2</v>
      </c>
      <c r="W58" s="12">
        <f t="shared" si="71"/>
        <v>8.8543247344461298E-2</v>
      </c>
      <c r="X58" s="12">
        <f t="shared" si="71"/>
        <v>7.8908517540247664E-2</v>
      </c>
      <c r="Y58" s="12">
        <f t="shared" si="71"/>
        <v>8.190149428919688E-2</v>
      </c>
      <c r="Z58" s="12">
        <f t="shared" si="71"/>
        <v>6.1725136084763967E-2</v>
      </c>
      <c r="AA58" s="12">
        <f t="shared" si="71"/>
        <v>7.6133695836325052E-2</v>
      </c>
      <c r="AB58" s="12">
        <f t="shared" si="71"/>
        <v>7.6179450072358906E-2</v>
      </c>
      <c r="AC58" s="12">
        <f t="shared" si="71"/>
        <v>6.6079263260016508E-2</v>
      </c>
      <c r="AD58" s="12">
        <f t="shared" si="71"/>
        <v>7.0999999999999994E-2</v>
      </c>
      <c r="AE58" s="12">
        <f t="shared" si="71"/>
        <v>7.0999999999999994E-2</v>
      </c>
      <c r="AF58" s="12">
        <f t="shared" si="71"/>
        <v>7.0999999999999994E-2</v>
      </c>
      <c r="AG58" s="12">
        <f t="shared" si="71"/>
        <v>7.0999999999999994E-2</v>
      </c>
      <c r="AH58" s="12">
        <f t="shared" ref="AH58:AM58" si="72">+AH31/AH$24</f>
        <v>7.0999999999999994E-2</v>
      </c>
      <c r="AI58" s="12">
        <f t="shared" si="72"/>
        <v>7.0999999999999994E-2</v>
      </c>
      <c r="AJ58" s="12">
        <f t="shared" si="72"/>
        <v>7.0999999999999994E-2</v>
      </c>
      <c r="AK58" s="12">
        <f t="shared" si="72"/>
        <v>7.0999999999999994E-2</v>
      </c>
      <c r="AL58" s="12">
        <f t="shared" si="72"/>
        <v>7.0999999999999994E-2</v>
      </c>
      <c r="AM58" s="12">
        <f t="shared" si="72"/>
        <v>7.0999999999999994E-2</v>
      </c>
      <c r="AP58" s="1" t="s">
        <v>0</v>
      </c>
      <c r="AQ58" s="1">
        <f>+Main!K8/1000000</f>
        <v>24.805927950000001</v>
      </c>
    </row>
    <row r="59" spans="2:48">
      <c r="B59" s="1" t="s">
        <v>23</v>
      </c>
      <c r="C59" s="12">
        <f>+C32/C$24</f>
        <v>1.9473812127840565E-2</v>
      </c>
      <c r="D59" s="12">
        <f t="shared" ref="D59:M60" si="73">+D32/D$24</f>
        <v>2.4168824597434295E-2</v>
      </c>
      <c r="E59" s="12">
        <f t="shared" si="73"/>
        <v>2.2111406416965778E-2</v>
      </c>
      <c r="F59" s="12">
        <f t="shared" si="73"/>
        <v>2.5689116226200626E-2</v>
      </c>
      <c r="G59" s="12">
        <f t="shared" si="73"/>
        <v>2.677127627717554E-2</v>
      </c>
      <c r="H59" s="12">
        <f t="shared" si="73"/>
        <v>2.236596234008912E-2</v>
      </c>
      <c r="I59" s="12">
        <f t="shared" si="73"/>
        <v>2.1076560395150427E-2</v>
      </c>
      <c r="J59" s="12">
        <f t="shared" si="73"/>
        <v>2.4336218705371455E-2</v>
      </c>
      <c r="K59" s="12">
        <f t="shared" si="73"/>
        <v>3.2959072799710248E-2</v>
      </c>
      <c r="L59" s="12">
        <f t="shared" si="73"/>
        <v>2.3251876516733449E-2</v>
      </c>
      <c r="M59" s="12">
        <f t="shared" si="73"/>
        <v>1.9740656791945602E-2</v>
      </c>
      <c r="P59" s="12">
        <f t="shared" ref="P59:T59" si="74">+P32/P$24</f>
        <v>0</v>
      </c>
      <c r="Q59" s="12">
        <f t="shared" si="74"/>
        <v>0</v>
      </c>
      <c r="R59" s="12">
        <f t="shared" si="74"/>
        <v>0</v>
      </c>
      <c r="S59" s="12">
        <f t="shared" si="74"/>
        <v>0</v>
      </c>
      <c r="T59" s="12">
        <f t="shared" si="74"/>
        <v>0</v>
      </c>
      <c r="U59" s="12">
        <f t="shared" ref="U59:AG59" si="75">+U32/U$24</f>
        <v>2.7192046666817987E-2</v>
      </c>
      <c r="V59" s="12">
        <f t="shared" si="75"/>
        <v>2.3898570741321248E-2</v>
      </c>
      <c r="W59" s="12">
        <f t="shared" si="75"/>
        <v>2.1421345472938797E-2</v>
      </c>
      <c r="X59" s="12">
        <f t="shared" si="75"/>
        <v>2.3320042984403089E-2</v>
      </c>
      <c r="Y59" s="12">
        <f t="shared" si="75"/>
        <v>1.8798248386077378E-2</v>
      </c>
      <c r="Z59" s="12">
        <f t="shared" si="75"/>
        <v>1.8951737697755284E-2</v>
      </c>
      <c r="AA59" s="12">
        <f t="shared" si="75"/>
        <v>1.6796689067630474E-2</v>
      </c>
      <c r="AB59" s="12">
        <f t="shared" si="75"/>
        <v>2.2894356005788711E-2</v>
      </c>
      <c r="AC59" s="12">
        <f t="shared" si="75"/>
        <v>2.3587842631876167E-2</v>
      </c>
      <c r="AD59" s="12">
        <f t="shared" si="75"/>
        <v>2.5000000000000001E-2</v>
      </c>
      <c r="AE59" s="12">
        <f t="shared" si="75"/>
        <v>2.5000000000000001E-2</v>
      </c>
      <c r="AF59" s="12">
        <f t="shared" si="75"/>
        <v>2.5000000000000001E-2</v>
      </c>
      <c r="AG59" s="12">
        <f t="shared" si="75"/>
        <v>2.5000000000000001E-2</v>
      </c>
      <c r="AH59" s="12">
        <f t="shared" ref="AH59:AM59" si="76">+AH32/AH$24</f>
        <v>2.5000000000000001E-2</v>
      </c>
      <c r="AI59" s="12">
        <f t="shared" si="76"/>
        <v>2.5000000000000001E-2</v>
      </c>
      <c r="AJ59" s="12">
        <f t="shared" si="76"/>
        <v>2.5000000000000001E-2</v>
      </c>
      <c r="AK59" s="12">
        <f t="shared" si="76"/>
        <v>2.5000000000000001E-2</v>
      </c>
      <c r="AL59" s="12">
        <f t="shared" si="76"/>
        <v>2.5000000000000001E-2</v>
      </c>
      <c r="AM59" s="12">
        <f t="shared" si="76"/>
        <v>2.5000000000000001E-2</v>
      </c>
      <c r="AP59" s="1" t="s">
        <v>78</v>
      </c>
      <c r="AQ59" s="21">
        <f>+$AQ$58/$AC$39*1000</f>
        <v>1.9634263059996835</v>
      </c>
    </row>
    <row r="60" spans="2:48">
      <c r="C60" s="4">
        <f t="shared" ref="C60:M60" si="77">+C33/C24</f>
        <v>2.0263701543322396E-2</v>
      </c>
      <c r="D60" s="4">
        <f t="shared" si="77"/>
        <v>4.1372741613834568E-3</v>
      </c>
      <c r="E60" s="4">
        <f t="shared" si="77"/>
        <v>2.6440529358577419E-2</v>
      </c>
      <c r="F60" s="4">
        <f t="shared" si="77"/>
        <v>1.2617220801364024E-2</v>
      </c>
      <c r="G60" s="4">
        <f t="shared" si="77"/>
        <v>3.2041684134874529E-3</v>
      </c>
      <c r="H60" s="4">
        <f t="shared" si="77"/>
        <v>2.5039528532413396E-2</v>
      </c>
      <c r="I60" s="4">
        <f t="shared" si="77"/>
        <v>2.7082397844634037E-2</v>
      </c>
      <c r="J60" s="4">
        <f t="shared" si="77"/>
        <v>1.6554457754073038E-2</v>
      </c>
      <c r="K60" s="4">
        <f t="shared" si="77"/>
        <v>-1.1590003621876132E-2</v>
      </c>
      <c r="L60" s="4">
        <f t="shared" si="77"/>
        <v>1.5548281505728314E-2</v>
      </c>
      <c r="M60" s="4">
        <f>+M33/M24</f>
        <v>3.8084444678720152E-2</v>
      </c>
      <c r="P60" s="1">
        <f t="shared" ref="P60:AC60" si="78">+P24-SUM(P25:P28)</f>
        <v>1992</v>
      </c>
      <c r="Q60" s="1">
        <f t="shared" si="78"/>
        <v>2147</v>
      </c>
      <c r="R60" s="1">
        <f t="shared" si="78"/>
        <v>2457</v>
      </c>
      <c r="S60" s="1">
        <f t="shared" si="78"/>
        <v>3083</v>
      </c>
      <c r="T60" s="1">
        <f t="shared" si="78"/>
        <v>4563</v>
      </c>
      <c r="U60" s="1">
        <f t="shared" si="78"/>
        <v>7924</v>
      </c>
      <c r="V60" s="1">
        <f t="shared" si="78"/>
        <v>11528</v>
      </c>
      <c r="W60" s="1">
        <f t="shared" si="78"/>
        <v>13063</v>
      </c>
      <c r="X60" s="1">
        <f t="shared" si="78"/>
        <v>17118</v>
      </c>
      <c r="Y60" s="1">
        <f t="shared" si="78"/>
        <v>16848</v>
      </c>
      <c r="Z60" s="1">
        <f t="shared" si="78"/>
        <v>17474</v>
      </c>
      <c r="AA60" s="1">
        <f t="shared" si="78"/>
        <v>23014</v>
      </c>
      <c r="AB60" s="1">
        <f t="shared" si="78"/>
        <v>19853</v>
      </c>
      <c r="AC60" s="1">
        <f>+AC24-SUM(AC25:AC28)</f>
        <v>19043</v>
      </c>
      <c r="AP60" s="1" t="s">
        <v>79</v>
      </c>
      <c r="AQ60" s="21">
        <f>+$AQ$58/$AD$39*1000</f>
        <v>19.073939777160231</v>
      </c>
    </row>
    <row r="61" spans="2:48" s="5" customFormat="1">
      <c r="B61" s="5" t="s">
        <v>176</v>
      </c>
      <c r="P61" s="5">
        <f t="shared" ref="P61:AB61" si="79">+P60/P24</f>
        <v>9.5480036428126344E-2</v>
      </c>
      <c r="Q61" s="5">
        <f t="shared" si="79"/>
        <v>0.10420812503033539</v>
      </c>
      <c r="R61" s="5">
        <f t="shared" si="79"/>
        <v>0.12485390517810864</v>
      </c>
      <c r="S61" s="5">
        <f t="shared" si="79"/>
        <v>0.13467586929931855</v>
      </c>
      <c r="T61" s="5">
        <f t="shared" si="79"/>
        <v>0.16274922423939794</v>
      </c>
      <c r="U61" s="5">
        <f t="shared" si="79"/>
        <v>0.17985791134212498</v>
      </c>
      <c r="V61" s="5">
        <f t="shared" si="79"/>
        <v>0.17889787240646193</v>
      </c>
      <c r="W61" s="5">
        <f t="shared" si="79"/>
        <v>0.16518715225088518</v>
      </c>
      <c r="X61" s="5">
        <f t="shared" si="79"/>
        <v>0.17191752618734371</v>
      </c>
      <c r="Y61" s="5">
        <f t="shared" si="79"/>
        <v>0.15211954313575007</v>
      </c>
      <c r="Z61" s="5">
        <f t="shared" si="79"/>
        <v>0.15905987729614593</v>
      </c>
      <c r="AA61" s="5">
        <f t="shared" si="79"/>
        <v>0.18566714803191534</v>
      </c>
      <c r="AB61" s="5">
        <f t="shared" si="79"/>
        <v>0.14365412445730824</v>
      </c>
      <c r="AC61" s="5">
        <f>+AC60/AC24</f>
        <v>0.13787086778355367</v>
      </c>
      <c r="AP61" s="5" t="s">
        <v>80</v>
      </c>
      <c r="AQ61" s="21">
        <f>+AQ58/$AE$39*1000</f>
        <v>16.543233795491648</v>
      </c>
    </row>
    <row r="63" spans="2:48" s="35" customFormat="1">
      <c r="B63" s="34" t="s">
        <v>56</v>
      </c>
      <c r="J63" s="3">
        <f>+J64-J73-J79</f>
        <v>3432</v>
      </c>
      <c r="K63" s="3">
        <f>+K64-K73-K79</f>
        <v>2265</v>
      </c>
      <c r="L63" s="3">
        <f>+L64-L73-L79</f>
        <v>2750</v>
      </c>
      <c r="M63" s="3">
        <f>+M64-M73-M79</f>
        <v>3689</v>
      </c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5">
        <f>+M63</f>
        <v>3689</v>
      </c>
      <c r="AD63" s="35">
        <f>+AC63+AD39</f>
        <v>4989.5141171570358</v>
      </c>
      <c r="AE63" s="35">
        <f t="shared" ref="AE63:AM63" si="80">+AD63+AE39</f>
        <v>6488.9747580844523</v>
      </c>
      <c r="AF63" s="35">
        <f t="shared" si="80"/>
        <v>8078.5332487725791</v>
      </c>
      <c r="AG63" s="35">
        <f t="shared" si="80"/>
        <v>9762.8774920038122</v>
      </c>
      <c r="AH63" s="35">
        <f t="shared" si="80"/>
        <v>11546.932000124219</v>
      </c>
      <c r="AI63" s="35">
        <f t="shared" si="80"/>
        <v>13435.869752316157</v>
      </c>
      <c r="AJ63" s="35">
        <f t="shared" si="80"/>
        <v>15435.124645059208</v>
      </c>
      <c r="AK63" s="35">
        <f t="shared" si="80"/>
        <v>17550.404565441448</v>
      </c>
      <c r="AL63" s="35">
        <f t="shared" si="80"/>
        <v>19787.705118469126</v>
      </c>
      <c r="AM63" s="35">
        <f t="shared" si="80"/>
        <v>22153.324041077769</v>
      </c>
    </row>
    <row r="64" spans="2:48" s="30" customFormat="1">
      <c r="B64" s="36" t="s">
        <v>48</v>
      </c>
      <c r="J64" s="11">
        <v>4182</v>
      </c>
      <c r="K64" s="30">
        <v>3515</v>
      </c>
      <c r="L64" s="30">
        <v>4000</v>
      </c>
      <c r="M64" s="30">
        <v>4819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2:31" s="30" customFormat="1">
      <c r="B65" s="36" t="s">
        <v>49</v>
      </c>
      <c r="J65" s="30">
        <v>769</v>
      </c>
      <c r="K65" s="30">
        <v>1334</v>
      </c>
      <c r="L65" s="30">
        <v>862</v>
      </c>
      <c r="M65" s="30">
        <v>782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2:31" s="30" customFormat="1">
      <c r="B66" s="30" t="s">
        <v>52</v>
      </c>
      <c r="J66" s="30">
        <v>163</v>
      </c>
      <c r="K66" s="30">
        <v>705</v>
      </c>
      <c r="L66" s="30">
        <v>768</v>
      </c>
      <c r="M66" s="30">
        <v>662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2:31" s="30" customFormat="1">
      <c r="B67" s="36" t="s">
        <v>50</v>
      </c>
      <c r="J67" s="30">
        <v>1407</v>
      </c>
      <c r="K67" s="30">
        <v>1424</v>
      </c>
      <c r="L67" s="30">
        <v>1434</v>
      </c>
      <c r="M67" s="30">
        <v>1446</v>
      </c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2:31" s="30" customFormat="1">
      <c r="B68" s="36" t="s">
        <v>51</v>
      </c>
      <c r="J68" s="30">
        <f>+SUM(J64:J67)</f>
        <v>6521</v>
      </c>
      <c r="K68" s="30">
        <f>+SUM(K64:K67)</f>
        <v>6978</v>
      </c>
      <c r="L68" s="30">
        <f>+SUM(L64:L67)</f>
        <v>7064</v>
      </c>
      <c r="M68" s="30">
        <f>+SUM(M64:M67)</f>
        <v>7709</v>
      </c>
    </row>
    <row r="69" spans="2:31" s="30" customFormat="1">
      <c r="B69" s="36" t="s">
        <v>54</v>
      </c>
      <c r="J69" s="30">
        <v>23036</v>
      </c>
      <c r="K69" s="30">
        <v>22553</v>
      </c>
      <c r="L69" s="30">
        <v>22227</v>
      </c>
      <c r="M69" s="30">
        <v>22951</v>
      </c>
    </row>
    <row r="70" spans="2:31">
      <c r="B70" s="36" t="s">
        <v>153</v>
      </c>
      <c r="J70" s="1">
        <f>40007+11583+277+3900+51+5713</f>
        <v>61531</v>
      </c>
      <c r="K70" s="1">
        <f>39153+11506+270+3900+48+5713</f>
        <v>60590</v>
      </c>
      <c r="L70" s="1">
        <f>38160+11584+266+3900+41+5713</f>
        <v>59664</v>
      </c>
      <c r="M70" s="1">
        <f>37728+11781+259+3900+36+5713</f>
        <v>59417</v>
      </c>
      <c r="AE70" s="1">
        <f>17.24*1000000</f>
        <v>17240000</v>
      </c>
    </row>
    <row r="71" spans="2:31">
      <c r="B71" s="36" t="s">
        <v>53</v>
      </c>
      <c r="J71" s="1">
        <f>+SUM(J68:J70)</f>
        <v>91088</v>
      </c>
      <c r="K71" s="1">
        <f>+SUM(K68:K70)</f>
        <v>90121</v>
      </c>
      <c r="L71" s="1">
        <f>+SUM(L68:L70)</f>
        <v>88955</v>
      </c>
      <c r="M71" s="1">
        <f>+SUM(M68:M70)</f>
        <v>90077</v>
      </c>
      <c r="AE71" s="1">
        <v>12331461.68</v>
      </c>
    </row>
    <row r="72" spans="2:31">
      <c r="B72" s="36"/>
      <c r="AE72" s="1">
        <f>+AE71*0.001</f>
        <v>12331.46168</v>
      </c>
    </row>
    <row r="73" spans="2:31" s="30" customFormat="1">
      <c r="B73" s="36" t="s">
        <v>154</v>
      </c>
      <c r="J73" s="30">
        <v>0</v>
      </c>
      <c r="K73" s="30">
        <v>0</v>
      </c>
      <c r="L73" s="30">
        <v>0</v>
      </c>
      <c r="M73" s="30">
        <f>30000000/1000000</f>
        <v>30</v>
      </c>
    </row>
    <row r="74" spans="2:31" s="30" customFormat="1">
      <c r="B74" s="36" t="s">
        <v>155</v>
      </c>
      <c r="J74" s="30">
        <v>2585</v>
      </c>
      <c r="K74" s="11">
        <v>2642</v>
      </c>
      <c r="L74" s="11">
        <v>2745</v>
      </c>
      <c r="M74" s="30">
        <v>2884</v>
      </c>
    </row>
    <row r="75" spans="2:31" s="30" customFormat="1">
      <c r="B75" s="36" t="s">
        <v>156</v>
      </c>
      <c r="J75" s="30">
        <v>67</v>
      </c>
      <c r="K75" s="11">
        <v>60</v>
      </c>
      <c r="L75" s="11">
        <v>46</v>
      </c>
      <c r="M75" s="30">
        <v>187</v>
      </c>
    </row>
    <row r="76" spans="2:31" s="30" customFormat="1">
      <c r="B76" s="36" t="s">
        <v>157</v>
      </c>
      <c r="J76" s="30">
        <v>5787</v>
      </c>
      <c r="K76" s="11">
        <v>5902</v>
      </c>
      <c r="L76" s="11">
        <v>6078</v>
      </c>
      <c r="M76" s="30">
        <v>6176</v>
      </c>
    </row>
    <row r="77" spans="2:31" s="30" customFormat="1">
      <c r="B77" s="36" t="s">
        <v>158</v>
      </c>
      <c r="J77" s="30">
        <v>6451</v>
      </c>
      <c r="K77" s="11">
        <v>6874</v>
      </c>
      <c r="L77" s="11">
        <v>6710</v>
      </c>
      <c r="M77" s="30">
        <v>7266</v>
      </c>
    </row>
    <row r="78" spans="2:31" s="30" customFormat="1">
      <c r="B78" s="36" t="s">
        <v>77</v>
      </c>
      <c r="J78" s="30">
        <f>+SUM(J73:J77)</f>
        <v>14890</v>
      </c>
      <c r="K78" s="30">
        <f>+SUM(K73:K77)</f>
        <v>15478</v>
      </c>
      <c r="L78" s="30">
        <f>+SUM(L73:L77)</f>
        <v>15579</v>
      </c>
      <c r="M78" s="30">
        <f>+SUM(M73:M77)</f>
        <v>16543</v>
      </c>
    </row>
    <row r="79" spans="2:31" s="30" customFormat="1">
      <c r="B79" s="36" t="s">
        <v>159</v>
      </c>
      <c r="J79" s="30">
        <v>750</v>
      </c>
      <c r="K79" s="30">
        <v>1250</v>
      </c>
      <c r="L79" s="30">
        <v>1250</v>
      </c>
      <c r="M79" s="30">
        <v>1100</v>
      </c>
    </row>
    <row r="80" spans="2:31" s="30" customFormat="1">
      <c r="B80" s="36" t="s">
        <v>153</v>
      </c>
      <c r="J80" s="30">
        <f>42332+122</f>
        <v>42454</v>
      </c>
      <c r="K80" s="30">
        <f>41202+109</f>
        <v>41311</v>
      </c>
      <c r="L80" s="30">
        <f>39875+116</f>
        <v>39991</v>
      </c>
      <c r="M80" s="30">
        <f>39307+109</f>
        <v>39416</v>
      </c>
    </row>
    <row r="81" spans="2:13" s="11" customFormat="1">
      <c r="B81" s="11" t="s">
        <v>160</v>
      </c>
      <c r="J81" s="11">
        <f>+SUM(J78:J80)</f>
        <v>58094</v>
      </c>
      <c r="K81" s="11">
        <f>+SUM(K78:K80)</f>
        <v>58039</v>
      </c>
      <c r="L81" s="11">
        <f>+SUM(L78:L80)</f>
        <v>56820</v>
      </c>
      <c r="M81" s="11">
        <f>+SUM(M78:M80)</f>
        <v>57059</v>
      </c>
    </row>
    <row r="82" spans="2:13" s="11" customFormat="1">
      <c r="B82" s="11" t="s">
        <v>161</v>
      </c>
      <c r="J82" s="11">
        <v>0</v>
      </c>
      <c r="K82" s="11">
        <v>0</v>
      </c>
      <c r="L82" s="11">
        <v>0</v>
      </c>
      <c r="M82" s="11">
        <v>0</v>
      </c>
    </row>
    <row r="83" spans="2:13" s="11" customFormat="1">
      <c r="B83" s="11" t="s">
        <v>162</v>
      </c>
      <c r="J83" s="11">
        <v>13</v>
      </c>
      <c r="K83" s="11">
        <v>13</v>
      </c>
      <c r="L83" s="11">
        <v>13</v>
      </c>
      <c r="M83" s="11">
        <v>13</v>
      </c>
    </row>
    <row r="84" spans="2:13" s="11" customFormat="1">
      <c r="B84" s="11" t="s">
        <v>163</v>
      </c>
      <c r="J84" s="11">
        <v>56701</v>
      </c>
      <c r="K84" s="11">
        <v>56739</v>
      </c>
      <c r="L84" s="11">
        <v>56779</v>
      </c>
      <c r="M84" s="11">
        <v>56807</v>
      </c>
    </row>
    <row r="85" spans="2:13" s="11" customFormat="1">
      <c r="B85" s="11" t="s">
        <v>164</v>
      </c>
      <c r="J85" s="11">
        <v>-4908</v>
      </c>
      <c r="K85" s="11">
        <v>-5346</v>
      </c>
      <c r="L85" s="11">
        <v>-5992</v>
      </c>
      <c r="M85" s="11">
        <v>-6697</v>
      </c>
    </row>
    <row r="86" spans="2:13" s="11" customFormat="1">
      <c r="B86" s="11" t="s">
        <v>165</v>
      </c>
      <c r="J86" s="11">
        <v>-19235</v>
      </c>
      <c r="K86" s="11">
        <v>-19791</v>
      </c>
      <c r="L86" s="11">
        <v>-19173</v>
      </c>
      <c r="M86" s="11">
        <v>-17852</v>
      </c>
    </row>
    <row r="87" spans="2:13" s="11" customFormat="1">
      <c r="B87" s="6" t="s">
        <v>167</v>
      </c>
      <c r="J87" s="11">
        <v>423</v>
      </c>
      <c r="K87" s="11">
        <v>467</v>
      </c>
      <c r="L87" s="11">
        <v>508</v>
      </c>
      <c r="M87" s="11">
        <v>747</v>
      </c>
    </row>
    <row r="88" spans="2:13">
      <c r="B88" s="1" t="s">
        <v>166</v>
      </c>
      <c r="J88" s="1">
        <f>+SUM(J82:J87)</f>
        <v>32994</v>
      </c>
      <c r="K88" s="1">
        <f>+SUM(K82:K87)</f>
        <v>32082</v>
      </c>
      <c r="L88" s="1">
        <f>+SUM(L82:L87)</f>
        <v>32135</v>
      </c>
      <c r="M88" s="1">
        <f>+SUM(M82:M87)</f>
        <v>33018</v>
      </c>
    </row>
    <row r="89" spans="2:13" s="3" customFormat="1">
      <c r="B89" s="3" t="s">
        <v>168</v>
      </c>
      <c r="J89" s="3">
        <f>SUM(J88,J81)</f>
        <v>91088</v>
      </c>
      <c r="K89" s="3">
        <f>SUM(K88,K81)</f>
        <v>90121</v>
      </c>
      <c r="L89" s="3">
        <f>SUM(L88,L81)</f>
        <v>88955</v>
      </c>
      <c r="M89" s="3">
        <f>SUM(M88,M81)</f>
        <v>90077</v>
      </c>
    </row>
    <row r="91" spans="2:13">
      <c r="B91" s="1" t="s">
        <v>37</v>
      </c>
      <c r="J91" s="1">
        <f>+J64</f>
        <v>4182</v>
      </c>
      <c r="K91" s="1">
        <f t="shared" ref="K91:M91" si="81">+K64</f>
        <v>3515</v>
      </c>
      <c r="L91" s="1">
        <f t="shared" si="81"/>
        <v>4000</v>
      </c>
      <c r="M91" s="1">
        <f t="shared" si="81"/>
        <v>4819</v>
      </c>
    </row>
    <row r="92" spans="2:13">
      <c r="B92" s="1" t="s">
        <v>169</v>
      </c>
      <c r="J92" s="1">
        <f>+J73+J79</f>
        <v>750</v>
      </c>
      <c r="K92" s="1">
        <f t="shared" ref="K92:M92" si="82">+K73+K79</f>
        <v>1250</v>
      </c>
      <c r="L92" s="1">
        <f t="shared" si="82"/>
        <v>1250</v>
      </c>
      <c r="M92" s="1">
        <f t="shared" si="82"/>
        <v>1130</v>
      </c>
    </row>
    <row r="93" spans="2:13" s="20" customFormat="1">
      <c r="B93" s="20" t="s">
        <v>170</v>
      </c>
      <c r="J93" s="20">
        <f>(J91-J92)/J40</f>
        <v>0.26409451212699114</v>
      </c>
      <c r="K93" s="20">
        <f t="shared" ref="K93:M93" si="83">(K91-K92)/K40</f>
        <v>0.19907574361821614</v>
      </c>
      <c r="L93" s="20">
        <f t="shared" si="83"/>
        <v>0.24486415248465435</v>
      </c>
      <c r="M93" s="20">
        <f t="shared" si="83"/>
        <v>0.33431549649748105</v>
      </c>
    </row>
    <row r="100" spans="2:29">
      <c r="B100" s="36" t="s">
        <v>55</v>
      </c>
      <c r="G100" s="1">
        <v>-154</v>
      </c>
      <c r="H100" s="1">
        <f>1515-G100</f>
        <v>1669</v>
      </c>
      <c r="I100" s="1">
        <f>4707-SUM(G100:H100)</f>
        <v>3192</v>
      </c>
      <c r="J100" s="1">
        <f>+AC100-SUM(G100:I100)</f>
        <v>3258</v>
      </c>
      <c r="K100" s="1">
        <v>-252</v>
      </c>
      <c r="L100" s="1">
        <f>4736-SUM(J100:K100)</f>
        <v>1730</v>
      </c>
      <c r="M100" s="1">
        <f>4736-SUM(K100:L100)</f>
        <v>3258</v>
      </c>
      <c r="P100" s="1">
        <v>-737</v>
      </c>
      <c r="Q100" s="1">
        <v>-539</v>
      </c>
      <c r="R100" s="1">
        <v>-22</v>
      </c>
      <c r="S100" s="1">
        <v>703</v>
      </c>
      <c r="T100" s="1">
        <v>1438</v>
      </c>
      <c r="U100" s="1">
        <v>3168</v>
      </c>
      <c r="V100" s="1">
        <v>5398</v>
      </c>
      <c r="W100" s="1">
        <v>4983</v>
      </c>
      <c r="X100" s="1">
        <v>6504</v>
      </c>
      <c r="Y100" s="1">
        <v>6771</v>
      </c>
      <c r="Z100" s="1">
        <v>8369</v>
      </c>
      <c r="AA100" s="1">
        <v>9145</v>
      </c>
      <c r="AB100" s="1">
        <v>5291</v>
      </c>
      <c r="AC100" s="1">
        <v>7965</v>
      </c>
    </row>
    <row r="101" spans="2:29">
      <c r="B101" s="1" t="s">
        <v>45</v>
      </c>
      <c r="G101" s="1">
        <v>-723</v>
      </c>
      <c r="H101" s="1">
        <f>+-1063-G101</f>
        <v>-340</v>
      </c>
      <c r="I101" s="1">
        <f>+-3178-SUM(G101:H101)</f>
        <v>-2115</v>
      </c>
      <c r="J101" s="1">
        <f>+AC101-SUM(G101:I101)</f>
        <v>-1593</v>
      </c>
      <c r="K101" s="1">
        <v>-448</v>
      </c>
      <c r="L101" s="1">
        <f>+-2282-SUM(J101:K101)</f>
        <v>-241</v>
      </c>
      <c r="M101" s="1">
        <f>+-2282-SUM(K101:L101)</f>
        <v>-1593</v>
      </c>
      <c r="P101" s="1">
        <v>-61</v>
      </c>
      <c r="Q101" s="1">
        <v>-189</v>
      </c>
      <c r="R101" s="1">
        <v>-314</v>
      </c>
      <c r="S101" s="1">
        <v>-2506</v>
      </c>
      <c r="T101" s="1">
        <v>-3397</v>
      </c>
      <c r="U101" s="1">
        <v>-7633</v>
      </c>
      <c r="V101" s="1">
        <v>-8501</v>
      </c>
      <c r="W101" s="1">
        <v>-14513</v>
      </c>
      <c r="X101" s="1">
        <v>-10444</v>
      </c>
      <c r="Y101" s="1">
        <v>-8079</v>
      </c>
      <c r="Z101" s="1">
        <v>-2596</v>
      </c>
      <c r="AA101" s="1">
        <v>-3198</v>
      </c>
      <c r="AB101" s="1">
        <v>-2641</v>
      </c>
      <c r="AC101" s="1">
        <v>-4771</v>
      </c>
    </row>
    <row r="102" spans="2:29">
      <c r="B102" s="1" t="s">
        <v>46</v>
      </c>
      <c r="G102" s="1">
        <f>+SUM(G100:G101)</f>
        <v>-877</v>
      </c>
      <c r="H102" s="1">
        <f>+SUM(H100:H101)</f>
        <v>1329</v>
      </c>
      <c r="I102" s="1">
        <f>+SUM(I100:I101)</f>
        <v>1077</v>
      </c>
      <c r="J102" s="1">
        <f>+SUM(J100:J101)</f>
        <v>1665</v>
      </c>
      <c r="K102" s="1">
        <f>+SUM(K100:K101)</f>
        <v>-700</v>
      </c>
      <c r="L102" s="1">
        <f>+SUM(L100:L101)</f>
        <v>1489</v>
      </c>
      <c r="M102" s="1">
        <f>+SUM(M100:M101)</f>
        <v>1665</v>
      </c>
      <c r="P102" s="3">
        <f>+SUM(P100:P101)</f>
        <v>-798</v>
      </c>
      <c r="Q102" s="3">
        <f>+SUM(Q100:Q101)</f>
        <v>-728</v>
      </c>
      <c r="R102" s="3">
        <f>+SUM(R100:R101)</f>
        <v>-336</v>
      </c>
      <c r="S102" s="3">
        <f>+SUM(S100:S101)</f>
        <v>-1803</v>
      </c>
      <c r="T102" s="3">
        <f>+SUM(T100:T101)</f>
        <v>-1959</v>
      </c>
      <c r="U102" s="3">
        <f>+SUM(U100:U101)</f>
        <v>-4465</v>
      </c>
      <c r="V102" s="3">
        <f>+SUM(V100:V101)</f>
        <v>-3103</v>
      </c>
      <c r="W102" s="3">
        <f>+SUM(W100:W101)</f>
        <v>-9530</v>
      </c>
      <c r="X102" s="3">
        <f>+SUM(X100:X101)</f>
        <v>-3940</v>
      </c>
      <c r="Y102" s="3">
        <f>+SUM(Y100:Y101)</f>
        <v>-1308</v>
      </c>
      <c r="Z102" s="3">
        <f>+SUM(Z100:Z101)</f>
        <v>5773</v>
      </c>
      <c r="AA102" s="3">
        <f>+SUM(AA100:AA101)</f>
        <v>5947</v>
      </c>
      <c r="AB102" s="3">
        <f>+SUM(AB100:AB101)</f>
        <v>2650</v>
      </c>
      <c r="AC102" s="3">
        <f>+SUM(AC100:AC101)</f>
        <v>3194</v>
      </c>
    </row>
    <row r="103" spans="2:29">
      <c r="B103" s="1" t="s">
        <v>28</v>
      </c>
      <c r="G103" s="1">
        <f t="shared" ref="G103:M103" si="84">+G39</f>
        <v>-127</v>
      </c>
      <c r="H103" s="1">
        <f t="shared" si="84"/>
        <v>10675</v>
      </c>
      <c r="I103" s="1">
        <f t="shared" si="84"/>
        <v>794</v>
      </c>
      <c r="J103" s="1">
        <f t="shared" si="84"/>
        <v>1292</v>
      </c>
      <c r="K103" s="1">
        <f t="shared" si="84"/>
        <v>-566</v>
      </c>
      <c r="L103" s="1">
        <f t="shared" si="84"/>
        <v>525</v>
      </c>
      <c r="M103" s="1">
        <f>+M39</f>
        <v>1538</v>
      </c>
      <c r="P103" s="1">
        <f>+P39</f>
        <v>-2022</v>
      </c>
      <c r="Q103" s="1">
        <f t="shared" ref="Q103:AC103" si="85">+Q39</f>
        <v>-1176</v>
      </c>
      <c r="R103" s="1">
        <f t="shared" si="85"/>
        <v>-800</v>
      </c>
      <c r="S103" s="1">
        <f t="shared" si="85"/>
        <v>-530</v>
      </c>
      <c r="T103" s="1">
        <f t="shared" si="85"/>
        <v>-469</v>
      </c>
      <c r="U103" s="1">
        <f t="shared" si="85"/>
        <v>-11</v>
      </c>
      <c r="V103" s="1">
        <f t="shared" si="85"/>
        <v>-1180</v>
      </c>
      <c r="W103" s="1">
        <f t="shared" si="85"/>
        <v>-1950</v>
      </c>
      <c r="X103" s="1">
        <f t="shared" si="85"/>
        <v>-7454</v>
      </c>
      <c r="Y103" s="1">
        <f t="shared" si="85"/>
        <v>-2066</v>
      </c>
      <c r="Z103" s="1">
        <f t="shared" si="85"/>
        <v>1576</v>
      </c>
      <c r="AA103" s="1">
        <f t="shared" si="85"/>
        <v>4999</v>
      </c>
      <c r="AB103" s="1">
        <f t="shared" si="85"/>
        <v>452</v>
      </c>
      <c r="AC103" s="1">
        <f t="shared" si="85"/>
        <v>12634</v>
      </c>
    </row>
    <row r="105" spans="2:29">
      <c r="B105" s="1" t="s">
        <v>182</v>
      </c>
      <c r="J105" s="1">
        <f t="shared" ref="J105:L105" si="86">+SUM(G102:J102)</f>
        <v>3194</v>
      </c>
      <c r="K105" s="1">
        <f t="shared" si="86"/>
        <v>3371</v>
      </c>
      <c r="L105" s="1">
        <f t="shared" si="86"/>
        <v>3531</v>
      </c>
      <c r="M105" s="1">
        <f>+SUM(J102:M102)</f>
        <v>4119</v>
      </c>
    </row>
    <row r="106" spans="2:29">
      <c r="B106" s="1" t="s">
        <v>181</v>
      </c>
      <c r="J106" s="1">
        <f t="shared" ref="J106:L106" si="87">+SUM(G103:J103)</f>
        <v>12634</v>
      </c>
      <c r="K106" s="1">
        <f t="shared" si="87"/>
        <v>12195</v>
      </c>
      <c r="L106" s="1">
        <f t="shared" si="87"/>
        <v>2045</v>
      </c>
      <c r="M106" s="1">
        <f>+SUM(J103:M103)</f>
        <v>2789</v>
      </c>
    </row>
    <row r="109" spans="2:29">
      <c r="B109" s="1" t="s">
        <v>21</v>
      </c>
      <c r="P109" s="1">
        <v>943</v>
      </c>
      <c r="Q109" s="1">
        <v>888</v>
      </c>
      <c r="R109" s="1">
        <v>795</v>
      </c>
      <c r="S109" s="1">
        <v>719</v>
      </c>
      <c r="T109" s="1">
        <v>682</v>
      </c>
      <c r="U109" s="1">
        <v>1332</v>
      </c>
      <c r="V109" s="1">
        <v>2336</v>
      </c>
      <c r="W109" s="1">
        <v>3101</v>
      </c>
      <c r="X109" s="1">
        <v>3951</v>
      </c>
      <c r="Y109" s="1">
        <v>4590</v>
      </c>
      <c r="Z109" s="1">
        <v>4313</v>
      </c>
      <c r="AA109" s="1">
        <v>3992</v>
      </c>
      <c r="AB109" s="1">
        <v>4057</v>
      </c>
      <c r="AC109" s="1">
        <v>3752</v>
      </c>
    </row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</sheetData>
  <pageMargins left="0.7" right="0.7" top="0.75" bottom="0.75" header="0.3" footer="0.3"/>
  <ignoredErrors>
    <ignoredError sqref="Y24:AB24 P24 K22:M22 J68 P60:AC60" formulaRange="1"/>
    <ignoredError sqref="E34 I23:J23 J24:J40 F24:I34 F41:I41 E36:I40 F22:I22 AD48:AM49 AD31:AM31 AD33:AM33 AD35:AM42" formula="1"/>
    <ignoredError sqref="F35:I35 E35 J22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28B6-87E4-334A-85C8-B7F23DCEE5D8}">
  <dimension ref="B2:P20"/>
  <sheetViews>
    <sheetView topLeftCell="G1" workbookViewId="0">
      <selection activeCell="X119" sqref="X119"/>
    </sheetView>
  </sheetViews>
  <sheetFormatPr baseColWidth="10" defaultRowHeight="13"/>
  <cols>
    <col min="2" max="2" width="20.5" bestFit="1" customWidth="1"/>
  </cols>
  <sheetData>
    <row r="2" spans="2:16">
      <c r="B2" t="s">
        <v>177</v>
      </c>
      <c r="C2" s="9">
        <f>+Model!P3</f>
        <v>2010</v>
      </c>
      <c r="D2" s="9">
        <f>+Model!Q3</f>
        <v>2011</v>
      </c>
      <c r="E2" s="9">
        <f>+Model!R3</f>
        <v>2012</v>
      </c>
      <c r="F2" s="9">
        <f>+Model!S3</f>
        <v>2013</v>
      </c>
      <c r="G2" s="9">
        <f>+Model!T3</f>
        <v>2014</v>
      </c>
      <c r="H2" s="9">
        <f>+Model!U3</f>
        <v>2015</v>
      </c>
      <c r="I2" s="9">
        <f>+Model!V3</f>
        <v>2016</v>
      </c>
      <c r="J2" s="9">
        <f>+Model!W3</f>
        <v>2017</v>
      </c>
      <c r="K2" s="9">
        <f>+Model!X3</f>
        <v>2018</v>
      </c>
      <c r="L2" s="9">
        <f>+Model!Y3</f>
        <v>2019</v>
      </c>
      <c r="M2" s="9">
        <f>+Model!Z3</f>
        <v>2020</v>
      </c>
      <c r="N2" s="9">
        <f>+Model!AA3</f>
        <v>2021</v>
      </c>
      <c r="O2" s="9">
        <f>+Model!AB3</f>
        <v>2022</v>
      </c>
      <c r="P2" s="9">
        <f>+Model!AC3</f>
        <v>2023</v>
      </c>
    </row>
    <row r="3" spans="2:16">
      <c r="B3" s="11" t="s">
        <v>84</v>
      </c>
      <c r="C3" s="1">
        <f>+Model!P15</f>
        <v>0</v>
      </c>
      <c r="D3" s="1">
        <f>+Model!Q15</f>
        <v>0</v>
      </c>
      <c r="E3" s="1">
        <f>+Model!R15</f>
        <v>0</v>
      </c>
      <c r="F3" s="1">
        <f>+Model!S15</f>
        <v>0</v>
      </c>
      <c r="G3" s="1">
        <f>+Model!T15</f>
        <v>0</v>
      </c>
      <c r="H3" s="1">
        <f>+Model!U15</f>
        <v>0</v>
      </c>
      <c r="I3" s="1">
        <f>+Model!V15</f>
        <v>35222</v>
      </c>
      <c r="J3" s="1">
        <f>+Model!W15</f>
        <v>48067</v>
      </c>
      <c r="K3" s="1">
        <f>+Model!X15</f>
        <v>67792</v>
      </c>
      <c r="L3" s="1">
        <f>+Model!Y15</f>
        <v>80124</v>
      </c>
      <c r="M3" s="1">
        <f>+Model!Z15</f>
        <v>76538</v>
      </c>
      <c r="N3" s="1">
        <f>+Model!AA15</f>
        <v>88844</v>
      </c>
      <c r="O3" s="1">
        <f>+Model!AB15</f>
        <v>103502</v>
      </c>
      <c r="P3" s="1">
        <f>+Model!AC15</f>
        <v>102517</v>
      </c>
    </row>
    <row r="4" spans="2:16">
      <c r="B4" s="11" t="s">
        <v>85</v>
      </c>
      <c r="C4" s="1">
        <f>+Model!P16</f>
        <v>0</v>
      </c>
      <c r="D4" s="1">
        <f>+Model!Q16</f>
        <v>0</v>
      </c>
      <c r="E4" s="1">
        <f>+Model!R16</f>
        <v>0</v>
      </c>
      <c r="F4" s="1">
        <f>+Model!S16</f>
        <v>0</v>
      </c>
      <c r="G4" s="1">
        <f>+Model!T16</f>
        <v>0</v>
      </c>
      <c r="H4" s="1">
        <f>+Model!U16</f>
        <v>0</v>
      </c>
      <c r="I4" s="1">
        <f>+Model!V16</f>
        <v>29217</v>
      </c>
      <c r="J4" s="1">
        <f>+Model!W16</f>
        <v>31013</v>
      </c>
      <c r="K4" s="1">
        <f>+Model!X16</f>
        <v>31779</v>
      </c>
      <c r="L4" s="1">
        <f>+Model!Y16</f>
        <v>30631</v>
      </c>
      <c r="M4" s="1">
        <f>+Model!Z16</f>
        <v>33320</v>
      </c>
      <c r="N4" s="1">
        <f>+Model!AA16</f>
        <v>35109</v>
      </c>
      <c r="O4" s="1">
        <f>+Model!AB16</f>
        <v>34698</v>
      </c>
      <c r="P4" s="1">
        <f>+Model!AC16</f>
        <v>32605</v>
      </c>
    </row>
    <row r="6" spans="2:16">
      <c r="B6" t="s">
        <v>178</v>
      </c>
      <c r="C6" s="40" t="str">
        <f>+Model!C3</f>
        <v>Q122</v>
      </c>
      <c r="D6" s="40" t="str">
        <f>+Model!D3</f>
        <v>Q222</v>
      </c>
      <c r="E6" s="40" t="str">
        <f>+Model!E3</f>
        <v>Q322</v>
      </c>
      <c r="F6" s="40" t="str">
        <f>+Model!F3</f>
        <v>Q422</v>
      </c>
      <c r="G6" s="40" t="str">
        <f>+Model!G3</f>
        <v>Q123</v>
      </c>
      <c r="H6" s="40" t="str">
        <f>+Model!H3</f>
        <v>Q223</v>
      </c>
      <c r="I6" s="40" t="str">
        <f>+Model!I3</f>
        <v>Q323</v>
      </c>
      <c r="J6" s="40" t="str">
        <f>+Model!J3</f>
        <v>Q423</v>
      </c>
      <c r="K6" s="40" t="str">
        <f>+Model!K3</f>
        <v>Q124</v>
      </c>
      <c r="L6" s="40" t="str">
        <f>+Model!L3</f>
        <v>Q224</v>
      </c>
      <c r="M6" s="40" t="str">
        <f>+Model!M3</f>
        <v>Q324</v>
      </c>
      <c r="N6" s="40" t="str">
        <f>+Model!N3</f>
        <v>Q424</v>
      </c>
      <c r="O6" s="1"/>
      <c r="P6" s="1"/>
    </row>
    <row r="7" spans="2:16">
      <c r="B7" s="11" t="s">
        <v>38</v>
      </c>
      <c r="C7" s="12">
        <f>+Model!C51</f>
        <v>0.24</v>
      </c>
      <c r="D7" s="12">
        <f>+Model!D51</f>
        <v>0.155</v>
      </c>
      <c r="E7" s="12">
        <f>+Model!E51</f>
        <v>5.2999999999999999E-2</v>
      </c>
      <c r="F7" s="12">
        <f>+Model!F51</f>
        <v>0.112</v>
      </c>
      <c r="G7" s="12">
        <f>+Model!G51</f>
        <v>2.4E-2</v>
      </c>
      <c r="H7" s="12">
        <f>+Model!H51</f>
        <v>4.5999999999999999E-2</v>
      </c>
      <c r="I7" s="12">
        <f>+Model!I51</f>
        <v>-1.4E-2</v>
      </c>
      <c r="J7" s="12">
        <f>+Model!J51</f>
        <v>1E-3</v>
      </c>
      <c r="K7" s="12">
        <f>+Model!K51</f>
        <v>6.2E-2</v>
      </c>
      <c r="L7" s="12">
        <f>+Model!L51</f>
        <v>-3.2000000000000001E-2</v>
      </c>
      <c r="M7" s="12">
        <f>+Model!M51</f>
        <v>1.2E-2</v>
      </c>
      <c r="N7" s="12">
        <f>+Model!N51</f>
        <v>2.9000000000000001E-2</v>
      </c>
      <c r="O7" s="12"/>
      <c r="P7" s="12"/>
    </row>
    <row r="8" spans="2:16">
      <c r="B8" s="11" t="s">
        <v>39</v>
      </c>
      <c r="C8" s="12">
        <f>+Model!C52</f>
        <v>-2.5000000000000001E-2</v>
      </c>
      <c r="D8" s="12">
        <f>+Model!D52</f>
        <v>8.9999999999999993E-3</v>
      </c>
      <c r="E8" s="12">
        <f>+Model!E52</f>
        <v>1.6E-2</v>
      </c>
      <c r="F8" s="12">
        <f>+Model!F52</f>
        <v>1.0999999999999999E-2</v>
      </c>
      <c r="G8" s="12">
        <f>+Model!G52</f>
        <v>0.03</v>
      </c>
      <c r="H8" s="12">
        <f>+Model!H52</f>
        <v>7.5999999999999998E-2</v>
      </c>
      <c r="I8" s="12">
        <f>+Model!I52</f>
        <v>2.1000000000000001E-2</v>
      </c>
      <c r="J8" s="12">
        <f>+Model!J52</f>
        <v>3.6999999999999998E-2</v>
      </c>
      <c r="K8" s="12">
        <f>+Model!K52</f>
        <v>4.1000000000000002E-2</v>
      </c>
      <c r="L8" s="12">
        <f>+Model!L52</f>
        <v>8.9999999999999993E-3</v>
      </c>
      <c r="M8" s="12">
        <f>+Model!M52</f>
        <v>5.8000000000000003E-2</v>
      </c>
      <c r="N8" s="12">
        <f>+Model!N52</f>
        <v>-1E-3</v>
      </c>
      <c r="O8" s="12"/>
      <c r="P8" s="12"/>
    </row>
    <row r="12" spans="2:16">
      <c r="B12" s="1" t="str">
        <f>+Model!B53</f>
        <v xml:space="preserve">% Revenue </v>
      </c>
    </row>
    <row r="13" spans="2:16">
      <c r="B13" s="1" t="str">
        <f>+Model!B54</f>
        <v>Food/Packaging costs</v>
      </c>
      <c r="C13" s="4">
        <f>+Model!P54</f>
        <v>0.34419786224416432</v>
      </c>
      <c r="D13" s="4">
        <f>+Model!Q54</f>
        <v>0.35145367179536963</v>
      </c>
      <c r="E13" s="4">
        <f>+Model!R54</f>
        <v>0.33497637075054626</v>
      </c>
      <c r="F13" s="4">
        <f>+Model!S54</f>
        <v>0.33439629564913509</v>
      </c>
      <c r="G13" s="4">
        <f>+Model!T54</f>
        <v>0.33074152013410851</v>
      </c>
      <c r="H13" s="4">
        <f>+Model!U54</f>
        <v>0.33063985291781101</v>
      </c>
      <c r="I13" s="4">
        <f>+Model!V54</f>
        <v>0.31403342696193298</v>
      </c>
      <c r="J13" s="4">
        <f>+Model!W54</f>
        <v>0.31487101669195749</v>
      </c>
      <c r="K13" s="4">
        <f>+Model!X54</f>
        <v>0.30386357473561582</v>
      </c>
      <c r="L13" s="4">
        <f>+Model!Y54</f>
        <v>0.29317863753329421</v>
      </c>
      <c r="M13" s="4">
        <f>+Model!Z54</f>
        <v>0.2967376067286861</v>
      </c>
      <c r="N13" s="4">
        <f>+Model!AA54</f>
        <v>0.29175574612958138</v>
      </c>
      <c r="O13" s="4">
        <f>+Model!AB54</f>
        <v>0.31748914616497831</v>
      </c>
      <c r="P13" s="4">
        <f>+Model!AC54</f>
        <v>0.31066738101099028</v>
      </c>
    </row>
    <row r="14" spans="2:16">
      <c r="B14" s="1" t="str">
        <f>+Model!B55</f>
        <v xml:space="preserve">Payroll/other </v>
      </c>
      <c r="C14" s="4">
        <f>+Model!P55</f>
        <v>0.3527297128888463</v>
      </c>
      <c r="D14" s="4">
        <f>+Model!Q55</f>
        <v>0.34184342086103964</v>
      </c>
      <c r="E14" s="4">
        <f>+Model!R55</f>
        <v>0.34000711418263124</v>
      </c>
      <c r="F14" s="4">
        <f>+Model!S55</f>
        <v>0.34112353660667483</v>
      </c>
      <c r="G14" s="4">
        <f>+Model!T55</f>
        <v>0.33202553768234833</v>
      </c>
      <c r="H14" s="4">
        <f>+Model!U55</f>
        <v>0.32655423655718729</v>
      </c>
      <c r="I14" s="4">
        <f>+Model!V55</f>
        <v>0.34292897158553048</v>
      </c>
      <c r="J14" s="4">
        <f>+Model!W55</f>
        <v>0.35753667172483561</v>
      </c>
      <c r="K14" s="4">
        <f>+Model!X55</f>
        <v>0.35806610358437696</v>
      </c>
      <c r="L14" s="4">
        <f>+Model!Y55</f>
        <v>0.37218184280619387</v>
      </c>
      <c r="M14" s="4">
        <f>+Model!Z55</f>
        <v>0.35283729905878497</v>
      </c>
      <c r="N14" s="4">
        <f>+Model!AA55</f>
        <v>0.33116584511871433</v>
      </c>
      <c r="O14" s="4">
        <f>+Model!AB55</f>
        <v>0.33657742402315483</v>
      </c>
      <c r="P14" s="4">
        <f>+Model!AC55</f>
        <v>0.3442536308480908</v>
      </c>
    </row>
    <row r="15" spans="2:16">
      <c r="B15" s="1" t="str">
        <f>+Model!B56</f>
        <v>Restaurant occupancy</v>
      </c>
      <c r="C15" s="4">
        <f>+Model!P56</f>
        <v>0.20759238843886305</v>
      </c>
      <c r="D15" s="4">
        <f>+Model!Q56</f>
        <v>0.20249478231325535</v>
      </c>
      <c r="E15" s="4">
        <f>+Model!R56</f>
        <v>0.20016260988871384</v>
      </c>
      <c r="F15" s="4">
        <f>+Model!S56</f>
        <v>0.18980429844487157</v>
      </c>
      <c r="G15" s="4">
        <f>+Model!T56</f>
        <v>0.17448371794414524</v>
      </c>
      <c r="H15" s="4">
        <f>+Model!U56</f>
        <v>7.6264838731643095E-2</v>
      </c>
      <c r="I15" s="4">
        <f>+Model!V56</f>
        <v>7.5932277037197973E-2</v>
      </c>
      <c r="J15" s="4">
        <f>+Model!W56</f>
        <v>7.2824987354577639E-2</v>
      </c>
      <c r="K15" s="4">
        <f>+Model!X56</f>
        <v>7.2922838979220861E-2</v>
      </c>
      <c r="L15" s="4">
        <f>+Model!Y56</f>
        <v>7.5418716987946374E-2</v>
      </c>
      <c r="M15" s="4">
        <f>+Model!Z56</f>
        <v>8.078610570008557E-2</v>
      </c>
      <c r="N15" s="4">
        <f>+Model!AA56</f>
        <v>7.1115664808435453E-2</v>
      </c>
      <c r="O15" s="4">
        <f>+Model!AB56</f>
        <v>6.8306801736613604E-2</v>
      </c>
      <c r="P15" s="4">
        <f>+Model!AC56</f>
        <v>6.9554451861397901E-2</v>
      </c>
    </row>
    <row r="16" spans="2:16">
      <c r="B16" s="1" t="str">
        <f>+Model!B57</f>
        <v>Other restaurant costs</v>
      </c>
      <c r="C16" s="4">
        <f>+Model!P57</f>
        <v>0</v>
      </c>
      <c r="D16" s="4">
        <f>+Model!Q57</f>
        <v>0</v>
      </c>
      <c r="E16" s="4">
        <f>+Model!R57</f>
        <v>0</v>
      </c>
      <c r="F16" s="4">
        <f>+Model!S57</f>
        <v>0</v>
      </c>
      <c r="G16" s="4">
        <f>+Model!T57</f>
        <v>0</v>
      </c>
      <c r="H16" s="4">
        <f>+Model!U57</f>
        <v>8.6683160451233629E-2</v>
      </c>
      <c r="I16" s="4">
        <f>+Model!V57</f>
        <v>8.8207452008876613E-2</v>
      </c>
      <c r="J16" s="4">
        <f>+Model!W57</f>
        <v>8.9580171977744052E-2</v>
      </c>
      <c r="K16" s="4">
        <f>+Model!X57</f>
        <v>9.3229956513442666E-2</v>
      </c>
      <c r="L16" s="4">
        <f>+Model!Y57</f>
        <v>0.1071012595368155</v>
      </c>
      <c r="M16" s="4">
        <f>+Model!Z57</f>
        <v>0.1105791112162974</v>
      </c>
      <c r="N16" s="4">
        <f>+Model!AA57</f>
        <v>0.1202955959113535</v>
      </c>
      <c r="O16" s="4">
        <f>+Model!AB57</f>
        <v>0.13397250361794499</v>
      </c>
      <c r="P16" s="4">
        <f>+Model!AC57</f>
        <v>0.13765366849596733</v>
      </c>
    </row>
    <row r="17" spans="2:16">
      <c r="B17" s="1"/>
    </row>
    <row r="19" spans="2:16">
      <c r="B19" s="4" t="str">
        <f>+Model!B50</f>
        <v>Total Revenue Y/Y</v>
      </c>
      <c r="C19" s="4">
        <f>+Model!P50</f>
        <v>0</v>
      </c>
      <c r="D19" s="4">
        <f>+Model!Q50</f>
        <v>-1.2462253750659014E-2</v>
      </c>
      <c r="E19" s="4">
        <f>+Model!R50</f>
        <v>-4.4847837693539727E-2</v>
      </c>
      <c r="F19" s="4">
        <f>+Model!S50</f>
        <v>0.16327049138675753</v>
      </c>
      <c r="G19" s="4">
        <f>+Model!T50</f>
        <v>0.2247510047178054</v>
      </c>
      <c r="H19" s="4">
        <f>+Model!U50</f>
        <v>0.57138780896672259</v>
      </c>
      <c r="I19" s="4">
        <f>+Model!V50</f>
        <v>0.46262795923462785</v>
      </c>
      <c r="J19" s="4">
        <f>+Model!W50</f>
        <v>0.22720712611927563</v>
      </c>
      <c r="K19" s="4">
        <f>+Model!X50</f>
        <v>0.25911734951947385</v>
      </c>
      <c r="L19" s="4">
        <f>+Model!Y50</f>
        <v>0.11232186078275808</v>
      </c>
      <c r="M19" s="4">
        <f>+Model!Z50</f>
        <v>-8.0989571576903785E-3</v>
      </c>
      <c r="N19" s="4">
        <f>+Model!AA50</f>
        <v>0.12830198984143171</v>
      </c>
      <c r="O19" s="4">
        <f>+Model!AB50</f>
        <v>0.11493872677547134</v>
      </c>
      <c r="P19" s="4">
        <f>+Model!AC50</f>
        <v>-5.6439942112884722E-4</v>
      </c>
    </row>
    <row r="20" spans="2:16">
      <c r="B20" s="4" t="str">
        <f>+Model!B61</f>
        <v xml:space="preserve">Restaurant Margin </v>
      </c>
      <c r="C20" s="4">
        <f>+Model!P61</f>
        <v>9.5480036428126344E-2</v>
      </c>
      <c r="D20" s="4">
        <f>+Model!Q61</f>
        <v>0.10420812503033539</v>
      </c>
      <c r="E20" s="4">
        <f>+Model!R61</f>
        <v>0.12485390517810864</v>
      </c>
      <c r="F20" s="4">
        <f>+Model!S61</f>
        <v>0.13467586929931855</v>
      </c>
      <c r="G20" s="4">
        <f>+Model!T61</f>
        <v>0.16274922423939794</v>
      </c>
      <c r="H20" s="4">
        <f>+Model!U61</f>
        <v>0.17985791134212498</v>
      </c>
      <c r="I20" s="4">
        <f>+Model!V61</f>
        <v>0.17889787240646193</v>
      </c>
      <c r="J20" s="4">
        <f>+Model!W61</f>
        <v>0.16518715225088518</v>
      </c>
      <c r="K20" s="4">
        <f>+Model!X61</f>
        <v>0.17191752618734371</v>
      </c>
      <c r="L20" s="4">
        <f>+Model!Y61</f>
        <v>0.15211954313575007</v>
      </c>
      <c r="M20" s="4">
        <f>+Model!Z61</f>
        <v>0.15905987729614593</v>
      </c>
      <c r="N20" s="4">
        <f>+Model!AA61</f>
        <v>0.18566714803191534</v>
      </c>
      <c r="O20" s="4">
        <f>+Model!AB61</f>
        <v>0.14365412445730824</v>
      </c>
      <c r="P20" s="4">
        <f>+Model!AC61</f>
        <v>0.13787086778355367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A0A2-AC20-8C4F-BB41-B6929D334599}">
  <dimension ref="B2:F19"/>
  <sheetViews>
    <sheetView showGridLines="0" zoomScale="150" workbookViewId="0">
      <selection activeCell="F12" sqref="F12"/>
    </sheetView>
  </sheetViews>
  <sheetFormatPr baseColWidth="10" defaultRowHeight="13"/>
  <cols>
    <col min="2" max="2" width="5.1640625" bestFit="1" customWidth="1"/>
    <col min="3" max="3" width="10.1640625" bestFit="1" customWidth="1"/>
    <col min="4" max="4" width="12.33203125" bestFit="1" customWidth="1"/>
    <col min="5" max="5" width="11" bestFit="1" customWidth="1"/>
  </cols>
  <sheetData>
    <row r="2" spans="2:6" ht="37" customHeight="1">
      <c r="C2" s="41" t="s">
        <v>183</v>
      </c>
      <c r="D2" s="41" t="s">
        <v>184</v>
      </c>
      <c r="E2" s="41" t="s">
        <v>185</v>
      </c>
    </row>
    <row r="3" spans="2:6">
      <c r="B3">
        <v>2023</v>
      </c>
      <c r="C3" s="1">
        <v>350000</v>
      </c>
      <c r="D3" s="1">
        <v>423273</v>
      </c>
      <c r="E3" s="4">
        <f>+C14</f>
        <v>4.3307086614173151E-2</v>
      </c>
      <c r="F3" t="s">
        <v>186</v>
      </c>
    </row>
    <row r="4" spans="2:6">
      <c r="B4">
        <v>2022</v>
      </c>
      <c r="C4" s="1">
        <v>325000</v>
      </c>
      <c r="D4" s="1">
        <v>563050</v>
      </c>
      <c r="E4" s="4">
        <f>+C15</f>
        <v>-0.52136752136752129</v>
      </c>
    </row>
    <row r="5" spans="2:6">
      <c r="B5">
        <v>2021</v>
      </c>
      <c r="C5" s="1">
        <v>275000</v>
      </c>
      <c r="D5" s="1">
        <v>738446</v>
      </c>
      <c r="E5" s="4">
        <f>+C16</f>
        <v>0.56115107913669071</v>
      </c>
    </row>
    <row r="6" spans="2:6">
      <c r="B6">
        <v>2020</v>
      </c>
      <c r="C6" s="1">
        <v>254808</v>
      </c>
      <c r="D6" s="1">
        <v>422007</v>
      </c>
      <c r="E6" s="4">
        <f>+C17</f>
        <v>0.80379746835443044</v>
      </c>
    </row>
    <row r="7" spans="2:6">
      <c r="B7">
        <v>2019</v>
      </c>
      <c r="C7" s="1">
        <v>210000</v>
      </c>
      <c r="D7" s="1">
        <v>357859</v>
      </c>
      <c r="E7" s="4">
        <f>+C18</f>
        <v>-0.39004149377593367</v>
      </c>
    </row>
    <row r="8" spans="2:6">
      <c r="B8">
        <v>2018</v>
      </c>
      <c r="C8" s="1">
        <v>200000</v>
      </c>
      <c r="D8" s="1">
        <v>378490</v>
      </c>
      <c r="E8" s="4">
        <f>+C19</f>
        <v>7.6923076923076872E-2</v>
      </c>
    </row>
    <row r="10" spans="2:6">
      <c r="B10" t="s">
        <v>188</v>
      </c>
    </row>
    <row r="13" spans="2:6">
      <c r="B13" t="s">
        <v>187</v>
      </c>
      <c r="C13">
        <v>2.54</v>
      </c>
    </row>
    <row r="14" spans="2:6">
      <c r="B14">
        <v>2023</v>
      </c>
      <c r="C14" s="4">
        <f>+Main!K3/'CEO Pay'!C13-1</f>
        <v>4.3307086614173151E-2</v>
      </c>
    </row>
    <row r="15" spans="2:6">
      <c r="B15">
        <v>2022</v>
      </c>
      <c r="C15" s="4">
        <f>2.24/D15-1</f>
        <v>-0.52136752136752129</v>
      </c>
      <c r="D15">
        <v>4.68</v>
      </c>
    </row>
    <row r="16" spans="2:6">
      <c r="B16">
        <v>2021</v>
      </c>
      <c r="C16" s="31">
        <f>4.34/D16-1</f>
        <v>0.56115107913669071</v>
      </c>
      <c r="D16">
        <v>2.78</v>
      </c>
    </row>
    <row r="17" spans="2:4">
      <c r="B17">
        <v>2020</v>
      </c>
      <c r="C17" s="4">
        <f>2.85/1.58-1</f>
        <v>0.80379746835443044</v>
      </c>
    </row>
    <row r="18" spans="2:4">
      <c r="B18">
        <v>2019</v>
      </c>
      <c r="C18" s="4">
        <f>1.47/2.41-1</f>
        <v>-0.39004149377593367</v>
      </c>
    </row>
    <row r="19" spans="2:4">
      <c r="B19">
        <v>2018</v>
      </c>
      <c r="C19" s="4">
        <f>2.8/D19-1</f>
        <v>7.6923076923076872E-2</v>
      </c>
      <c r="D19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Charts</vt:lpstr>
      <vt:lpstr>CEO 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2024-11-18T03:05:37Z</dcterms:created>
  <dcterms:modified xsi:type="dcterms:W3CDTF">2024-11-25T05:36:19Z</dcterms:modified>
</cp:coreProperties>
</file>