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3C40D9D9-4B6E-C147-A493-EF76CE2ED414}" xr6:coauthVersionLast="47" xr6:coauthVersionMax="47" xr10:uidLastSave="{00000000-0000-0000-0000-000000000000}"/>
  <bookViews>
    <workbookView xWindow="0" yWindow="500" windowWidth="51200" windowHeight="28300" xr2:uid="{68853114-4A9D-F642-8668-56CE329F4C0C}"/>
  </bookViews>
  <sheets>
    <sheet name="E" sheetId="2" r:id="rId1"/>
    <sheet name="O" sheetId="1" r:id="rId2"/>
    <sheet name="Releases" sheetId="4" r:id="rId3"/>
    <sheet name="Institution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8" i="2" l="1"/>
  <c r="W118" i="2"/>
  <c r="X115" i="2"/>
  <c r="X114" i="2"/>
  <c r="X108" i="2"/>
  <c r="X94" i="2"/>
  <c r="X100" i="2"/>
  <c r="X93" i="2"/>
  <c r="X82" i="2"/>
  <c r="X83" i="2" s="1"/>
  <c r="X81" i="2"/>
  <c r="X78" i="2"/>
  <c r="X61" i="2"/>
  <c r="X51" i="2"/>
  <c r="X12" i="2"/>
  <c r="X13" i="2" s="1"/>
  <c r="X10" i="2"/>
  <c r="X11" i="2" s="1"/>
  <c r="X8" i="2"/>
  <c r="X6" i="2"/>
  <c r="AT19" i="2"/>
  <c r="AT12" i="2"/>
  <c r="AT16" i="2"/>
  <c r="X42" i="2"/>
  <c r="X44" i="2"/>
  <c r="X43" i="2"/>
  <c r="X41" i="2"/>
  <c r="X40" i="2"/>
  <c r="X39" i="2"/>
  <c r="X26" i="2"/>
  <c r="X19" i="2"/>
  <c r="J34" i="1"/>
  <c r="V89" i="2"/>
  <c r="V88" i="2"/>
  <c r="V87" i="2"/>
  <c r="V118" i="2"/>
  <c r="U118" i="2"/>
  <c r="T118" i="2"/>
  <c r="S118" i="2"/>
  <c r="R118" i="2"/>
  <c r="W114" i="2"/>
  <c r="S114" i="2"/>
  <c r="S111" i="2"/>
  <c r="S110" i="2"/>
  <c r="S112" i="2" s="1"/>
  <c r="V108" i="2"/>
  <c r="U108" i="2"/>
  <c r="T108" i="2"/>
  <c r="S108" i="2"/>
  <c r="R108" i="2"/>
  <c r="W111" i="2"/>
  <c r="W110" i="2"/>
  <c r="W112" i="2" s="1"/>
  <c r="W108" i="2"/>
  <c r="V100" i="2"/>
  <c r="U100" i="2"/>
  <c r="T100" i="2"/>
  <c r="S100" i="2"/>
  <c r="R100" i="2"/>
  <c r="W100" i="2"/>
  <c r="BI40" i="2"/>
  <c r="W39" i="2"/>
  <c r="X27" i="2" l="1"/>
  <c r="X30" i="2" s="1"/>
  <c r="X32" i="2" s="1"/>
  <c r="X34" i="2" s="1"/>
  <c r="AT41" i="2"/>
  <c r="F15" i="2"/>
  <c r="J15" i="2"/>
  <c r="N15" i="2"/>
  <c r="R15" i="2"/>
  <c r="V15" i="2"/>
  <c r="O47" i="2"/>
  <c r="AQ10" i="2"/>
  <c r="AP10" i="2"/>
  <c r="AO10" i="2"/>
  <c r="AN10" i="2"/>
  <c r="W10" i="2"/>
  <c r="U10" i="2"/>
  <c r="T10" i="2"/>
  <c r="S10" i="2"/>
  <c r="Q10" i="2"/>
  <c r="P10" i="2"/>
  <c r="O10" i="2"/>
  <c r="N10" i="2"/>
  <c r="M10" i="2"/>
  <c r="L10" i="2"/>
  <c r="K10" i="2"/>
  <c r="I10" i="2"/>
  <c r="H10" i="2"/>
  <c r="G10" i="2"/>
  <c r="E10" i="2"/>
  <c r="D10" i="2"/>
  <c r="C10" i="2"/>
  <c r="AT7" i="2"/>
  <c r="F7" i="2"/>
  <c r="F10" i="2" s="1"/>
  <c r="F5" i="2"/>
  <c r="F4" i="2"/>
  <c r="F3" i="2"/>
  <c r="J5" i="2"/>
  <c r="J4" i="2"/>
  <c r="J3" i="2"/>
  <c r="N7" i="2"/>
  <c r="N5" i="2"/>
  <c r="N4" i="2"/>
  <c r="N3" i="2"/>
  <c r="R7" i="2"/>
  <c r="R10" i="2" s="1"/>
  <c r="R5" i="2"/>
  <c r="R4" i="2"/>
  <c r="R3" i="2"/>
  <c r="V7" i="2"/>
  <c r="V10" i="2" s="1"/>
  <c r="V5" i="2"/>
  <c r="V4" i="2"/>
  <c r="V3" i="2"/>
  <c r="AR6" i="2"/>
  <c r="AR8" i="2" s="1"/>
  <c r="AQ6" i="2"/>
  <c r="AQ8" i="2" s="1"/>
  <c r="AP6" i="2"/>
  <c r="AP8" i="2" s="1"/>
  <c r="AO6" i="2"/>
  <c r="AO8" i="2" s="1"/>
  <c r="AN6" i="2"/>
  <c r="AN8" i="2" s="1"/>
  <c r="AS6" i="2"/>
  <c r="AS8" i="2" s="1"/>
  <c r="U6" i="2"/>
  <c r="U8" i="2" s="1"/>
  <c r="T6" i="2"/>
  <c r="T8" i="2" s="1"/>
  <c r="S6" i="2"/>
  <c r="S8" i="2" s="1"/>
  <c r="Q6" i="2"/>
  <c r="Q8" i="2" s="1"/>
  <c r="P6" i="2"/>
  <c r="P8" i="2" s="1"/>
  <c r="O6" i="2"/>
  <c r="O8" i="2" s="1"/>
  <c r="M6" i="2"/>
  <c r="M8" i="2" s="1"/>
  <c r="L6" i="2"/>
  <c r="L8" i="2" s="1"/>
  <c r="K6" i="2"/>
  <c r="K8" i="2" s="1"/>
  <c r="I6" i="2"/>
  <c r="I8" i="2" s="1"/>
  <c r="H6" i="2"/>
  <c r="H8" i="2" s="1"/>
  <c r="G6" i="2"/>
  <c r="G8" i="2" s="1"/>
  <c r="E6" i="2"/>
  <c r="E8" i="2" s="1"/>
  <c r="D6" i="2"/>
  <c r="D8" i="2" s="1"/>
  <c r="C6" i="2"/>
  <c r="C8" i="2" s="1"/>
  <c r="W6" i="2"/>
  <c r="W8" i="2" s="1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2" i="2"/>
  <c r="C81" i="2"/>
  <c r="W78" i="2"/>
  <c r="W61" i="2"/>
  <c r="W51" i="2"/>
  <c r="AS51" i="2" s="1"/>
  <c r="W41" i="2"/>
  <c r="W40" i="2"/>
  <c r="W26" i="2"/>
  <c r="W19" i="2"/>
  <c r="AR114" i="2"/>
  <c r="AR110" i="2"/>
  <c r="AR112" i="2" s="1"/>
  <c r="AS114" i="2"/>
  <c r="AS110" i="2"/>
  <c r="AS112" i="2" s="1"/>
  <c r="U78" i="2"/>
  <c r="T78" i="2"/>
  <c r="S78" i="2"/>
  <c r="R78" i="2"/>
  <c r="U61" i="2"/>
  <c r="T61" i="2"/>
  <c r="S61" i="2"/>
  <c r="R61" i="2"/>
  <c r="V51" i="2"/>
  <c r="U51" i="2"/>
  <c r="T51" i="2"/>
  <c r="S51" i="2"/>
  <c r="R51" i="2"/>
  <c r="AR51" i="2" s="1"/>
  <c r="Q51" i="2"/>
  <c r="P51" i="2"/>
  <c r="O51" i="2"/>
  <c r="N51" i="2"/>
  <c r="N48" i="2" s="1"/>
  <c r="M51" i="2"/>
  <c r="M48" i="2" s="1"/>
  <c r="Q78" i="2"/>
  <c r="P78" i="2"/>
  <c r="O78" i="2"/>
  <c r="N78" i="2"/>
  <c r="M78" i="2"/>
  <c r="L78" i="2"/>
  <c r="K78" i="2"/>
  <c r="J78" i="2"/>
  <c r="Q61" i="2"/>
  <c r="P61" i="2"/>
  <c r="O61" i="2"/>
  <c r="N61" i="2"/>
  <c r="M61" i="2"/>
  <c r="L61" i="2"/>
  <c r="K61" i="2"/>
  <c r="J61" i="2"/>
  <c r="J51" i="2"/>
  <c r="J48" i="2" s="1"/>
  <c r="K51" i="2"/>
  <c r="K48" i="2" s="1"/>
  <c r="L51" i="2"/>
  <c r="L48" i="2" s="1"/>
  <c r="V41" i="2"/>
  <c r="U41" i="2"/>
  <c r="T41" i="2"/>
  <c r="S41" i="2"/>
  <c r="V40" i="2"/>
  <c r="U40" i="2"/>
  <c r="T40" i="2"/>
  <c r="S40" i="2"/>
  <c r="V39" i="2"/>
  <c r="U39" i="2"/>
  <c r="T39" i="2"/>
  <c r="S39" i="2"/>
  <c r="AS33" i="2"/>
  <c r="AT33" i="2" s="1"/>
  <c r="AU33" i="2" s="1"/>
  <c r="AV33" i="2" s="1"/>
  <c r="AS31" i="2"/>
  <c r="AS29" i="2"/>
  <c r="AS28" i="2"/>
  <c r="AS25" i="2"/>
  <c r="AS24" i="2"/>
  <c r="AS23" i="2"/>
  <c r="AS22" i="2"/>
  <c r="AS21" i="2"/>
  <c r="AS20" i="2"/>
  <c r="AS18" i="2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C41" i="2" s="1"/>
  <c r="AS17" i="2"/>
  <c r="AS16" i="2"/>
  <c r="AR31" i="2"/>
  <c r="AR29" i="2"/>
  <c r="AR28" i="2"/>
  <c r="AR25" i="2"/>
  <c r="AR24" i="2"/>
  <c r="AR23" i="2"/>
  <c r="AR22" i="2"/>
  <c r="AR21" i="2"/>
  <c r="AR20" i="2"/>
  <c r="AR18" i="2"/>
  <c r="AR41" i="2" s="1"/>
  <c r="AR17" i="2"/>
  <c r="AR40" i="2" s="1"/>
  <c r="AR16" i="2"/>
  <c r="AR39" i="2" s="1"/>
  <c r="R41" i="2"/>
  <c r="Q41" i="2"/>
  <c r="R40" i="2"/>
  <c r="Q40" i="2"/>
  <c r="R39" i="2"/>
  <c r="Q39" i="2"/>
  <c r="R26" i="2"/>
  <c r="R19" i="2"/>
  <c r="V26" i="2"/>
  <c r="V19" i="2"/>
  <c r="V43" i="2" s="1"/>
  <c r="S26" i="2"/>
  <c r="S19" i="2"/>
  <c r="S43" i="2" s="1"/>
  <c r="T26" i="2"/>
  <c r="T19" i="2"/>
  <c r="U26" i="2"/>
  <c r="U19" i="2"/>
  <c r="N109" i="2"/>
  <c r="N107" i="2"/>
  <c r="N106" i="2"/>
  <c r="N105" i="2"/>
  <c r="N104" i="2"/>
  <c r="N103" i="2"/>
  <c r="N102" i="2"/>
  <c r="N101" i="2"/>
  <c r="N99" i="2"/>
  <c r="N98" i="2"/>
  <c r="N97" i="2"/>
  <c r="N95" i="2"/>
  <c r="N90" i="2"/>
  <c r="N91" i="2"/>
  <c r="N86" i="2"/>
  <c r="AQ111" i="2"/>
  <c r="AQ108" i="2"/>
  <c r="AQ94" i="2"/>
  <c r="AQ100" i="2" s="1"/>
  <c r="AQ92" i="2"/>
  <c r="AQ93" i="2" s="1"/>
  <c r="O108" i="2"/>
  <c r="O100" i="2"/>
  <c r="O93" i="2"/>
  <c r="O114" i="2" s="1"/>
  <c r="N26" i="2"/>
  <c r="N19" i="2"/>
  <c r="M39" i="2"/>
  <c r="N39" i="2"/>
  <c r="O39" i="2"/>
  <c r="M40" i="2"/>
  <c r="N40" i="2"/>
  <c r="O40" i="2"/>
  <c r="M41" i="2"/>
  <c r="N41" i="2"/>
  <c r="O41" i="2"/>
  <c r="O26" i="2"/>
  <c r="O19" i="2"/>
  <c r="O43" i="2" s="1"/>
  <c r="M19" i="2"/>
  <c r="BI38" i="2"/>
  <c r="AM26" i="2"/>
  <c r="AN26" i="2"/>
  <c r="AO31" i="2"/>
  <c r="AO29" i="2"/>
  <c r="AO28" i="2"/>
  <c r="AO25" i="2"/>
  <c r="AO24" i="2"/>
  <c r="AO22" i="2"/>
  <c r="AO21" i="2"/>
  <c r="AO20" i="2"/>
  <c r="AP31" i="2"/>
  <c r="AP29" i="2"/>
  <c r="AP28" i="2"/>
  <c r="AP25" i="2"/>
  <c r="AP24" i="2"/>
  <c r="AP22" i="2"/>
  <c r="AP21" i="2"/>
  <c r="AP20" i="2"/>
  <c r="BA41" i="2" l="1"/>
  <c r="AV41" i="2"/>
  <c r="BB41" i="2"/>
  <c r="AU41" i="2"/>
  <c r="T43" i="2"/>
  <c r="H12" i="2"/>
  <c r="AW41" i="2"/>
  <c r="W43" i="2"/>
  <c r="AX41" i="2"/>
  <c r="AQ51" i="2"/>
  <c r="N43" i="2"/>
  <c r="U43" i="2"/>
  <c r="AY41" i="2"/>
  <c r="AP51" i="2"/>
  <c r="O48" i="2"/>
  <c r="AZ41" i="2"/>
  <c r="H11" i="2"/>
  <c r="G12" i="2"/>
  <c r="L11" i="2"/>
  <c r="I12" i="2"/>
  <c r="AN12" i="2"/>
  <c r="AU7" i="2"/>
  <c r="AV7" i="2" s="1"/>
  <c r="AW7" i="2" s="1"/>
  <c r="AX7" i="2" s="1"/>
  <c r="AY7" i="2" s="1"/>
  <c r="AZ7" i="2" s="1"/>
  <c r="BA7" i="2" s="1"/>
  <c r="BB7" i="2" s="1"/>
  <c r="BC7" i="2" s="1"/>
  <c r="W11" i="2"/>
  <c r="U12" i="2"/>
  <c r="AS12" i="2"/>
  <c r="AU12" i="2" s="1"/>
  <c r="AV12" i="2" s="1"/>
  <c r="AW12" i="2" s="1"/>
  <c r="AX12" i="2" s="1"/>
  <c r="R11" i="2"/>
  <c r="AT6" i="2"/>
  <c r="AU6" i="2" s="1"/>
  <c r="AV6" i="2" s="1"/>
  <c r="O11" i="2"/>
  <c r="T11" i="2"/>
  <c r="W12" i="2"/>
  <c r="O12" i="2"/>
  <c r="AO12" i="2"/>
  <c r="AP12" i="2"/>
  <c r="V11" i="2"/>
  <c r="E12" i="2"/>
  <c r="M12" i="2"/>
  <c r="AS10" i="2"/>
  <c r="P12" i="2"/>
  <c r="P13" i="2" s="1"/>
  <c r="AQ12" i="2"/>
  <c r="AS9" i="2"/>
  <c r="AR12" i="2"/>
  <c r="AR9" i="2"/>
  <c r="C12" i="2"/>
  <c r="K12" i="2"/>
  <c r="S12" i="2"/>
  <c r="Q12" i="2"/>
  <c r="Q13" i="2" s="1"/>
  <c r="AQ9" i="2"/>
  <c r="M11" i="2"/>
  <c r="U11" i="2"/>
  <c r="D12" i="2"/>
  <c r="L12" i="2"/>
  <c r="T12" i="2"/>
  <c r="AR10" i="2"/>
  <c r="AW33" i="2"/>
  <c r="I11" i="2"/>
  <c r="K11" i="2"/>
  <c r="G11" i="2"/>
  <c r="P11" i="2"/>
  <c r="Q11" i="2"/>
  <c r="S11" i="2"/>
  <c r="J6" i="2"/>
  <c r="S83" i="2"/>
  <c r="V6" i="2"/>
  <c r="V12" i="2" s="1"/>
  <c r="N6" i="2"/>
  <c r="N12" i="2" s="1"/>
  <c r="F6" i="2"/>
  <c r="F12" i="2" s="1"/>
  <c r="R6" i="2"/>
  <c r="R12" i="2" s="1"/>
  <c r="I83" i="2"/>
  <c r="E83" i="2"/>
  <c r="M83" i="2"/>
  <c r="U83" i="2"/>
  <c r="J83" i="2"/>
  <c r="F83" i="2"/>
  <c r="N83" i="2"/>
  <c r="V83" i="2"/>
  <c r="Q83" i="2"/>
  <c r="R83" i="2"/>
  <c r="K83" i="2"/>
  <c r="G83" i="2"/>
  <c r="O83" i="2"/>
  <c r="W83" i="2"/>
  <c r="C83" i="2"/>
  <c r="D83" i="2"/>
  <c r="T83" i="2"/>
  <c r="P83" i="2"/>
  <c r="L83" i="2"/>
  <c r="H83" i="2"/>
  <c r="AQ110" i="2"/>
  <c r="AQ112" i="2" s="1"/>
  <c r="R42" i="2"/>
  <c r="W42" i="2"/>
  <c r="AQ114" i="2"/>
  <c r="AS39" i="2"/>
  <c r="AS40" i="2"/>
  <c r="AS41" i="2"/>
  <c r="W27" i="2"/>
  <c r="S42" i="2"/>
  <c r="O110" i="2"/>
  <c r="O27" i="2"/>
  <c r="O44" i="2" s="1"/>
  <c r="N27" i="2"/>
  <c r="N44" i="2" s="1"/>
  <c r="L41" i="2"/>
  <c r="K41" i="2"/>
  <c r="J41" i="2"/>
  <c r="I41" i="2"/>
  <c r="H41" i="2"/>
  <c r="G41" i="2"/>
  <c r="L40" i="2"/>
  <c r="K40" i="2"/>
  <c r="J40" i="2"/>
  <c r="I40" i="2"/>
  <c r="H40" i="2"/>
  <c r="G40" i="2"/>
  <c r="K39" i="2"/>
  <c r="J39" i="2"/>
  <c r="I39" i="2"/>
  <c r="H39" i="2"/>
  <c r="G39" i="2"/>
  <c r="L39" i="2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IS2" i="2" s="1"/>
  <c r="IT2" i="2" s="1"/>
  <c r="IU2" i="2" s="1"/>
  <c r="C26" i="2"/>
  <c r="C19" i="2"/>
  <c r="D26" i="2"/>
  <c r="D19" i="2"/>
  <c r="F26" i="2"/>
  <c r="F19" i="2"/>
  <c r="J26" i="2"/>
  <c r="J19" i="2"/>
  <c r="E26" i="2"/>
  <c r="E19" i="2"/>
  <c r="I26" i="2"/>
  <c r="I19" i="2"/>
  <c r="G26" i="2"/>
  <c r="G19" i="2"/>
  <c r="K26" i="2"/>
  <c r="K19" i="2"/>
  <c r="K43" i="2" s="1"/>
  <c r="H26" i="2"/>
  <c r="H19" i="2"/>
  <c r="H43" i="2" s="1"/>
  <c r="L26" i="2"/>
  <c r="L19" i="2"/>
  <c r="K16" i="1"/>
  <c r="K17" i="1" s="1"/>
  <c r="J15" i="1"/>
  <c r="J18" i="1" s="1"/>
  <c r="K13" i="2" l="1"/>
  <c r="L43" i="2"/>
  <c r="I43" i="2"/>
  <c r="M43" i="2"/>
  <c r="N42" i="2"/>
  <c r="J43" i="2"/>
  <c r="G43" i="2"/>
  <c r="W13" i="2"/>
  <c r="AU17" i="2"/>
  <c r="AT8" i="2"/>
  <c r="AT10" i="2"/>
  <c r="AW6" i="2"/>
  <c r="AV17" i="2"/>
  <c r="AV40" i="2" s="1"/>
  <c r="J7" i="2"/>
  <c r="J10" i="2" s="1"/>
  <c r="J12" i="2"/>
  <c r="N13" i="2" s="1"/>
  <c r="AY12" i="2"/>
  <c r="AX33" i="2"/>
  <c r="AU8" i="2"/>
  <c r="T13" i="2"/>
  <c r="O13" i="2"/>
  <c r="M13" i="2"/>
  <c r="I13" i="2"/>
  <c r="G13" i="2"/>
  <c r="L13" i="2"/>
  <c r="H13" i="2"/>
  <c r="U13" i="2"/>
  <c r="S13" i="2"/>
  <c r="F8" i="2"/>
  <c r="N8" i="2"/>
  <c r="R8" i="2"/>
  <c r="V8" i="2"/>
  <c r="V13" i="2"/>
  <c r="W30" i="2"/>
  <c r="W32" i="2" s="1"/>
  <c r="W115" i="2" s="1"/>
  <c r="W44" i="2"/>
  <c r="AP19" i="2"/>
  <c r="Q47" i="2"/>
  <c r="O30" i="2"/>
  <c r="N30" i="2"/>
  <c r="N32" i="2" s="1"/>
  <c r="AQ19" i="2"/>
  <c r="M42" i="2"/>
  <c r="O42" i="2"/>
  <c r="J42" i="2"/>
  <c r="K42" i="2"/>
  <c r="AO19" i="2"/>
  <c r="AP26" i="2"/>
  <c r="AO26" i="2"/>
  <c r="L27" i="2"/>
  <c r="L44" i="2" s="1"/>
  <c r="G42" i="2"/>
  <c r="H42" i="2"/>
  <c r="I42" i="2"/>
  <c r="L42" i="2"/>
  <c r="C27" i="2"/>
  <c r="C44" i="2" s="1"/>
  <c r="D27" i="2"/>
  <c r="F27" i="2"/>
  <c r="J27" i="2"/>
  <c r="J44" i="2" s="1"/>
  <c r="E27" i="2"/>
  <c r="I27" i="2"/>
  <c r="I44" i="2" s="1"/>
  <c r="G27" i="2"/>
  <c r="G44" i="2" s="1"/>
  <c r="K27" i="2"/>
  <c r="K44" i="2" s="1"/>
  <c r="H27" i="2"/>
  <c r="J8" i="2" l="1"/>
  <c r="J11" i="2"/>
  <c r="N11" i="2"/>
  <c r="J13" i="2"/>
  <c r="AX6" i="2"/>
  <c r="AW17" i="2"/>
  <c r="AW40" i="2" s="1"/>
  <c r="AU10" i="2"/>
  <c r="AV10" i="2" s="1"/>
  <c r="AW10" i="2" s="1"/>
  <c r="AX10" i="2" s="1"/>
  <c r="AY10" i="2" s="1"/>
  <c r="AZ10" i="2" s="1"/>
  <c r="BA10" i="2" s="1"/>
  <c r="BB10" i="2" s="1"/>
  <c r="BC10" i="2" s="1"/>
  <c r="AZ12" i="2"/>
  <c r="AY33" i="2"/>
  <c r="AV8" i="2"/>
  <c r="R13" i="2"/>
  <c r="W34" i="2"/>
  <c r="W86" i="2"/>
  <c r="W93" i="2" s="1"/>
  <c r="O32" i="2"/>
  <c r="O34" i="2" s="1"/>
  <c r="N34" i="2"/>
  <c r="N115" i="2"/>
  <c r="D30" i="2"/>
  <c r="D32" i="2" s="1"/>
  <c r="D34" i="2" s="1"/>
  <c r="D44" i="2"/>
  <c r="E30" i="2"/>
  <c r="E32" i="2" s="1"/>
  <c r="E34" i="2" s="1"/>
  <c r="E44" i="2"/>
  <c r="F30" i="2"/>
  <c r="F32" i="2" s="1"/>
  <c r="F34" i="2" s="1"/>
  <c r="F44" i="2"/>
  <c r="H30" i="2"/>
  <c r="H32" i="2" s="1"/>
  <c r="H34" i="2" s="1"/>
  <c r="H44" i="2"/>
  <c r="AP42" i="2"/>
  <c r="C30" i="2"/>
  <c r="AO27" i="2"/>
  <c r="AO44" i="2" s="1"/>
  <c r="G30" i="2"/>
  <c r="AP27" i="2"/>
  <c r="AP44" i="2" s="1"/>
  <c r="I30" i="2"/>
  <c r="K30" i="2"/>
  <c r="J30" i="2"/>
  <c r="L30" i="2"/>
  <c r="AY6" i="2" l="1"/>
  <c r="AX17" i="2"/>
  <c r="AX40" i="2" s="1"/>
  <c r="BA12" i="2"/>
  <c r="AZ33" i="2"/>
  <c r="AW8" i="2"/>
  <c r="O115" i="2"/>
  <c r="AP11" i="2"/>
  <c r="L32" i="2"/>
  <c r="I32" i="2"/>
  <c r="I34" i="2" s="1"/>
  <c r="J32" i="2"/>
  <c r="J34" i="2" s="1"/>
  <c r="G32" i="2"/>
  <c r="AP30" i="2"/>
  <c r="K32" i="2"/>
  <c r="K115" i="2" s="1"/>
  <c r="C32" i="2"/>
  <c r="AO30" i="2"/>
  <c r="AZ6" i="2" l="1"/>
  <c r="AY17" i="2"/>
  <c r="AY40" i="2" s="1"/>
  <c r="BB12" i="2"/>
  <c r="BA33" i="2"/>
  <c r="AX8" i="2"/>
  <c r="L34" i="2"/>
  <c r="L115" i="2"/>
  <c r="AQ24" i="2"/>
  <c r="AQ21" i="2"/>
  <c r="C34" i="2"/>
  <c r="AO32" i="2"/>
  <c r="AO115" i="2" s="1"/>
  <c r="G34" i="2"/>
  <c r="AP32" i="2"/>
  <c r="AP115" i="2" s="1"/>
  <c r="K34" i="2"/>
  <c r="BA6" i="2" l="1"/>
  <c r="AZ17" i="2"/>
  <c r="AZ40" i="2" s="1"/>
  <c r="BC12" i="2"/>
  <c r="BB33" i="2"/>
  <c r="AY8" i="2"/>
  <c r="AO33" i="2"/>
  <c r="AO47" i="2" s="1"/>
  <c r="AO48" i="2" s="1"/>
  <c r="AQ42" i="2"/>
  <c r="AQ20" i="2"/>
  <c r="M26" i="2"/>
  <c r="M27" i="2" s="1"/>
  <c r="M44" i="2" s="1"/>
  <c r="AQ22" i="2"/>
  <c r="AQ25" i="2"/>
  <c r="AP33" i="2"/>
  <c r="AP47" i="2" s="1"/>
  <c r="AP48" i="2" s="1"/>
  <c r="BB6" i="2" l="1"/>
  <c r="BA17" i="2"/>
  <c r="BA40" i="2" s="1"/>
  <c r="BC33" i="2"/>
  <c r="AZ8" i="2"/>
  <c r="AQ26" i="2"/>
  <c r="BC6" i="2" l="1"/>
  <c r="BC17" i="2" s="1"/>
  <c r="BB17" i="2"/>
  <c r="BB40" i="2" s="1"/>
  <c r="BA8" i="2"/>
  <c r="AQ27" i="2"/>
  <c r="AQ44" i="2" s="1"/>
  <c r="BC40" i="2" l="1"/>
  <c r="BC8" i="2"/>
  <c r="BB8" i="2"/>
  <c r="Q48" i="2"/>
  <c r="AQ29" i="2"/>
  <c r="AQ28" i="2"/>
  <c r="M30" i="2"/>
  <c r="AQ30" i="2" l="1"/>
  <c r="M32" i="2"/>
  <c r="AQ32" i="2" l="1"/>
  <c r="AQ115" i="2" s="1"/>
  <c r="M115" i="2"/>
  <c r="M34" i="2"/>
  <c r="O118" i="2" l="1"/>
  <c r="N118" i="2"/>
  <c r="AQ31" i="2"/>
  <c r="AQ34" i="2"/>
  <c r="AQ33" i="2" s="1"/>
  <c r="AQ47" i="2" l="1"/>
  <c r="AQ48" i="2" s="1"/>
  <c r="AQ11" i="2" l="1"/>
  <c r="K111" i="2"/>
  <c r="K108" i="2"/>
  <c r="K100" i="2"/>
  <c r="K93" i="2"/>
  <c r="O111" i="2"/>
  <c r="O112" i="2" s="1"/>
  <c r="L111" i="2"/>
  <c r="L108" i="2"/>
  <c r="L100" i="2"/>
  <c r="L93" i="2"/>
  <c r="P111" i="2"/>
  <c r="M111" i="2"/>
  <c r="M108" i="2"/>
  <c r="M100" i="2"/>
  <c r="M93" i="2"/>
  <c r="Q111" i="2"/>
  <c r="Q108" i="2"/>
  <c r="P108" i="2"/>
  <c r="Q100" i="2"/>
  <c r="P100" i="2"/>
  <c r="P93" i="2"/>
  <c r="J20" i="1"/>
  <c r="AN114" i="2"/>
  <c r="AO114" i="2"/>
  <c r="AP114" i="2"/>
  <c r="AL19" i="2"/>
  <c r="AM19" i="2"/>
  <c r="AM27" i="2" s="1"/>
  <c r="AN19" i="2"/>
  <c r="AP41" i="2"/>
  <c r="AP40" i="2"/>
  <c r="AO40" i="2"/>
  <c r="AN40" i="2"/>
  <c r="AP39" i="2"/>
  <c r="AO39" i="2"/>
  <c r="AN39" i="2"/>
  <c r="AQ41" i="2"/>
  <c r="AQ40" i="2"/>
  <c r="AQ39" i="2"/>
  <c r="Q26" i="2"/>
  <c r="Q19" i="2"/>
  <c r="P41" i="2"/>
  <c r="P40" i="2"/>
  <c r="P39" i="2"/>
  <c r="P26" i="2"/>
  <c r="P19" i="2"/>
  <c r="P43" i="2" s="1"/>
  <c r="AN47" i="2"/>
  <c r="AN48" i="2" s="1"/>
  <c r="AM47" i="2"/>
  <c r="AM48" i="2" s="1"/>
  <c r="Q43" i="2" l="1"/>
  <c r="R43" i="2"/>
  <c r="K114" i="2"/>
  <c r="K110" i="2"/>
  <c r="N93" i="2"/>
  <c r="Q27" i="2"/>
  <c r="Q42" i="2"/>
  <c r="M114" i="2"/>
  <c r="M110" i="2"/>
  <c r="M112" i="2" s="1"/>
  <c r="N111" i="2" s="1"/>
  <c r="P114" i="2"/>
  <c r="P110" i="2"/>
  <c r="P112" i="2" s="1"/>
  <c r="L114" i="2"/>
  <c r="L110" i="2"/>
  <c r="L112" i="2" s="1"/>
  <c r="AN27" i="2"/>
  <c r="AN42" i="2"/>
  <c r="AO11" i="2"/>
  <c r="AO42" i="2"/>
  <c r="AM44" i="2"/>
  <c r="AM30" i="2"/>
  <c r="AM32" i="2" s="1"/>
  <c r="P27" i="2"/>
  <c r="AR19" i="2"/>
  <c r="P42" i="2"/>
  <c r="AR26" i="2"/>
  <c r="V27" i="2"/>
  <c r="T42" i="2"/>
  <c r="U42" i="2"/>
  <c r="AS19" i="2"/>
  <c r="V42" i="2"/>
  <c r="AS26" i="2"/>
  <c r="U27" i="2"/>
  <c r="R27" i="2"/>
  <c r="S27" i="2"/>
  <c r="T27" i="2"/>
  <c r="N108" i="2"/>
  <c r="N94" i="2"/>
  <c r="N100" i="2"/>
  <c r="N92" i="2"/>
  <c r="AS42" i="2" l="1"/>
  <c r="AR11" i="2"/>
  <c r="AR42" i="2"/>
  <c r="N114" i="2"/>
  <c r="AN30" i="2"/>
  <c r="AN32" i="2" s="1"/>
  <c r="AN115" i="2" s="1"/>
  <c r="AN44" i="2"/>
  <c r="Q30" i="2"/>
  <c r="Q32" i="2" s="1"/>
  <c r="Q44" i="2"/>
  <c r="K112" i="2"/>
  <c r="N110" i="2"/>
  <c r="N112" i="2" s="1"/>
  <c r="T44" i="2"/>
  <c r="T30" i="2"/>
  <c r="T32" i="2" s="1"/>
  <c r="T115" i="2" s="1"/>
  <c r="P44" i="2"/>
  <c r="P30" i="2"/>
  <c r="AR27" i="2"/>
  <c r="AR44" i="2" s="1"/>
  <c r="R44" i="2"/>
  <c r="R30" i="2"/>
  <c r="R32" i="2" s="1"/>
  <c r="R115" i="2" s="1"/>
  <c r="U44" i="2"/>
  <c r="U30" i="2"/>
  <c r="U32" i="2" s="1"/>
  <c r="U115" i="2" s="1"/>
  <c r="V30" i="2"/>
  <c r="V32" i="2" s="1"/>
  <c r="V115" i="2" s="1"/>
  <c r="V44" i="2"/>
  <c r="S44" i="2"/>
  <c r="S30" i="2"/>
  <c r="AS27" i="2"/>
  <c r="AS44" i="2" s="1"/>
  <c r="AS11" i="2" l="1"/>
  <c r="R34" i="2"/>
  <c r="R86" i="2"/>
  <c r="R93" i="2" s="1"/>
  <c r="V34" i="2"/>
  <c r="V86" i="2"/>
  <c r="V93" i="2" s="1"/>
  <c r="P32" i="2"/>
  <c r="AR30" i="2"/>
  <c r="T34" i="2"/>
  <c r="T86" i="2"/>
  <c r="T93" i="2" s="1"/>
  <c r="U34" i="2"/>
  <c r="U86" i="2"/>
  <c r="U93" i="2" s="1"/>
  <c r="Q115" i="2"/>
  <c r="Q86" i="2"/>
  <c r="Q93" i="2" s="1"/>
  <c r="Q34" i="2"/>
  <c r="S32" i="2"/>
  <c r="AS30" i="2"/>
  <c r="S86" i="2" l="1"/>
  <c r="S93" i="2" s="1"/>
  <c r="S115" i="2"/>
  <c r="P34" i="2"/>
  <c r="AR34" i="2" s="1"/>
  <c r="P115" i="2"/>
  <c r="AR32" i="2"/>
  <c r="Q114" i="2"/>
  <c r="Q110" i="2"/>
  <c r="Q112" i="2" s="1"/>
  <c r="S34" i="2"/>
  <c r="AS34" i="2" s="1"/>
  <c r="AS32" i="2"/>
  <c r="BI43" i="2" s="1"/>
  <c r="AR115" i="2" l="1"/>
  <c r="AR33" i="2"/>
  <c r="Q118" i="2"/>
  <c r="P118" i="2"/>
  <c r="AS115" i="2"/>
  <c r="AT39" i="2" l="1"/>
  <c r="AT17" i="2" l="1"/>
  <c r="AT40" i="2" l="1"/>
  <c r="AU40" i="2"/>
  <c r="AT42" i="2"/>
  <c r="AT20" i="2"/>
  <c r="AT21" i="2" l="1"/>
  <c r="AT22" i="2"/>
  <c r="AT23" i="2"/>
  <c r="AT24" i="2"/>
  <c r="AT25" i="2"/>
  <c r="AT26" i="2" l="1"/>
  <c r="AT27" i="2" s="1"/>
  <c r="AT29" i="2" s="1"/>
  <c r="BC16" i="2"/>
  <c r="BC19" i="2" s="1"/>
  <c r="BB16" i="2"/>
  <c r="BB19" i="2" s="1"/>
  <c r="BA16" i="2"/>
  <c r="BA19" i="2" s="1"/>
  <c r="AZ16" i="2"/>
  <c r="AZ19" i="2" s="1"/>
  <c r="AY16" i="2"/>
  <c r="AY19" i="2" s="1"/>
  <c r="AX16" i="2"/>
  <c r="AX19" i="2" s="1"/>
  <c r="AW16" i="2"/>
  <c r="AW19" i="2" s="1"/>
  <c r="AV16" i="2"/>
  <c r="AV19" i="2" s="1"/>
  <c r="AU16" i="2"/>
  <c r="AU19" i="2" s="1"/>
  <c r="BB39" i="2" l="1"/>
  <c r="AT28" i="2"/>
  <c r="AX39" i="2"/>
  <c r="AY39" i="2"/>
  <c r="AV39" i="2"/>
  <c r="BC39" i="2"/>
  <c r="AZ39" i="2"/>
  <c r="AW39" i="2"/>
  <c r="BA39" i="2"/>
  <c r="AW42" i="2"/>
  <c r="BB42" i="2"/>
  <c r="AX42" i="2"/>
  <c r="AY42" i="2"/>
  <c r="BC42" i="2"/>
  <c r="AU42" i="2"/>
  <c r="AU20" i="2"/>
  <c r="AV20" i="2" s="1"/>
  <c r="AZ42" i="2"/>
  <c r="AU39" i="2"/>
  <c r="BA42" i="2"/>
  <c r="AV42" i="2"/>
  <c r="AT30" i="2"/>
  <c r="AT44" i="2"/>
  <c r="AT31" i="2" l="1"/>
  <c r="AT32" i="2" s="1"/>
  <c r="AU22" i="2"/>
  <c r="AU23" i="2"/>
  <c r="AV23" i="2" s="1"/>
  <c r="AU25" i="2"/>
  <c r="AV25" i="2" s="1"/>
  <c r="AU21" i="2"/>
  <c r="AV21" i="2" s="1"/>
  <c r="AU24" i="2"/>
  <c r="AV24" i="2" s="1"/>
  <c r="AW20" i="2"/>
  <c r="BI44" i="2" l="1"/>
  <c r="AT34" i="2"/>
  <c r="AT51" i="2"/>
  <c r="AU26" i="2"/>
  <c r="AU27" i="2" s="1"/>
  <c r="AU29" i="2" s="1"/>
  <c r="AU44" i="2"/>
  <c r="AU28" i="2"/>
  <c r="AV22" i="2"/>
  <c r="AV26" i="2" s="1"/>
  <c r="AV27" i="2" s="1"/>
  <c r="AW23" i="2"/>
  <c r="AW21" i="2"/>
  <c r="AW25" i="2"/>
  <c r="AW24" i="2"/>
  <c r="AX20" i="2"/>
  <c r="AU30" i="2" l="1"/>
  <c r="AU31" i="2" s="1"/>
  <c r="AU32" i="2" s="1"/>
  <c r="AV29" i="2"/>
  <c r="AV28" i="2"/>
  <c r="AV30" i="2" s="1"/>
  <c r="AV44" i="2"/>
  <c r="AX25" i="2"/>
  <c r="AX23" i="2"/>
  <c r="AX24" i="2"/>
  <c r="AX21" i="2"/>
  <c r="AY20" i="2"/>
  <c r="AW22" i="2"/>
  <c r="AW26" i="2" s="1"/>
  <c r="AW27" i="2" s="1"/>
  <c r="AU51" i="2" l="1"/>
  <c r="BI45" i="2"/>
  <c r="BI46" i="2"/>
  <c r="AX22" i="2"/>
  <c r="AY22" i="2" s="1"/>
  <c r="AX26" i="2"/>
  <c r="AX27" i="2" s="1"/>
  <c r="AX44" i="2" s="1"/>
  <c r="AV31" i="2"/>
  <c r="AV32" i="2" s="1"/>
  <c r="AU34" i="2"/>
  <c r="AW28" i="2"/>
  <c r="AW29" i="2"/>
  <c r="AW44" i="2"/>
  <c r="AY21" i="2"/>
  <c r="AY24" i="2"/>
  <c r="AY23" i="2"/>
  <c r="AY25" i="2"/>
  <c r="AZ20" i="2"/>
  <c r="AX28" i="2" l="1"/>
  <c r="AY26" i="2"/>
  <c r="AY27" i="2" s="1"/>
  <c r="AV51" i="2"/>
  <c r="AV34" i="2"/>
  <c r="AX29" i="2"/>
  <c r="AX30" i="2" s="1"/>
  <c r="AW30" i="2"/>
  <c r="AY28" i="2"/>
  <c r="AZ24" i="2"/>
  <c r="AZ25" i="2"/>
  <c r="AZ23" i="2"/>
  <c r="AZ21" i="2"/>
  <c r="AZ22" i="2"/>
  <c r="BA20" i="2"/>
  <c r="AY29" i="2" l="1"/>
  <c r="AY44" i="2"/>
  <c r="AZ26" i="2"/>
  <c r="AZ27" i="2" s="1"/>
  <c r="AZ29" i="2" s="1"/>
  <c r="AX31" i="2"/>
  <c r="AX32" i="2"/>
  <c r="AX34" i="2" s="1"/>
  <c r="AY30" i="2"/>
  <c r="AW31" i="2"/>
  <c r="AW32" i="2" s="1"/>
  <c r="AZ28" i="2"/>
  <c r="BA25" i="2"/>
  <c r="BA22" i="2"/>
  <c r="BA24" i="2"/>
  <c r="BA23" i="2"/>
  <c r="BA21" i="2"/>
  <c r="BB20" i="2"/>
  <c r="AZ44" i="2" l="1"/>
  <c r="AW51" i="2"/>
  <c r="AX51" i="2" s="1"/>
  <c r="AZ30" i="2"/>
  <c r="AW34" i="2"/>
  <c r="AZ31" i="2"/>
  <c r="AZ32" i="2" s="1"/>
  <c r="AZ34" i="2" s="1"/>
  <c r="BA26" i="2"/>
  <c r="BA27" i="2" s="1"/>
  <c r="BA28" i="2" s="1"/>
  <c r="AY31" i="2"/>
  <c r="AY32" i="2" s="1"/>
  <c r="AY34" i="2" s="1"/>
  <c r="BB25" i="2"/>
  <c r="BB21" i="2"/>
  <c r="BB24" i="2"/>
  <c r="BB23" i="2"/>
  <c r="BB22" i="2"/>
  <c r="BC20" i="2"/>
  <c r="AY51" i="2" l="1"/>
  <c r="AZ51" i="2" s="1"/>
  <c r="BB26" i="2"/>
  <c r="BB27" i="2" s="1"/>
  <c r="BA44" i="2"/>
  <c r="BA29" i="2"/>
  <c r="BA30" i="2" s="1"/>
  <c r="BB28" i="2"/>
  <c r="BB29" i="2"/>
  <c r="BB44" i="2"/>
  <c r="BC21" i="2"/>
  <c r="BC23" i="2"/>
  <c r="BC22" i="2"/>
  <c r="BC25" i="2"/>
  <c r="BC24" i="2"/>
  <c r="BA31" i="2" l="1"/>
  <c r="BA32" i="2" s="1"/>
  <c r="BA51" i="2" s="1"/>
  <c r="BB30" i="2"/>
  <c r="BC26" i="2"/>
  <c r="BC27" i="2" s="1"/>
  <c r="BC44" i="2" s="1"/>
  <c r="BC28" i="2" l="1"/>
  <c r="BC29" i="2"/>
  <c r="BB31" i="2"/>
  <c r="BB32" i="2"/>
  <c r="BB34" i="2" s="1"/>
  <c r="BA34" i="2"/>
  <c r="BC30" i="2" l="1"/>
  <c r="BC31" i="2" s="1"/>
  <c r="BC32" i="2" s="1"/>
  <c r="BB51" i="2"/>
  <c r="BD32" i="2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GK32" i="2" s="1"/>
  <c r="GL32" i="2" s="1"/>
  <c r="GM32" i="2" s="1"/>
  <c r="GN32" i="2" s="1"/>
  <c r="GO32" i="2" s="1"/>
  <c r="GP32" i="2" s="1"/>
  <c r="GQ32" i="2" s="1"/>
  <c r="GR32" i="2" s="1"/>
  <c r="GS32" i="2" s="1"/>
  <c r="GT32" i="2" s="1"/>
  <c r="GU32" i="2" s="1"/>
  <c r="GV32" i="2" s="1"/>
  <c r="GW32" i="2" s="1"/>
  <c r="GX32" i="2" s="1"/>
  <c r="GY32" i="2" s="1"/>
  <c r="GZ32" i="2" s="1"/>
  <c r="HA32" i="2" s="1"/>
  <c r="HB32" i="2" s="1"/>
  <c r="HC32" i="2" s="1"/>
  <c r="HD32" i="2" s="1"/>
  <c r="HE32" i="2" s="1"/>
  <c r="HF32" i="2" s="1"/>
  <c r="HG32" i="2" s="1"/>
  <c r="HH32" i="2" s="1"/>
  <c r="HI32" i="2" s="1"/>
  <c r="HJ32" i="2" s="1"/>
  <c r="HK32" i="2" s="1"/>
  <c r="HL32" i="2" s="1"/>
  <c r="HM32" i="2" s="1"/>
  <c r="HN32" i="2" s="1"/>
  <c r="HO32" i="2" s="1"/>
  <c r="HP32" i="2" s="1"/>
  <c r="HQ32" i="2" s="1"/>
  <c r="HR32" i="2" s="1"/>
  <c r="HS32" i="2" s="1"/>
  <c r="HT32" i="2" s="1"/>
  <c r="HU32" i="2" s="1"/>
  <c r="HV32" i="2" s="1"/>
  <c r="HW32" i="2" s="1"/>
  <c r="HX32" i="2" s="1"/>
  <c r="BC34" i="2"/>
  <c r="BC51" i="2" l="1"/>
  <c r="HY32" i="2"/>
  <c r="HZ32" i="2" s="1"/>
  <c r="IA32" i="2" s="1"/>
  <c r="IB32" i="2" s="1"/>
  <c r="IC32" i="2" l="1"/>
  <c r="ID32" i="2" s="1"/>
  <c r="IE32" i="2" s="1"/>
  <c r="IF32" i="2" s="1"/>
  <c r="IG32" i="2" s="1"/>
  <c r="IH32" i="2" s="1"/>
  <c r="II32" i="2" s="1"/>
  <c r="IJ32" i="2" s="1"/>
  <c r="IK32" i="2" s="1"/>
  <c r="IL32" i="2" s="1"/>
  <c r="IM32" i="2" s="1"/>
  <c r="IN32" i="2" s="1"/>
  <c r="IO32" i="2" s="1"/>
  <c r="IP32" i="2" s="1"/>
  <c r="IQ32" i="2" s="1"/>
  <c r="IR32" i="2" s="1"/>
  <c r="IS32" i="2" s="1"/>
  <c r="IT32" i="2" s="1"/>
  <c r="IU32" i="2" s="1"/>
  <c r="BI37" i="2"/>
  <c r="BI39" i="2" s="1"/>
  <c r="BI4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tc={554D186D-D226-EA44-84B5-6E79EEECB50B}</author>
    <author>tc={7C496C6C-A457-A94F-A1E1-B9EECC10CACA}</author>
  </authors>
  <commentList>
    <comment ref="W15" authorId="0" shapeId="0" xr:uid="{554D186D-D226-EA44-84B5-6E79EEECB50B}">
      <text>
        <t>[Threaded comment]
Your version of Excel allows you to read this threaded comment; however, any edits to it will get removed if the file is opened in a newer version of Excel. Learn more: https://go.microsoft.com/fwlink/?linkid=870924
Comment:
    Movable slowdown …. Indicative of economic slowdown or a 1 off?</t>
      </text>
    </comment>
    <comment ref="AT19" authorId="1" shapeId="0" xr:uid="{7C496C6C-A457-A94F-A1E1-B9EECC10CACA}">
      <text>
        <t>[Threaded comment]
Your version of Excel allows you to read this threaded comment; however, any edits to it will get removed if the file is opened in a newer version of Excel. Learn more: https://go.microsoft.com/fwlink/?linkid=870924
Comment:
    1% growth here assumed to come from old units</t>
      </text>
    </comment>
  </commentList>
</comments>
</file>

<file path=xl/sharedStrings.xml><?xml version="1.0" encoding="utf-8"?>
<sst xmlns="http://schemas.openxmlformats.org/spreadsheetml/2006/main" count="213" uniqueCount="199">
  <si>
    <t>Price</t>
  </si>
  <si>
    <t>Shares</t>
  </si>
  <si>
    <t>MC</t>
  </si>
  <si>
    <t>Cash</t>
  </si>
  <si>
    <t>Debt</t>
  </si>
  <si>
    <t>EV</t>
  </si>
  <si>
    <t>Q221</t>
  </si>
  <si>
    <t>PR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</si>
  <si>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</si>
  <si>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</si>
  <si>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</si>
  <si>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</si>
  <si>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</si>
  <si>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</si>
  <si>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</si>
  <si>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</si>
  <si>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</si>
  <si>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Q321</t>
  </si>
  <si>
    <t>Q421</t>
  </si>
  <si>
    <t xml:space="preserve">Sales by company op restaurants </t>
  </si>
  <si>
    <t>Revenues by franchisees</t>
  </si>
  <si>
    <t xml:space="preserve">Other revenues </t>
  </si>
  <si>
    <t xml:space="preserve">Total Revenue </t>
  </si>
  <si>
    <t>Franchise expenses</t>
  </si>
  <si>
    <t>Other restaurant expenses</t>
  </si>
  <si>
    <t>D&amp;A</t>
  </si>
  <si>
    <t>Other</t>
  </si>
  <si>
    <t xml:space="preserve">Other income </t>
  </si>
  <si>
    <t>Total operating costs + E</t>
  </si>
  <si>
    <t xml:space="preserve">Operating Income </t>
  </si>
  <si>
    <t>Interest expense</t>
  </si>
  <si>
    <t>Nonoperating expense</t>
  </si>
  <si>
    <t>Income Before Taxes</t>
  </si>
  <si>
    <t>Taxes</t>
  </si>
  <si>
    <t xml:space="preserve">Net Income </t>
  </si>
  <si>
    <t>Diluted</t>
  </si>
  <si>
    <t>EPS</t>
  </si>
  <si>
    <t>Sales by Co. owned Y/Y</t>
  </si>
  <si>
    <t>Sales  by Franchise Y/Y</t>
  </si>
  <si>
    <t>Other Y/Y</t>
  </si>
  <si>
    <t>Total Revenue Y/Y</t>
  </si>
  <si>
    <t>Maturity</t>
  </si>
  <si>
    <t>Discount</t>
  </si>
  <si>
    <t>NPV</t>
  </si>
  <si>
    <t>Estimate</t>
  </si>
  <si>
    <t>Current</t>
  </si>
  <si>
    <t>Delta</t>
  </si>
  <si>
    <t xml:space="preserve">Cash </t>
  </si>
  <si>
    <t xml:space="preserve">Total Assets </t>
  </si>
  <si>
    <t>Accounts/Notes recievable</t>
  </si>
  <si>
    <t xml:space="preserve">Inventories </t>
  </si>
  <si>
    <t>Prepaid expenses</t>
  </si>
  <si>
    <t>Investments in advanced affiliates</t>
  </si>
  <si>
    <t>Goodwill</t>
  </si>
  <si>
    <t xml:space="preserve">Miscellaneous </t>
  </si>
  <si>
    <t>Lease right of use</t>
  </si>
  <si>
    <t>Net, PP&amp;E</t>
  </si>
  <si>
    <t xml:space="preserve">Accounts payable </t>
  </si>
  <si>
    <t>Lease liability</t>
  </si>
  <si>
    <t>Income taxes</t>
  </si>
  <si>
    <t>Other taxes</t>
  </si>
  <si>
    <t xml:space="preserve">Accrued interest </t>
  </si>
  <si>
    <t>Accrued payroll &amp; other liabilities</t>
  </si>
  <si>
    <t xml:space="preserve">Current debt </t>
  </si>
  <si>
    <t xml:space="preserve">Equity </t>
  </si>
  <si>
    <t>TL +E</t>
  </si>
  <si>
    <t xml:space="preserve">Long Term Debt </t>
  </si>
  <si>
    <t>Long Term Lease</t>
  </si>
  <si>
    <t>Deferred income taxes</t>
  </si>
  <si>
    <t xml:space="preserve">Contains </t>
  </si>
  <si>
    <t xml:space="preserve">Leadership Updates. </t>
  </si>
  <si>
    <t>Announcing Saweetie Marketing Effort (Merchandise)</t>
  </si>
  <si>
    <t xml:space="preserve">Menu innovation…..donuts to breakfast menu </t>
  </si>
  <si>
    <t>Wage hikes.</t>
  </si>
  <si>
    <t>Q122</t>
  </si>
  <si>
    <t>Q222</t>
  </si>
  <si>
    <t>Q322</t>
  </si>
  <si>
    <t>Q422</t>
  </si>
  <si>
    <t>Dividend payable</t>
  </si>
  <si>
    <t>NI</t>
  </si>
  <si>
    <t>Changes in WC</t>
  </si>
  <si>
    <t>CFFO</t>
  </si>
  <si>
    <t>Capex</t>
  </si>
  <si>
    <t>Acquisitions</t>
  </si>
  <si>
    <t>Sales of restaurants</t>
  </si>
  <si>
    <t>Sales of PPE</t>
  </si>
  <si>
    <t>CFFI</t>
  </si>
  <si>
    <t>Short term borrowings</t>
  </si>
  <si>
    <t>Long term financing issues</t>
  </si>
  <si>
    <t>Long term financing payments</t>
  </si>
  <si>
    <t>Treasury stock purchases</t>
  </si>
  <si>
    <t>Common stock dividends</t>
  </si>
  <si>
    <t>Proceeds from stock options</t>
  </si>
  <si>
    <t>FX</t>
  </si>
  <si>
    <t>Cash Increase</t>
  </si>
  <si>
    <t>FCF</t>
  </si>
  <si>
    <t>Founded</t>
  </si>
  <si>
    <t>CEO</t>
  </si>
  <si>
    <t>Chris Kempczinski</t>
  </si>
  <si>
    <t>Dividend</t>
  </si>
  <si>
    <t>OM%</t>
  </si>
  <si>
    <t>Growth Pillars</t>
  </si>
  <si>
    <t>Core Commits</t>
  </si>
  <si>
    <t>3Ds</t>
  </si>
  <si>
    <t>Maximizing Marketing</t>
  </si>
  <si>
    <t>Brand/Affordability</t>
  </si>
  <si>
    <t>Burger, Chicken, Coffee focus</t>
  </si>
  <si>
    <t>Delivery, Digital, Drive Thru</t>
  </si>
  <si>
    <t xml:space="preserve">Quarter End Price </t>
  </si>
  <si>
    <t xml:space="preserve">Net Cash </t>
  </si>
  <si>
    <t>Deferred revenues</t>
  </si>
  <si>
    <t>LT Taxes</t>
  </si>
  <si>
    <t>Other LT Liab</t>
  </si>
  <si>
    <t>Div-Y</t>
  </si>
  <si>
    <t>IR</t>
  </si>
  <si>
    <t>https://corporate.mcdonalds.com/corpmcd/investors.html</t>
  </si>
  <si>
    <t>Addt'l News</t>
  </si>
  <si>
    <t>Holiday Deals</t>
  </si>
  <si>
    <t>Cash @ Begin</t>
  </si>
  <si>
    <t xml:space="preserve">Cash @ End </t>
  </si>
  <si>
    <t>Gain on sale</t>
  </si>
  <si>
    <t>.</t>
  </si>
  <si>
    <t xml:space="preserve">CEO </t>
  </si>
  <si>
    <t>Richard/Maurice Mcdonald ---&gt; Ray Kroc</t>
  </si>
  <si>
    <t xml:space="preserve">History </t>
  </si>
  <si>
    <t>https://en.wikipedia.org/wiki/Richard_and_Maurice_McDonald</t>
  </si>
  <si>
    <t>HQ</t>
  </si>
  <si>
    <t>Chicago IL</t>
  </si>
  <si>
    <t xml:space="preserve">Movie </t>
  </si>
  <si>
    <t>https://en.wikipedia.org/wiki/The_Founder</t>
  </si>
  <si>
    <t>Q323</t>
  </si>
  <si>
    <t>Q123</t>
  </si>
  <si>
    <t>Q223</t>
  </si>
  <si>
    <t>Q423</t>
  </si>
  <si>
    <t>Q124</t>
  </si>
  <si>
    <t>Q224</t>
  </si>
  <si>
    <t>Q324</t>
  </si>
  <si>
    <t>Q424</t>
  </si>
  <si>
    <t>$M</t>
  </si>
  <si>
    <t>Transcript</t>
  </si>
  <si>
    <t xml:space="preserve">Q423 </t>
  </si>
  <si>
    <t xml:space="preserve"> 11/1/22</t>
  </si>
  <si>
    <t xml:space="preserve"> 8/24/21</t>
  </si>
  <si>
    <t xml:space="preserve"> 8/23/21</t>
  </si>
  <si>
    <t xml:space="preserve"> 8/17/21</t>
  </si>
  <si>
    <t xml:space="preserve"> 5/13/21</t>
  </si>
  <si>
    <t>Q4 results</t>
  </si>
  <si>
    <t>Acquire carlyle's stake</t>
  </si>
  <si>
    <t>12//6/2023</t>
  </si>
  <si>
    <t xml:space="preserve">Generative Ai Solutions w/ Google cloud </t>
  </si>
  <si>
    <t xml:space="preserve">Impact </t>
  </si>
  <si>
    <t xml:space="preserve">California Impact report </t>
  </si>
  <si>
    <t>Catalyst</t>
  </si>
  <si>
    <t>Cosmcs</t>
  </si>
  <si>
    <t>Competing with Starbuckas, Dunkin, other Café's/bakeries</t>
  </si>
  <si>
    <t>Brand loyalty</t>
  </si>
  <si>
    <t>in Millions</t>
  </si>
  <si>
    <t>Total Debt</t>
  </si>
  <si>
    <t>Net Debt</t>
  </si>
  <si>
    <t>Conventional Franchised</t>
  </si>
  <si>
    <t>Developmental Licensed</t>
  </si>
  <si>
    <t>Foreign Affiliated</t>
  </si>
  <si>
    <t xml:space="preserve">Total Franchised </t>
  </si>
  <si>
    <t>Company Owned</t>
  </si>
  <si>
    <t xml:space="preserve">Total Systemwide Restaurants </t>
  </si>
  <si>
    <t>Revenue Per Franchises</t>
  </si>
  <si>
    <t>Revenue Per Co Owned</t>
  </si>
  <si>
    <t>Revenue Per Co Owned y/y</t>
  </si>
  <si>
    <t>Revenue Per Franchises y/y</t>
  </si>
  <si>
    <t>Co op expenses</t>
  </si>
  <si>
    <t xml:space="preserve">Global Comparable Sales </t>
  </si>
  <si>
    <t>Holder</t>
  </si>
  <si>
    <t>Vanguard</t>
  </si>
  <si>
    <t>BlackRock</t>
  </si>
  <si>
    <t>State Street</t>
  </si>
  <si>
    <t>JP Morgan</t>
  </si>
  <si>
    <t xml:space="preserve">Geode Capital </t>
  </si>
  <si>
    <t>Morgan Stanley</t>
  </si>
  <si>
    <t>Welling MGT</t>
  </si>
  <si>
    <t xml:space="preserve">Northern Trust </t>
  </si>
  <si>
    <t>Wells fargo</t>
  </si>
  <si>
    <t>Royal Bank of Canada</t>
  </si>
  <si>
    <t>UBS</t>
  </si>
  <si>
    <t>Bank of NY Mellon</t>
  </si>
  <si>
    <t>Legal &amp; Gen Group PLC</t>
  </si>
  <si>
    <t>Price T Rowe</t>
  </si>
  <si>
    <t>Gallagher Fid Adviors</t>
  </si>
  <si>
    <t>Capital research Global Inv</t>
  </si>
  <si>
    <t>Schwab</t>
  </si>
  <si>
    <t>Total Revenue Q/Q</t>
  </si>
  <si>
    <t>EV/2023E</t>
  </si>
  <si>
    <t>EV/2024E</t>
  </si>
  <si>
    <t>EV/2025E</t>
  </si>
  <si>
    <t>EV/2026E</t>
  </si>
  <si>
    <t>Deferred I/T</t>
  </si>
  <si>
    <t>SBC</t>
  </si>
  <si>
    <t>Investments</t>
  </si>
  <si>
    <t xml:space="preserve">Founded </t>
  </si>
  <si>
    <t>Founder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</si>
</sst>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"/>
    <numFmt numFmtId="166" formatCode="0\x"/>
    <numFmt numFmtId="167" formatCode="0.0"/>
    <numFmt numFmtId="168" formatCode="0\X"/>
    <numFmt numFmtId="169" formatCode="yyyy\-mm\-dd;@"/>
  </numFmts>
  <fonts count="14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3" fontId="3" fillId="0" borderId="0" xfId="0" applyNumberFormat="1" applyFont="1"/>
    <xf numFmtId="3" fontId="4" fillId="0" borderId="0" xfId="2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4" fontId="4" fillId="0" borderId="0" xfId="2" applyNumberFormat="1" applyAlignment="1">
      <alignment horizontal="left"/>
    </xf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10" fontId="0" fillId="0" borderId="7" xfId="0" applyNumberFormat="1" applyBorder="1"/>
    <xf numFmtId="3" fontId="0" fillId="0" borderId="8" xfId="0" applyNumberFormat="1" applyBorder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1" fontId="5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0" borderId="0" xfId="0" applyNumberFormat="1" applyFont="1" applyAlignment="1">
      <alignment horizontal="left"/>
    </xf>
    <xf numFmtId="9" fontId="6" fillId="0" borderId="0" xfId="0" applyNumberFormat="1" applyFont="1"/>
    <xf numFmtId="9" fontId="6" fillId="0" borderId="0" xfId="0" applyNumberFormat="1" applyFont="1" applyAlignment="1">
      <alignment horizontal="left"/>
    </xf>
    <xf numFmtId="3" fontId="6" fillId="0" borderId="0" xfId="0" applyNumberFormat="1" applyFont="1"/>
    <xf numFmtId="165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7" fontId="5" fillId="0" borderId="0" xfId="0" applyNumberFormat="1" applyFont="1"/>
    <xf numFmtId="167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9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9" fontId="11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9" fontId="5" fillId="0" borderId="1" xfId="0" applyNumberFormat="1" applyFont="1" applyBorder="1" applyAlignment="1">
      <alignment horizontal="left"/>
    </xf>
    <xf numFmtId="9" fontId="5" fillId="0" borderId="3" xfId="1" applyFont="1" applyFill="1" applyBorder="1" applyAlignment="1">
      <alignment horizontal="right"/>
    </xf>
    <xf numFmtId="9" fontId="5" fillId="0" borderId="4" xfId="0" applyNumberFormat="1" applyFont="1" applyBorder="1" applyAlignment="1">
      <alignment horizontal="left"/>
    </xf>
    <xf numFmtId="3" fontId="5" fillId="0" borderId="5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9" fontId="6" fillId="0" borderId="5" xfId="0" applyNumberFormat="1" applyFont="1" applyBorder="1" applyAlignment="1">
      <alignment horizontal="right"/>
    </xf>
    <xf numFmtId="9" fontId="6" fillId="0" borderId="4" xfId="0" applyNumberFormat="1" applyFont="1" applyBorder="1" applyAlignment="1">
      <alignment horizontal="right"/>
    </xf>
    <xf numFmtId="168" fontId="5" fillId="0" borderId="5" xfId="0" applyNumberFormat="1" applyFont="1" applyBorder="1" applyAlignment="1">
      <alignment horizontal="right"/>
    </xf>
    <xf numFmtId="168" fontId="5" fillId="0" borderId="8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4" fontId="5" fillId="0" borderId="5" xfId="1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center"/>
    </xf>
    <xf numFmtId="1" fontId="0" fillId="0" borderId="0" xfId="0" applyNumberFormat="1"/>
    <xf numFmtId="169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534861</xdr:colOff>
      <xdr:row>0</xdr:row>
      <xdr:rowOff>0</xdr:rowOff>
    </xdr:from>
    <xdr:to>
      <xdr:col>23</xdr:col>
      <xdr:colOff>548248</xdr:colOff>
      <xdr:row>125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07D499-CF55-714A-8A1E-8417A70D209F}"/>
            </a:ext>
          </a:extLst>
        </xdr:cNvPr>
        <xdr:cNvCxnSpPr/>
      </xdr:nvCxnSpPr>
      <xdr:spPr>
        <a:xfrm flipH="1">
          <a:off x="14559290" y="0"/>
          <a:ext cx="13387" cy="2046514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539750</xdr:colOff>
      <xdr:row>0</xdr:row>
      <xdr:rowOff>0</xdr:rowOff>
    </xdr:from>
    <xdr:to>
      <xdr:col>45</xdr:col>
      <xdr:colOff>26458</xdr:colOff>
      <xdr:row>126</xdr:row>
      <xdr:rowOff>111125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671D3C-C800-8D48-ABC7-7999F05BC2CE}"/>
            </a:ext>
          </a:extLst>
        </xdr:cNvPr>
        <xdr:cNvCxnSpPr/>
      </xdr:nvCxnSpPr>
      <xdr:spPr>
        <a:xfrm flipH="1">
          <a:off x="25569333" y="0"/>
          <a:ext cx="47625" cy="2224087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08D5350C-F43B-EB41-9773-CD8990B065B9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5" dT="2024-05-26T07:26:14.12" personId="{08D5350C-F43B-EB41-9773-CD8990B065B9}" id="{554D186D-D226-EA44-84B5-6E79EEECB50B}">
    <text>Movable slowdown …. Indicative of economic slowdown or a 1 off?</text>
  </threadedComment>
  <threadedComment ref="AT19" dT="2024-05-24T03:20:29.97" personId="{08D5350C-F43B-EB41-9773-CD8990B065B9}" id="{7C496C6C-A457-A94F-A1E1-B9EECC10CACA}">
    <text>1% growth here assumed to come from old units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ichard_and_Maurice_McDonald" TargetMode="External"/><Relationship Id="rId13" Type="http://schemas.openxmlformats.org/officeDocument/2006/relationships/hyperlink" Target="https://corporate.mcdonalds.com/corpmcd/our-stories/article/mcd-google-cloud-announce-partnership.html" TargetMode="External"/><Relationship Id="rId3" Type="http://schemas.openxmlformats.org/officeDocument/2006/relationships/hyperlink" Target="https://corporate.mcdonalds.com/corpmcd/en-us/our-stories/article/press-releases.McDonalds-donut.html" TargetMode="External"/><Relationship Id="rId7" Type="http://schemas.openxmlformats.org/officeDocument/2006/relationships/hyperlink" Target="https://www.cnbc.com/2022/12/07/mcdonalds-seasonal-promotions-digital-sales-growth.html" TargetMode="External"/><Relationship Id="rId12" Type="http://schemas.openxmlformats.org/officeDocument/2006/relationships/hyperlink" Target="https://corporate.mcdonalds.com/corpmcd/our-stories/article/mcd-to-acquire-carlyles-stake-mcdonalds-china.html" TargetMode="External"/><Relationship Id="rId2" Type="http://schemas.openxmlformats.org/officeDocument/2006/relationships/hyperlink" Target="https://corporate.mcdonalds.com/corpmcd/en-us/our-stories/article/press-releases.saweetie-merch.html" TargetMode="External"/><Relationship Id="rId16" Type="http://schemas.openxmlformats.org/officeDocument/2006/relationships/hyperlink" Target="https://seekingalpha.com/article/4687515-mcdonalds-corporation-mcd-q1-2024-earnings-call-transcript" TargetMode="External"/><Relationship Id="rId1" Type="http://schemas.openxmlformats.org/officeDocument/2006/relationships/hyperlink" Target="https://corporate.mcdonalds.com/corpmcd/en-us/our-stories/article/press-releases.leadership-updates.html" TargetMode="External"/><Relationship Id="rId6" Type="http://schemas.openxmlformats.org/officeDocument/2006/relationships/hyperlink" Target="https://corporate.mcdonalds.com/corpmcd/investors.html" TargetMode="External"/><Relationship Id="rId11" Type="http://schemas.openxmlformats.org/officeDocument/2006/relationships/hyperlink" Target="https://corporate.mcdonalds.com/content/dam/sites/corp/nfl/pdf/Exhibit%2099.1%20-%20Q4-23.pdf" TargetMode="External"/><Relationship Id="rId5" Type="http://schemas.openxmlformats.org/officeDocument/2006/relationships/hyperlink" Target="https://corporate.mcdonalds.com/corpmcd/our-stories/article/wakanda-happymeal.html" TargetMode="External"/><Relationship Id="rId15" Type="http://schemas.openxmlformats.org/officeDocument/2006/relationships/hyperlink" Target="https://corporate.mcdonalds.com/corpmcd/our-stories/article/mcdonalds-welcomes-cosmcs-to-its-universe.html" TargetMode="External"/><Relationship Id="rId10" Type="http://schemas.openxmlformats.org/officeDocument/2006/relationships/hyperlink" Target="https://seekingalpha.com/article/4667570-mcdonalds-corporation-mcd-q4-2023-earnings-call-transcript" TargetMode="External"/><Relationship Id="rId4" Type="http://schemas.openxmlformats.org/officeDocument/2006/relationships/hyperlink" Target="https://corporate.mcdonalds.com/corpmcd/en-us/our-stories/article/press-releases.mcopco-wage-raise.html" TargetMode="External"/><Relationship Id="rId9" Type="http://schemas.openxmlformats.org/officeDocument/2006/relationships/hyperlink" Target="https://en.wikipedia.org/wiki/The_Founder" TargetMode="External"/><Relationship Id="rId14" Type="http://schemas.openxmlformats.org/officeDocument/2006/relationships/hyperlink" Target="https://corporate.mcdonalds.com/content/dam/sites/corp/nfl/newsroom/McDonalds_Impact_C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B3F7-7021-914A-A508-B96F72023C96}">
  <dimension ref="A1:IU120"/>
  <sheetViews>
    <sheetView tabSelected="1" zoomScale="140" zoomScaleNormal="140" workbookViewId="0">
      <pane xSplit="2" ySplit="2" topLeftCell="Y7" activePane="bottomRight" state="frozen"/>
      <selection pane="topRight" activeCell="B1" sqref="B1"/>
      <selection pane="bottomLeft" activeCell="A3" sqref="A3"/>
      <selection pane="bottomRight" activeCell="AS19" sqref="AS19"/>
    </sheetView>
  </sheetViews>
  <sheetFormatPr baseColWidth="10" defaultColWidth="8.1640625" defaultRowHeight="13"/>
  <cols>
    <col min="1" max="1" width="3.1640625" style="20" customWidth="1"/>
    <col min="2" max="2" width="28" style="21" bestFit="1" customWidth="1"/>
    <col min="3" max="3" width="7.1640625" style="24" bestFit="1" customWidth="1"/>
    <col min="4" max="4" width="6.6640625" style="24" bestFit="1" customWidth="1"/>
    <col min="5" max="6" width="6.83203125" style="24" bestFit="1" customWidth="1"/>
    <col min="7" max="9" width="7" style="24" bestFit="1" customWidth="1"/>
    <col min="10" max="14" width="7.5" style="24" bestFit="1" customWidth="1"/>
    <col min="15" max="15" width="8" style="24" bestFit="1" customWidth="1"/>
    <col min="16" max="16" width="7.5" style="24" bestFit="1" customWidth="1"/>
    <col min="17" max="17" width="7.83203125" style="24" bestFit="1" customWidth="1"/>
    <col min="18" max="18" width="7.33203125" style="24" bestFit="1" customWidth="1"/>
    <col min="19" max="19" width="6.6640625" style="24" customWidth="1"/>
    <col min="20" max="23" width="7.33203125" style="24" customWidth="1"/>
    <col min="24" max="24" width="6.6640625" style="24" bestFit="1" customWidth="1"/>
    <col min="25" max="30" width="7.33203125" style="24" customWidth="1"/>
    <col min="31" max="31" width="6" style="24" customWidth="1"/>
    <col min="32" max="37" width="5.6640625" style="24" customWidth="1"/>
    <col min="38" max="38" width="6.83203125" style="24" bestFit="1" customWidth="1"/>
    <col min="39" max="42" width="7.83203125" style="24" bestFit="1" customWidth="1"/>
    <col min="43" max="43" width="8.1640625" style="24" bestFit="1" customWidth="1"/>
    <col min="44" max="45" width="7.33203125" style="24" bestFit="1" customWidth="1"/>
    <col min="46" max="47" width="7.1640625" style="24" bestFit="1" customWidth="1"/>
    <col min="48" max="48" width="7.6640625" style="24" bestFit="1" customWidth="1"/>
    <col min="49" max="55" width="6.83203125" style="24" bestFit="1" customWidth="1"/>
    <col min="56" max="56" width="8" style="24" bestFit="1" customWidth="1"/>
    <col min="57" max="59" width="6.6640625" style="24" bestFit="1" customWidth="1"/>
    <col min="60" max="60" width="9.1640625" style="24" bestFit="1" customWidth="1"/>
    <col min="61" max="61" width="7.5" style="24" bestFit="1" customWidth="1"/>
    <col min="62" max="156" width="6.83203125" style="24" bestFit="1" customWidth="1"/>
    <col min="157" max="177" width="7.6640625" style="24" bestFit="1" customWidth="1"/>
    <col min="178" max="233" width="7.83203125" style="24" bestFit="1" customWidth="1"/>
    <col min="234" max="16384" width="8.1640625" style="24"/>
  </cols>
  <sheetData>
    <row r="1" spans="1:255" s="20" customFormat="1">
      <c r="B1" s="21"/>
    </row>
    <row r="2" spans="1:255" s="22" customFormat="1">
      <c r="A2" s="22" t="s">
        <v>138</v>
      </c>
      <c r="B2" s="23"/>
      <c r="C2" s="22" t="s">
        <v>8</v>
      </c>
      <c r="D2" s="22" t="s">
        <v>9</v>
      </c>
      <c r="E2" s="22" t="s">
        <v>10</v>
      </c>
      <c r="F2" s="22" t="s">
        <v>11</v>
      </c>
      <c r="G2" s="22" t="s">
        <v>12</v>
      </c>
      <c r="H2" s="22" t="s">
        <v>13</v>
      </c>
      <c r="I2" s="22" t="s">
        <v>14</v>
      </c>
      <c r="J2" s="22" t="s">
        <v>15</v>
      </c>
      <c r="K2" s="22" t="s">
        <v>16</v>
      </c>
      <c r="L2" s="22" t="s">
        <v>6</v>
      </c>
      <c r="M2" s="22" t="s">
        <v>17</v>
      </c>
      <c r="N2" s="22" t="s">
        <v>18</v>
      </c>
      <c r="O2" s="22" t="s">
        <v>74</v>
      </c>
      <c r="P2" s="22" t="s">
        <v>75</v>
      </c>
      <c r="Q2" s="22" t="s">
        <v>76</v>
      </c>
      <c r="R2" s="22" t="s">
        <v>77</v>
      </c>
      <c r="S2" s="22" t="s">
        <v>131</v>
      </c>
      <c r="T2" s="22" t="s">
        <v>132</v>
      </c>
      <c r="U2" s="22" t="s">
        <v>130</v>
      </c>
      <c r="V2" s="22" t="s">
        <v>133</v>
      </c>
      <c r="W2" s="22" t="s">
        <v>134</v>
      </c>
      <c r="X2" s="22" t="s">
        <v>135</v>
      </c>
      <c r="Y2" s="22" t="s">
        <v>136</v>
      </c>
      <c r="Z2" s="22" t="s">
        <v>137</v>
      </c>
      <c r="AE2" s="22">
        <v>2009</v>
      </c>
      <c r="AF2" s="22">
        <v>2010</v>
      </c>
      <c r="AG2" s="22">
        <v>2011</v>
      </c>
      <c r="AH2" s="22">
        <v>2012</v>
      </c>
      <c r="AI2" s="22">
        <v>2013</v>
      </c>
      <c r="AJ2" s="22">
        <v>2014</v>
      </c>
      <c r="AK2" s="22">
        <v>2015</v>
      </c>
      <c r="AL2" s="22">
        <v>2016</v>
      </c>
      <c r="AM2" s="22">
        <f>+AL2+1</f>
        <v>2017</v>
      </c>
      <c r="AN2" s="22">
        <f t="shared" ref="AN2:AZ2" si="0">+AM2+1</f>
        <v>2018</v>
      </c>
      <c r="AO2" s="22">
        <f t="shared" si="0"/>
        <v>2019</v>
      </c>
      <c r="AP2" s="22">
        <f t="shared" si="0"/>
        <v>2020</v>
      </c>
      <c r="AQ2" s="22">
        <f t="shared" si="0"/>
        <v>2021</v>
      </c>
      <c r="AR2" s="22">
        <f t="shared" si="0"/>
        <v>2022</v>
      </c>
      <c r="AS2" s="22">
        <f t="shared" si="0"/>
        <v>2023</v>
      </c>
      <c r="AT2" s="22">
        <f t="shared" si="0"/>
        <v>2024</v>
      </c>
      <c r="AU2" s="22">
        <f t="shared" si="0"/>
        <v>2025</v>
      </c>
      <c r="AV2" s="22">
        <f t="shared" si="0"/>
        <v>2026</v>
      </c>
      <c r="AW2" s="22">
        <f t="shared" si="0"/>
        <v>2027</v>
      </c>
      <c r="AX2" s="22">
        <f t="shared" si="0"/>
        <v>2028</v>
      </c>
      <c r="AY2" s="22">
        <f t="shared" si="0"/>
        <v>2029</v>
      </c>
      <c r="AZ2" s="22">
        <f t="shared" si="0"/>
        <v>2030</v>
      </c>
      <c r="BA2" s="22">
        <f t="shared" ref="BA2:BC2" si="1">+AZ2+1</f>
        <v>2031</v>
      </c>
      <c r="BB2" s="22">
        <f t="shared" si="1"/>
        <v>2032</v>
      </c>
      <c r="BC2" s="22">
        <f t="shared" si="1"/>
        <v>2033</v>
      </c>
      <c r="BD2" s="22">
        <f>+BC2+1</f>
        <v>2034</v>
      </c>
      <c r="BE2" s="22">
        <f t="shared" ref="BE2:DP2" si="2">+BD2+1</f>
        <v>2035</v>
      </c>
      <c r="BF2" s="22">
        <f t="shared" si="2"/>
        <v>2036</v>
      </c>
      <c r="BG2" s="22">
        <f t="shared" si="2"/>
        <v>2037</v>
      </c>
      <c r="BH2" s="22">
        <f t="shared" si="2"/>
        <v>2038</v>
      </c>
      <c r="BI2" s="22">
        <f t="shared" si="2"/>
        <v>2039</v>
      </c>
      <c r="BJ2" s="22">
        <f t="shared" si="2"/>
        <v>2040</v>
      </c>
      <c r="BK2" s="22">
        <f t="shared" si="2"/>
        <v>2041</v>
      </c>
      <c r="BL2" s="22">
        <f t="shared" si="2"/>
        <v>2042</v>
      </c>
      <c r="BM2" s="22">
        <f t="shared" si="2"/>
        <v>2043</v>
      </c>
      <c r="BN2" s="22">
        <f t="shared" si="2"/>
        <v>2044</v>
      </c>
      <c r="BO2" s="22">
        <f t="shared" si="2"/>
        <v>2045</v>
      </c>
      <c r="BP2" s="22">
        <f t="shared" si="2"/>
        <v>2046</v>
      </c>
      <c r="BQ2" s="22">
        <f t="shared" si="2"/>
        <v>2047</v>
      </c>
      <c r="BR2" s="22">
        <f t="shared" si="2"/>
        <v>2048</v>
      </c>
      <c r="BS2" s="22">
        <f t="shared" si="2"/>
        <v>2049</v>
      </c>
      <c r="BT2" s="22">
        <f t="shared" si="2"/>
        <v>2050</v>
      </c>
      <c r="BU2" s="22">
        <f t="shared" si="2"/>
        <v>2051</v>
      </c>
      <c r="BV2" s="22">
        <f t="shared" si="2"/>
        <v>2052</v>
      </c>
      <c r="BW2" s="22">
        <f t="shared" si="2"/>
        <v>2053</v>
      </c>
      <c r="BX2" s="22">
        <f t="shared" si="2"/>
        <v>2054</v>
      </c>
      <c r="BY2" s="22">
        <f t="shared" si="2"/>
        <v>2055</v>
      </c>
      <c r="BZ2" s="22">
        <f t="shared" si="2"/>
        <v>2056</v>
      </c>
      <c r="CA2" s="22">
        <f t="shared" si="2"/>
        <v>2057</v>
      </c>
      <c r="CB2" s="22">
        <f t="shared" si="2"/>
        <v>2058</v>
      </c>
      <c r="CC2" s="22">
        <f t="shared" si="2"/>
        <v>2059</v>
      </c>
      <c r="CD2" s="22">
        <f t="shared" si="2"/>
        <v>2060</v>
      </c>
      <c r="CE2" s="22">
        <f t="shared" si="2"/>
        <v>2061</v>
      </c>
      <c r="CF2" s="22">
        <f t="shared" si="2"/>
        <v>2062</v>
      </c>
      <c r="CG2" s="22">
        <f t="shared" si="2"/>
        <v>2063</v>
      </c>
      <c r="CH2" s="22">
        <f t="shared" si="2"/>
        <v>2064</v>
      </c>
      <c r="CI2" s="22">
        <f t="shared" si="2"/>
        <v>2065</v>
      </c>
      <c r="CJ2" s="22">
        <f t="shared" si="2"/>
        <v>2066</v>
      </c>
      <c r="CK2" s="22">
        <f t="shared" si="2"/>
        <v>2067</v>
      </c>
      <c r="CL2" s="22">
        <f t="shared" si="2"/>
        <v>2068</v>
      </c>
      <c r="CM2" s="22">
        <f t="shared" si="2"/>
        <v>2069</v>
      </c>
      <c r="CN2" s="22">
        <f t="shared" si="2"/>
        <v>2070</v>
      </c>
      <c r="CO2" s="22">
        <f t="shared" si="2"/>
        <v>2071</v>
      </c>
      <c r="CP2" s="22">
        <f t="shared" si="2"/>
        <v>2072</v>
      </c>
      <c r="CQ2" s="22">
        <f t="shared" si="2"/>
        <v>2073</v>
      </c>
      <c r="CR2" s="22">
        <f t="shared" si="2"/>
        <v>2074</v>
      </c>
      <c r="CS2" s="22">
        <f t="shared" si="2"/>
        <v>2075</v>
      </c>
      <c r="CT2" s="22">
        <f t="shared" si="2"/>
        <v>2076</v>
      </c>
      <c r="CU2" s="22">
        <f t="shared" si="2"/>
        <v>2077</v>
      </c>
      <c r="CV2" s="22">
        <f t="shared" si="2"/>
        <v>2078</v>
      </c>
      <c r="CW2" s="22">
        <f t="shared" si="2"/>
        <v>2079</v>
      </c>
      <c r="CX2" s="22">
        <f t="shared" si="2"/>
        <v>2080</v>
      </c>
      <c r="CY2" s="22">
        <f t="shared" si="2"/>
        <v>2081</v>
      </c>
      <c r="CZ2" s="22">
        <f t="shared" si="2"/>
        <v>2082</v>
      </c>
      <c r="DA2" s="22">
        <f t="shared" si="2"/>
        <v>2083</v>
      </c>
      <c r="DB2" s="22">
        <f t="shared" si="2"/>
        <v>2084</v>
      </c>
      <c r="DC2" s="22">
        <f t="shared" si="2"/>
        <v>2085</v>
      </c>
      <c r="DD2" s="22">
        <f t="shared" si="2"/>
        <v>2086</v>
      </c>
      <c r="DE2" s="22">
        <f t="shared" si="2"/>
        <v>2087</v>
      </c>
      <c r="DF2" s="22">
        <f t="shared" si="2"/>
        <v>2088</v>
      </c>
      <c r="DG2" s="22">
        <f t="shared" si="2"/>
        <v>2089</v>
      </c>
      <c r="DH2" s="22">
        <f t="shared" si="2"/>
        <v>2090</v>
      </c>
      <c r="DI2" s="22">
        <f t="shared" si="2"/>
        <v>2091</v>
      </c>
      <c r="DJ2" s="22">
        <f t="shared" si="2"/>
        <v>2092</v>
      </c>
      <c r="DK2" s="22">
        <f t="shared" si="2"/>
        <v>2093</v>
      </c>
      <c r="DL2" s="22">
        <f t="shared" si="2"/>
        <v>2094</v>
      </c>
      <c r="DM2" s="22">
        <f t="shared" si="2"/>
        <v>2095</v>
      </c>
      <c r="DN2" s="22">
        <f t="shared" si="2"/>
        <v>2096</v>
      </c>
      <c r="DO2" s="22">
        <f t="shared" si="2"/>
        <v>2097</v>
      </c>
      <c r="DP2" s="22">
        <f t="shared" si="2"/>
        <v>2098</v>
      </c>
      <c r="DQ2" s="22">
        <f t="shared" ref="DQ2:GB2" si="3">+DP2+1</f>
        <v>2099</v>
      </c>
      <c r="DR2" s="22">
        <f t="shared" si="3"/>
        <v>2100</v>
      </c>
      <c r="DS2" s="22">
        <f t="shared" si="3"/>
        <v>2101</v>
      </c>
      <c r="DT2" s="22">
        <f t="shared" si="3"/>
        <v>2102</v>
      </c>
      <c r="DU2" s="22">
        <f t="shared" si="3"/>
        <v>2103</v>
      </c>
      <c r="DV2" s="22">
        <f t="shared" si="3"/>
        <v>2104</v>
      </c>
      <c r="DW2" s="22">
        <f t="shared" si="3"/>
        <v>2105</v>
      </c>
      <c r="DX2" s="22">
        <f t="shared" si="3"/>
        <v>2106</v>
      </c>
      <c r="DY2" s="22">
        <f t="shared" si="3"/>
        <v>2107</v>
      </c>
      <c r="DZ2" s="22">
        <f t="shared" si="3"/>
        <v>2108</v>
      </c>
      <c r="EA2" s="22">
        <f t="shared" si="3"/>
        <v>2109</v>
      </c>
      <c r="EB2" s="22">
        <f t="shared" si="3"/>
        <v>2110</v>
      </c>
      <c r="EC2" s="22">
        <f t="shared" si="3"/>
        <v>2111</v>
      </c>
      <c r="ED2" s="22">
        <f t="shared" si="3"/>
        <v>2112</v>
      </c>
      <c r="EE2" s="22">
        <f t="shared" si="3"/>
        <v>2113</v>
      </c>
      <c r="EF2" s="22">
        <f t="shared" si="3"/>
        <v>2114</v>
      </c>
      <c r="EG2" s="22">
        <f t="shared" si="3"/>
        <v>2115</v>
      </c>
      <c r="EH2" s="22">
        <f t="shared" si="3"/>
        <v>2116</v>
      </c>
      <c r="EI2" s="22">
        <f t="shared" si="3"/>
        <v>2117</v>
      </c>
      <c r="EJ2" s="22">
        <f t="shared" si="3"/>
        <v>2118</v>
      </c>
      <c r="EK2" s="22">
        <f t="shared" si="3"/>
        <v>2119</v>
      </c>
      <c r="EL2" s="22">
        <f t="shared" si="3"/>
        <v>2120</v>
      </c>
      <c r="EM2" s="22">
        <f t="shared" si="3"/>
        <v>2121</v>
      </c>
      <c r="EN2" s="22">
        <f t="shared" si="3"/>
        <v>2122</v>
      </c>
      <c r="EO2" s="22">
        <f t="shared" si="3"/>
        <v>2123</v>
      </c>
      <c r="EP2" s="22">
        <f t="shared" si="3"/>
        <v>2124</v>
      </c>
      <c r="EQ2" s="22">
        <f t="shared" si="3"/>
        <v>2125</v>
      </c>
      <c r="ER2" s="22">
        <f t="shared" si="3"/>
        <v>2126</v>
      </c>
      <c r="ES2" s="22">
        <f t="shared" si="3"/>
        <v>2127</v>
      </c>
      <c r="ET2" s="22">
        <f t="shared" si="3"/>
        <v>2128</v>
      </c>
      <c r="EU2" s="22">
        <f t="shared" si="3"/>
        <v>2129</v>
      </c>
      <c r="EV2" s="22">
        <f t="shared" si="3"/>
        <v>2130</v>
      </c>
      <c r="EW2" s="22">
        <f t="shared" si="3"/>
        <v>2131</v>
      </c>
      <c r="EX2" s="22">
        <f t="shared" si="3"/>
        <v>2132</v>
      </c>
      <c r="EY2" s="22">
        <f t="shared" si="3"/>
        <v>2133</v>
      </c>
      <c r="EZ2" s="22">
        <f t="shared" si="3"/>
        <v>2134</v>
      </c>
      <c r="FA2" s="22">
        <f t="shared" si="3"/>
        <v>2135</v>
      </c>
      <c r="FB2" s="22">
        <f t="shared" si="3"/>
        <v>2136</v>
      </c>
      <c r="FC2" s="22">
        <f t="shared" si="3"/>
        <v>2137</v>
      </c>
      <c r="FD2" s="22">
        <f t="shared" si="3"/>
        <v>2138</v>
      </c>
      <c r="FE2" s="22">
        <f t="shared" si="3"/>
        <v>2139</v>
      </c>
      <c r="FF2" s="22">
        <f t="shared" si="3"/>
        <v>2140</v>
      </c>
      <c r="FG2" s="22">
        <f t="shared" si="3"/>
        <v>2141</v>
      </c>
      <c r="FH2" s="22">
        <f t="shared" si="3"/>
        <v>2142</v>
      </c>
      <c r="FI2" s="22">
        <f t="shared" si="3"/>
        <v>2143</v>
      </c>
      <c r="FJ2" s="22">
        <f t="shared" si="3"/>
        <v>2144</v>
      </c>
      <c r="FK2" s="22">
        <f t="shared" si="3"/>
        <v>2145</v>
      </c>
      <c r="FL2" s="22">
        <f t="shared" si="3"/>
        <v>2146</v>
      </c>
      <c r="FM2" s="22">
        <f t="shared" si="3"/>
        <v>2147</v>
      </c>
      <c r="FN2" s="22">
        <f t="shared" si="3"/>
        <v>2148</v>
      </c>
      <c r="FO2" s="22">
        <f t="shared" si="3"/>
        <v>2149</v>
      </c>
      <c r="FP2" s="22">
        <f t="shared" si="3"/>
        <v>2150</v>
      </c>
      <c r="FQ2" s="22">
        <f t="shared" si="3"/>
        <v>2151</v>
      </c>
      <c r="FR2" s="22">
        <f t="shared" si="3"/>
        <v>2152</v>
      </c>
      <c r="FS2" s="22">
        <f t="shared" si="3"/>
        <v>2153</v>
      </c>
      <c r="FT2" s="22">
        <f t="shared" si="3"/>
        <v>2154</v>
      </c>
      <c r="FU2" s="22">
        <f t="shared" si="3"/>
        <v>2155</v>
      </c>
      <c r="FV2" s="22">
        <f t="shared" si="3"/>
        <v>2156</v>
      </c>
      <c r="FW2" s="22">
        <f t="shared" si="3"/>
        <v>2157</v>
      </c>
      <c r="FX2" s="22">
        <f t="shared" si="3"/>
        <v>2158</v>
      </c>
      <c r="FY2" s="22">
        <f t="shared" si="3"/>
        <v>2159</v>
      </c>
      <c r="FZ2" s="22">
        <f t="shared" si="3"/>
        <v>2160</v>
      </c>
      <c r="GA2" s="22">
        <f t="shared" si="3"/>
        <v>2161</v>
      </c>
      <c r="GB2" s="22">
        <f t="shared" si="3"/>
        <v>2162</v>
      </c>
      <c r="GC2" s="22">
        <f t="shared" ref="GC2:HX2" si="4">+GB2+1</f>
        <v>2163</v>
      </c>
      <c r="GD2" s="22">
        <f t="shared" si="4"/>
        <v>2164</v>
      </c>
      <c r="GE2" s="22">
        <f t="shared" si="4"/>
        <v>2165</v>
      </c>
      <c r="GF2" s="22">
        <f t="shared" si="4"/>
        <v>2166</v>
      </c>
      <c r="GG2" s="22">
        <f t="shared" si="4"/>
        <v>2167</v>
      </c>
      <c r="GH2" s="22">
        <f t="shared" si="4"/>
        <v>2168</v>
      </c>
      <c r="GI2" s="22">
        <f t="shared" si="4"/>
        <v>2169</v>
      </c>
      <c r="GJ2" s="22">
        <f t="shared" si="4"/>
        <v>2170</v>
      </c>
      <c r="GK2" s="22">
        <f t="shared" si="4"/>
        <v>2171</v>
      </c>
      <c r="GL2" s="22">
        <f t="shared" si="4"/>
        <v>2172</v>
      </c>
      <c r="GM2" s="22">
        <f t="shared" si="4"/>
        <v>2173</v>
      </c>
      <c r="GN2" s="22">
        <f t="shared" si="4"/>
        <v>2174</v>
      </c>
      <c r="GO2" s="22">
        <f t="shared" si="4"/>
        <v>2175</v>
      </c>
      <c r="GP2" s="22">
        <f t="shared" si="4"/>
        <v>2176</v>
      </c>
      <c r="GQ2" s="22">
        <f t="shared" si="4"/>
        <v>2177</v>
      </c>
      <c r="GR2" s="22">
        <f t="shared" si="4"/>
        <v>2178</v>
      </c>
      <c r="GS2" s="22">
        <f t="shared" si="4"/>
        <v>2179</v>
      </c>
      <c r="GT2" s="22">
        <f t="shared" si="4"/>
        <v>2180</v>
      </c>
      <c r="GU2" s="22">
        <f t="shared" si="4"/>
        <v>2181</v>
      </c>
      <c r="GV2" s="22">
        <f t="shared" si="4"/>
        <v>2182</v>
      </c>
      <c r="GW2" s="22">
        <f t="shared" si="4"/>
        <v>2183</v>
      </c>
      <c r="GX2" s="22">
        <f t="shared" si="4"/>
        <v>2184</v>
      </c>
      <c r="GY2" s="22">
        <f t="shared" si="4"/>
        <v>2185</v>
      </c>
      <c r="GZ2" s="22">
        <f t="shared" si="4"/>
        <v>2186</v>
      </c>
      <c r="HA2" s="22">
        <f t="shared" si="4"/>
        <v>2187</v>
      </c>
      <c r="HB2" s="22">
        <f t="shared" si="4"/>
        <v>2188</v>
      </c>
      <c r="HC2" s="22">
        <f t="shared" si="4"/>
        <v>2189</v>
      </c>
      <c r="HD2" s="22">
        <f t="shared" si="4"/>
        <v>2190</v>
      </c>
      <c r="HE2" s="22">
        <f t="shared" si="4"/>
        <v>2191</v>
      </c>
      <c r="HF2" s="22">
        <f t="shared" si="4"/>
        <v>2192</v>
      </c>
      <c r="HG2" s="22">
        <f t="shared" si="4"/>
        <v>2193</v>
      </c>
      <c r="HH2" s="22">
        <f t="shared" si="4"/>
        <v>2194</v>
      </c>
      <c r="HI2" s="22">
        <f t="shared" si="4"/>
        <v>2195</v>
      </c>
      <c r="HJ2" s="22">
        <f t="shared" si="4"/>
        <v>2196</v>
      </c>
      <c r="HK2" s="22">
        <f t="shared" si="4"/>
        <v>2197</v>
      </c>
      <c r="HL2" s="22">
        <f t="shared" si="4"/>
        <v>2198</v>
      </c>
      <c r="HM2" s="22">
        <f t="shared" si="4"/>
        <v>2199</v>
      </c>
      <c r="HN2" s="22">
        <f t="shared" si="4"/>
        <v>2200</v>
      </c>
      <c r="HO2" s="22">
        <f t="shared" si="4"/>
        <v>2201</v>
      </c>
      <c r="HP2" s="22">
        <f t="shared" si="4"/>
        <v>2202</v>
      </c>
      <c r="HQ2" s="22">
        <f t="shared" si="4"/>
        <v>2203</v>
      </c>
      <c r="HR2" s="22">
        <f t="shared" si="4"/>
        <v>2204</v>
      </c>
      <c r="HS2" s="22">
        <f t="shared" si="4"/>
        <v>2205</v>
      </c>
      <c r="HT2" s="22">
        <f t="shared" si="4"/>
        <v>2206</v>
      </c>
      <c r="HU2" s="22">
        <f t="shared" si="4"/>
        <v>2207</v>
      </c>
      <c r="HV2" s="22">
        <f t="shared" si="4"/>
        <v>2208</v>
      </c>
      <c r="HW2" s="22">
        <f t="shared" si="4"/>
        <v>2209</v>
      </c>
      <c r="HX2" s="22">
        <f t="shared" si="4"/>
        <v>2210</v>
      </c>
      <c r="HY2" s="22">
        <f t="shared" ref="HY2:IR2" si="5">+HX2+1</f>
        <v>2211</v>
      </c>
      <c r="HZ2" s="22">
        <f t="shared" si="5"/>
        <v>2212</v>
      </c>
      <c r="IA2" s="22">
        <f t="shared" si="5"/>
        <v>2213</v>
      </c>
      <c r="IB2" s="22">
        <f t="shared" si="5"/>
        <v>2214</v>
      </c>
      <c r="IC2" s="22">
        <f t="shared" si="5"/>
        <v>2215</v>
      </c>
      <c r="ID2" s="22">
        <f t="shared" si="5"/>
        <v>2216</v>
      </c>
      <c r="IE2" s="22">
        <f t="shared" si="5"/>
        <v>2217</v>
      </c>
      <c r="IF2" s="22">
        <f t="shared" si="5"/>
        <v>2218</v>
      </c>
      <c r="IG2" s="22">
        <f t="shared" si="5"/>
        <v>2219</v>
      </c>
      <c r="IH2" s="22">
        <f t="shared" si="5"/>
        <v>2220</v>
      </c>
      <c r="II2" s="22">
        <f t="shared" si="5"/>
        <v>2221</v>
      </c>
      <c r="IJ2" s="22">
        <f t="shared" si="5"/>
        <v>2222</v>
      </c>
      <c r="IK2" s="22">
        <f t="shared" si="5"/>
        <v>2223</v>
      </c>
      <c r="IL2" s="22">
        <f t="shared" si="5"/>
        <v>2224</v>
      </c>
      <c r="IM2" s="22">
        <f t="shared" si="5"/>
        <v>2225</v>
      </c>
      <c r="IN2" s="22">
        <f t="shared" si="5"/>
        <v>2226</v>
      </c>
      <c r="IO2" s="22">
        <f t="shared" si="5"/>
        <v>2227</v>
      </c>
      <c r="IP2" s="22">
        <f t="shared" si="5"/>
        <v>2228</v>
      </c>
      <c r="IQ2" s="22">
        <f t="shared" si="5"/>
        <v>2229</v>
      </c>
      <c r="IR2" s="22">
        <f t="shared" si="5"/>
        <v>2230</v>
      </c>
      <c r="IS2" s="22">
        <f t="shared" ref="IS2:IT2" si="6">+IR2+1</f>
        <v>2231</v>
      </c>
      <c r="IT2" s="22">
        <f t="shared" si="6"/>
        <v>2232</v>
      </c>
      <c r="IU2" s="22">
        <f t="shared" ref="IU2" si="7">+IT2+1</f>
        <v>2233</v>
      </c>
    </row>
    <row r="3" spans="1:255">
      <c r="A3" s="24"/>
      <c r="B3" s="21" t="s">
        <v>159</v>
      </c>
      <c r="C3" s="24">
        <v>21662</v>
      </c>
      <c r="D3" s="24">
        <v>21717</v>
      </c>
      <c r="E3" s="24">
        <v>21758</v>
      </c>
      <c r="F3" s="24">
        <f>+AO3</f>
        <v>21837</v>
      </c>
      <c r="G3" s="24">
        <v>21838</v>
      </c>
      <c r="H3" s="24">
        <v>21822</v>
      </c>
      <c r="I3" s="24">
        <v>21781</v>
      </c>
      <c r="J3" s="24">
        <f>+AP3</f>
        <v>21712</v>
      </c>
      <c r="K3" s="24">
        <v>21496</v>
      </c>
      <c r="L3" s="24">
        <v>21519</v>
      </c>
      <c r="M3" s="24">
        <v>21552</v>
      </c>
      <c r="N3" s="24">
        <f>+AQ3</f>
        <v>21607</v>
      </c>
      <c r="O3" s="24">
        <v>21558</v>
      </c>
      <c r="P3" s="24">
        <v>21621</v>
      </c>
      <c r="Q3" s="24">
        <v>21641</v>
      </c>
      <c r="R3" s="24">
        <f>+AR3</f>
        <v>21720</v>
      </c>
      <c r="S3" s="24">
        <v>21701</v>
      </c>
      <c r="T3" s="24">
        <v>21719</v>
      </c>
      <c r="U3" s="24">
        <v>21761</v>
      </c>
      <c r="V3" s="24">
        <f>+AS3</f>
        <v>21818</v>
      </c>
      <c r="W3" s="24">
        <v>21841</v>
      </c>
      <c r="X3" s="24">
        <v>21892</v>
      </c>
      <c r="AN3" s="24">
        <v>21685</v>
      </c>
      <c r="AO3" s="24">
        <v>21837</v>
      </c>
      <c r="AP3" s="24">
        <v>21712</v>
      </c>
      <c r="AQ3" s="24">
        <v>21607</v>
      </c>
      <c r="AR3" s="24">
        <v>21720</v>
      </c>
      <c r="AS3" s="24">
        <v>21818</v>
      </c>
    </row>
    <row r="4" spans="1:255">
      <c r="A4" s="24"/>
      <c r="B4" s="21" t="s">
        <v>160</v>
      </c>
      <c r="C4" s="24">
        <v>7362</v>
      </c>
      <c r="D4" s="24">
        <v>7413</v>
      </c>
      <c r="E4" s="24">
        <v>7473</v>
      </c>
      <c r="F4" s="24">
        <f>+AO4</f>
        <v>7648</v>
      </c>
      <c r="G4" s="24">
        <v>7678</v>
      </c>
      <c r="H4" s="24">
        <v>7685</v>
      </c>
      <c r="I4" s="24">
        <v>7660</v>
      </c>
      <c r="J4" s="24">
        <f>+AP4</f>
        <v>7663</v>
      </c>
      <c r="K4" s="24">
        <v>7705</v>
      </c>
      <c r="L4" s="24">
        <v>7753</v>
      </c>
      <c r="M4" s="24">
        <v>7795</v>
      </c>
      <c r="N4" s="24">
        <f>+AQ4</f>
        <v>7913</v>
      </c>
      <c r="O4" s="24">
        <v>7981</v>
      </c>
      <c r="P4" s="24">
        <v>7918</v>
      </c>
      <c r="Q4" s="24">
        <v>8144</v>
      </c>
      <c r="R4" s="24">
        <f>+AR4</f>
        <v>8229</v>
      </c>
      <c r="S4" s="24">
        <v>8289</v>
      </c>
      <c r="T4" s="24">
        <v>8357</v>
      </c>
      <c r="U4" s="24">
        <v>8450</v>
      </c>
      <c r="V4" s="24">
        <f>+AS4</f>
        <v>8684</v>
      </c>
      <c r="W4" s="24">
        <v>8741</v>
      </c>
      <c r="X4" s="24">
        <v>8815</v>
      </c>
      <c r="AN4" s="24">
        <v>7225</v>
      </c>
      <c r="AO4" s="24">
        <v>7648</v>
      </c>
      <c r="AP4" s="24">
        <v>7663</v>
      </c>
      <c r="AQ4" s="24">
        <v>7913</v>
      </c>
      <c r="AR4" s="24">
        <v>8229</v>
      </c>
      <c r="AS4" s="24">
        <v>8684</v>
      </c>
    </row>
    <row r="5" spans="1:255">
      <c r="A5" s="24"/>
      <c r="B5" s="21" t="s">
        <v>161</v>
      </c>
      <c r="C5" s="24">
        <v>6254</v>
      </c>
      <c r="D5" s="24">
        <v>6331</v>
      </c>
      <c r="E5" s="24">
        <v>6432</v>
      </c>
      <c r="F5" s="24">
        <f>+AO5</f>
        <v>6574</v>
      </c>
      <c r="G5" s="24">
        <v>6831</v>
      </c>
      <c r="H5" s="24">
        <v>6864</v>
      </c>
      <c r="I5" s="24">
        <v>6997</v>
      </c>
      <c r="J5" s="24">
        <f>+AP5</f>
        <v>7146</v>
      </c>
      <c r="K5" s="24">
        <v>7283</v>
      </c>
      <c r="L5" s="24">
        <v>7445</v>
      </c>
      <c r="M5" s="24">
        <v>7639</v>
      </c>
      <c r="N5" s="24">
        <f>+AQ5</f>
        <v>775</v>
      </c>
      <c r="O5" s="24">
        <v>8013</v>
      </c>
      <c r="P5" s="24">
        <v>8125</v>
      </c>
      <c r="Q5" s="24">
        <v>8145</v>
      </c>
      <c r="R5" s="24">
        <f>+AR5</f>
        <v>8220</v>
      </c>
      <c r="S5" s="24">
        <v>8427</v>
      </c>
      <c r="T5" s="24">
        <v>8598</v>
      </c>
      <c r="U5" s="24">
        <v>8843</v>
      </c>
      <c r="V5" s="24">
        <f>+AS5</f>
        <v>9178</v>
      </c>
      <c r="W5" s="24">
        <v>9283</v>
      </c>
      <c r="X5" s="24">
        <v>9531</v>
      </c>
      <c r="AN5" s="24">
        <v>6175</v>
      </c>
      <c r="AO5" s="24">
        <v>6574</v>
      </c>
      <c r="AP5" s="24">
        <v>7146</v>
      </c>
      <c r="AQ5" s="24">
        <v>775</v>
      </c>
      <c r="AR5" s="24">
        <v>8220</v>
      </c>
      <c r="AS5" s="24">
        <v>9178</v>
      </c>
    </row>
    <row r="6" spans="1:255" s="25" customFormat="1">
      <c r="B6" s="26" t="s">
        <v>162</v>
      </c>
      <c r="C6" s="25">
        <f t="shared" ref="C6:V7" si="8">+SUM(C3:C5)</f>
        <v>35278</v>
      </c>
      <c r="D6" s="25">
        <f t="shared" si="8"/>
        <v>35461</v>
      </c>
      <c r="E6" s="25">
        <f t="shared" si="8"/>
        <v>35663</v>
      </c>
      <c r="F6" s="25">
        <f t="shared" si="8"/>
        <v>36059</v>
      </c>
      <c r="G6" s="25">
        <f t="shared" si="8"/>
        <v>36347</v>
      </c>
      <c r="H6" s="25">
        <f t="shared" si="8"/>
        <v>36371</v>
      </c>
      <c r="I6" s="25">
        <f t="shared" si="8"/>
        <v>36438</v>
      </c>
      <c r="J6" s="25">
        <f t="shared" si="8"/>
        <v>36521</v>
      </c>
      <c r="K6" s="25">
        <f t="shared" si="8"/>
        <v>36484</v>
      </c>
      <c r="L6" s="25">
        <f t="shared" si="8"/>
        <v>36717</v>
      </c>
      <c r="M6" s="25">
        <f t="shared" si="8"/>
        <v>36986</v>
      </c>
      <c r="N6" s="25">
        <f t="shared" si="8"/>
        <v>30295</v>
      </c>
      <c r="O6" s="25">
        <f t="shared" si="8"/>
        <v>37552</v>
      </c>
      <c r="P6" s="25">
        <f t="shared" si="8"/>
        <v>37664</v>
      </c>
      <c r="Q6" s="25">
        <f t="shared" si="8"/>
        <v>37930</v>
      </c>
      <c r="R6" s="25">
        <f t="shared" si="8"/>
        <v>38169</v>
      </c>
      <c r="S6" s="25">
        <f t="shared" si="8"/>
        <v>38417</v>
      </c>
      <c r="T6" s="25">
        <f t="shared" si="8"/>
        <v>38674</v>
      </c>
      <c r="U6" s="25">
        <f t="shared" si="8"/>
        <v>39054</v>
      </c>
      <c r="V6" s="25">
        <f t="shared" si="8"/>
        <v>39680</v>
      </c>
      <c r="W6" s="25">
        <f>+SUM(W3:W5)</f>
        <v>39865</v>
      </c>
      <c r="X6" s="25">
        <f>+SUM(X3:X5)</f>
        <v>40238</v>
      </c>
      <c r="AN6" s="25">
        <f t="shared" ref="AN6:AR6" si="9">+SUM(AN3:AN5)</f>
        <v>35085</v>
      </c>
      <c r="AO6" s="25">
        <f t="shared" si="9"/>
        <v>36059</v>
      </c>
      <c r="AP6" s="25">
        <f t="shared" si="9"/>
        <v>36521</v>
      </c>
      <c r="AQ6" s="25">
        <f t="shared" si="9"/>
        <v>30295</v>
      </c>
      <c r="AR6" s="25">
        <f t="shared" si="9"/>
        <v>38169</v>
      </c>
      <c r="AS6" s="25">
        <f>+SUM(AS3:AS5)</f>
        <v>39680</v>
      </c>
      <c r="AT6" s="45">
        <f>+AS6*1.0457</f>
        <v>41493.376000000004</v>
      </c>
      <c r="AU6" s="45">
        <f t="shared" ref="AU6:BC6" si="10">+AT6*1.0457</f>
        <v>43389.62328320001</v>
      </c>
      <c r="AV6" s="45">
        <f t="shared" si="10"/>
        <v>45372.529067242256</v>
      </c>
      <c r="AW6" s="45">
        <f t="shared" si="10"/>
        <v>47446.053645615233</v>
      </c>
      <c r="AX6" s="45">
        <f t="shared" si="10"/>
        <v>49614.338297219852</v>
      </c>
      <c r="AY6" s="45">
        <f t="shared" si="10"/>
        <v>51881.7135574028</v>
      </c>
      <c r="AZ6" s="45">
        <f t="shared" si="10"/>
        <v>54252.70786697611</v>
      </c>
      <c r="BA6" s="45">
        <f t="shared" si="10"/>
        <v>56732.05661649692</v>
      </c>
      <c r="BB6" s="45">
        <f t="shared" si="10"/>
        <v>59324.711603870834</v>
      </c>
      <c r="BC6" s="45">
        <f t="shared" si="10"/>
        <v>62035.850924167738</v>
      </c>
    </row>
    <row r="7" spans="1:255">
      <c r="A7" s="24"/>
      <c r="B7" s="21" t="s">
        <v>163</v>
      </c>
      <c r="C7" s="24">
        <v>2693</v>
      </c>
      <c r="D7" s="24">
        <v>2647</v>
      </c>
      <c r="E7" s="24">
        <v>2635</v>
      </c>
      <c r="F7" s="24">
        <f>+AO7</f>
        <v>2636</v>
      </c>
      <c r="G7" s="24">
        <v>2637</v>
      </c>
      <c r="H7" s="24">
        <v>2649</v>
      </c>
      <c r="I7" s="24">
        <v>2658</v>
      </c>
      <c r="J7" s="25">
        <f t="shared" si="8"/>
        <v>51330</v>
      </c>
      <c r="K7" s="24">
        <v>2676</v>
      </c>
      <c r="L7" s="24">
        <v>2679</v>
      </c>
      <c r="M7" s="24">
        <v>2690</v>
      </c>
      <c r="N7" s="24">
        <f>+AQ7</f>
        <v>2736</v>
      </c>
      <c r="O7" s="24">
        <v>2792</v>
      </c>
      <c r="P7" s="24">
        <v>2032</v>
      </c>
      <c r="Q7" s="24">
        <v>2050</v>
      </c>
      <c r="R7" s="24">
        <f>+AR7</f>
        <v>2106</v>
      </c>
      <c r="S7" s="24">
        <v>2118</v>
      </c>
      <c r="T7" s="24">
        <v>2127</v>
      </c>
      <c r="U7" s="24">
        <v>2144</v>
      </c>
      <c r="V7" s="24">
        <f>+AS7</f>
        <v>2142</v>
      </c>
      <c r="W7" s="24">
        <v>2153</v>
      </c>
      <c r="X7" s="24">
        <v>2168</v>
      </c>
      <c r="AN7" s="24">
        <v>2770</v>
      </c>
      <c r="AO7" s="24">
        <v>2636</v>
      </c>
      <c r="AP7" s="54">
        <v>2677</v>
      </c>
      <c r="AQ7" s="54">
        <v>2736</v>
      </c>
      <c r="AR7" s="54">
        <v>2106</v>
      </c>
      <c r="AS7" s="54">
        <v>2142</v>
      </c>
      <c r="AT7" s="54">
        <f>+AS7*1.045</f>
        <v>2238.39</v>
      </c>
      <c r="AU7" s="54">
        <f t="shared" ref="AU7:BC7" si="11">+AT7*1.045</f>
        <v>2339.1175499999995</v>
      </c>
      <c r="AV7" s="54">
        <f t="shared" si="11"/>
        <v>2444.3778397499991</v>
      </c>
      <c r="AW7" s="54">
        <f t="shared" si="11"/>
        <v>2554.3748425387489</v>
      </c>
      <c r="AX7" s="54">
        <f t="shared" si="11"/>
        <v>2669.3217104529926</v>
      </c>
      <c r="AY7" s="54">
        <f t="shared" si="11"/>
        <v>2789.441187423377</v>
      </c>
      <c r="AZ7" s="54">
        <f t="shared" si="11"/>
        <v>2914.9660408574287</v>
      </c>
      <c r="BA7" s="54">
        <f t="shared" si="11"/>
        <v>3046.1395126960128</v>
      </c>
      <c r="BB7" s="54">
        <f t="shared" si="11"/>
        <v>3183.2157907673331</v>
      </c>
      <c r="BC7" s="54">
        <f t="shared" si="11"/>
        <v>3326.4605013518631</v>
      </c>
      <c r="BD7" s="54"/>
    </row>
    <row r="8" spans="1:255" s="25" customFormat="1">
      <c r="B8" s="26" t="s">
        <v>164</v>
      </c>
      <c r="C8" s="25">
        <f t="shared" ref="C8:V8" si="12">+SUM(C6:C7)</f>
        <v>37971</v>
      </c>
      <c r="D8" s="25">
        <f t="shared" si="12"/>
        <v>38108</v>
      </c>
      <c r="E8" s="25">
        <f t="shared" si="12"/>
        <v>38298</v>
      </c>
      <c r="F8" s="25">
        <f t="shared" si="12"/>
        <v>38695</v>
      </c>
      <c r="G8" s="25">
        <f t="shared" si="12"/>
        <v>38984</v>
      </c>
      <c r="H8" s="25">
        <f t="shared" si="12"/>
        <v>39020</v>
      </c>
      <c r="I8" s="25">
        <f t="shared" si="12"/>
        <v>39096</v>
      </c>
      <c r="J8" s="25">
        <f t="shared" si="12"/>
        <v>87851</v>
      </c>
      <c r="K8" s="25">
        <f t="shared" si="12"/>
        <v>39160</v>
      </c>
      <c r="L8" s="25">
        <f t="shared" si="12"/>
        <v>39396</v>
      </c>
      <c r="M8" s="25">
        <f t="shared" si="12"/>
        <v>39676</v>
      </c>
      <c r="N8" s="25">
        <f t="shared" si="12"/>
        <v>33031</v>
      </c>
      <c r="O8" s="25">
        <f t="shared" si="12"/>
        <v>40344</v>
      </c>
      <c r="P8" s="25">
        <f t="shared" si="12"/>
        <v>39696</v>
      </c>
      <c r="Q8" s="25">
        <f t="shared" si="12"/>
        <v>39980</v>
      </c>
      <c r="R8" s="25">
        <f t="shared" si="12"/>
        <v>40275</v>
      </c>
      <c r="S8" s="25">
        <f t="shared" si="12"/>
        <v>40535</v>
      </c>
      <c r="T8" s="25">
        <f t="shared" si="12"/>
        <v>40801</v>
      </c>
      <c r="U8" s="25">
        <f t="shared" si="12"/>
        <v>41198</v>
      </c>
      <c r="V8" s="25">
        <f t="shared" si="12"/>
        <v>41822</v>
      </c>
      <c r="W8" s="25">
        <f>+SUM(W6:W7)</f>
        <v>42018</v>
      </c>
      <c r="X8" s="25">
        <f>+SUM(X6:X7)</f>
        <v>42406</v>
      </c>
      <c r="AN8" s="25">
        <f t="shared" ref="AN8:AR8" si="13">+SUM(AN6:AN7)</f>
        <v>37855</v>
      </c>
      <c r="AO8" s="25">
        <f t="shared" si="13"/>
        <v>38695</v>
      </c>
      <c r="AP8" s="55">
        <f t="shared" si="13"/>
        <v>39198</v>
      </c>
      <c r="AQ8" s="55">
        <f t="shared" si="13"/>
        <v>33031</v>
      </c>
      <c r="AR8" s="55">
        <f t="shared" si="13"/>
        <v>40275</v>
      </c>
      <c r="AS8" s="55">
        <f>+SUM(AS6:AS7)</f>
        <v>41822</v>
      </c>
      <c r="AT8" s="55">
        <f>+SUM(AT6:AT7)</f>
        <v>43731.766000000003</v>
      </c>
      <c r="AU8" s="55">
        <f t="shared" ref="AU8:BC8" si="14">+SUM(AU6:AU7)</f>
        <v>45728.740833200012</v>
      </c>
      <c r="AV8" s="55">
        <f t="shared" si="14"/>
        <v>47816.906906992255</v>
      </c>
      <c r="AW8" s="55">
        <f t="shared" si="14"/>
        <v>50000.428488153979</v>
      </c>
      <c r="AX8" s="55">
        <f t="shared" si="14"/>
        <v>52283.660007672843</v>
      </c>
      <c r="AY8" s="55">
        <f t="shared" si="14"/>
        <v>54671.154744826177</v>
      </c>
      <c r="AZ8" s="55">
        <f t="shared" si="14"/>
        <v>57167.673907833538</v>
      </c>
      <c r="BA8" s="55">
        <f t="shared" si="14"/>
        <v>59778.196129192933</v>
      </c>
      <c r="BB8" s="55">
        <f t="shared" si="14"/>
        <v>62507.927394638165</v>
      </c>
      <c r="BC8" s="55">
        <f t="shared" si="14"/>
        <v>65362.311425519598</v>
      </c>
      <c r="BD8" s="55"/>
    </row>
    <row r="9" spans="1:255" s="22" customFormat="1">
      <c r="B9" s="23"/>
      <c r="AP9" s="56"/>
      <c r="AQ9" s="56">
        <f>+AQ6-AP6</f>
        <v>-6226</v>
      </c>
      <c r="AR9" s="56">
        <f>+AR6-AQ6</f>
        <v>7874</v>
      </c>
      <c r="AS9" s="56">
        <f>+AS6-AR6</f>
        <v>1511</v>
      </c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</row>
    <row r="10" spans="1:255" s="22" customFormat="1">
      <c r="A10" s="27"/>
      <c r="B10" s="23" t="s">
        <v>166</v>
      </c>
      <c r="C10" s="46">
        <f>+C16/(C7)</f>
        <v>0.83197177868548089</v>
      </c>
      <c r="D10" s="46">
        <f t="shared" ref="D10:W10" si="15">+D16/(D7)</f>
        <v>0.9068379297317718</v>
      </c>
      <c r="E10" s="46">
        <f t="shared" si="15"/>
        <v>0.9171157495256167</v>
      </c>
      <c r="F10" s="46">
        <f t="shared" si="15"/>
        <v>0.89654779969650988</v>
      </c>
      <c r="G10" s="46">
        <f t="shared" si="15"/>
        <v>0.76822146378460365</v>
      </c>
      <c r="H10" s="46">
        <f t="shared" si="15"/>
        <v>0.60162325405813522</v>
      </c>
      <c r="I10" s="46">
        <f t="shared" si="15"/>
        <v>0.86019563581640335</v>
      </c>
      <c r="J10" s="46">
        <f t="shared" si="15"/>
        <v>4.3508669394116503E-2</v>
      </c>
      <c r="K10" s="46">
        <f t="shared" si="15"/>
        <v>0.80773542600896864</v>
      </c>
      <c r="L10" s="46">
        <f t="shared" si="15"/>
        <v>0.92896603210153039</v>
      </c>
      <c r="M10" s="46">
        <f t="shared" si="15"/>
        <v>0.96594795539033462</v>
      </c>
      <c r="N10" s="46">
        <f t="shared" si="15"/>
        <v>0.92792397660818715</v>
      </c>
      <c r="O10" s="46">
        <f t="shared" si="15"/>
        <v>0.82464183381088829</v>
      </c>
      <c r="P10" s="46">
        <f t="shared" si="15"/>
        <v>1.0397637795275592</v>
      </c>
      <c r="Q10" s="46">
        <f t="shared" si="15"/>
        <v>1.0364878048780488</v>
      </c>
      <c r="R10" s="46">
        <f t="shared" si="15"/>
        <v>1.0486229819563153</v>
      </c>
      <c r="S10" s="46">
        <f t="shared" si="15"/>
        <v>1.0501888574126534</v>
      </c>
      <c r="T10" s="46">
        <f t="shared" si="15"/>
        <v>1.1692524682651622</v>
      </c>
      <c r="U10" s="46">
        <f t="shared" si="15"/>
        <v>1.1922574626865672</v>
      </c>
      <c r="V10" s="46">
        <f t="shared" si="15"/>
        <v>1.1550420168067226</v>
      </c>
      <c r="W10" s="46">
        <f t="shared" si="15"/>
        <v>1.093822573153739</v>
      </c>
      <c r="X10" s="46">
        <f t="shared" ref="X10" si="16">+X16/(X7)</f>
        <v>1.1351476014760147</v>
      </c>
      <c r="AN10" s="46">
        <f>+AN16/(AN7)</f>
        <v>3.6146931407942242</v>
      </c>
      <c r="AO10" s="46">
        <f t="shared" ref="AO10:AS10" si="17">+AO16/(AO7)</f>
        <v>3.5738998482549316</v>
      </c>
      <c r="AP10" s="57">
        <f t="shared" si="17"/>
        <v>3.0404183787822188</v>
      </c>
      <c r="AQ10" s="57">
        <f t="shared" si="17"/>
        <v>3.5772660818713451</v>
      </c>
      <c r="AR10" s="57">
        <f t="shared" si="17"/>
        <v>4.1540360873694215</v>
      </c>
      <c r="AS10" s="57">
        <f t="shared" si="17"/>
        <v>4.5478991596638654</v>
      </c>
      <c r="AT10" s="57">
        <f>+AS10*1.01</f>
        <v>4.5933781512605041</v>
      </c>
      <c r="AU10" s="57">
        <f t="shared" ref="AU10:BC10" si="18">+AT10*1.01</f>
        <v>4.6393119327731096</v>
      </c>
      <c r="AV10" s="57">
        <f t="shared" si="18"/>
        <v>4.6857050521008405</v>
      </c>
      <c r="AW10" s="57">
        <f t="shared" si="18"/>
        <v>4.7325621026218494</v>
      </c>
      <c r="AX10" s="57">
        <f t="shared" si="18"/>
        <v>4.7798877236480681</v>
      </c>
      <c r="AY10" s="57">
        <f t="shared" si="18"/>
        <v>4.8276866008845492</v>
      </c>
      <c r="AZ10" s="57">
        <f t="shared" si="18"/>
        <v>4.8759634668933947</v>
      </c>
      <c r="BA10" s="57">
        <f t="shared" si="18"/>
        <v>4.9247231015623285</v>
      </c>
      <c r="BB10" s="57">
        <f t="shared" si="18"/>
        <v>4.9739703325779514</v>
      </c>
      <c r="BC10" s="57">
        <f t="shared" si="18"/>
        <v>5.023710035903731</v>
      </c>
      <c r="BD10" s="56"/>
    </row>
    <row r="11" spans="1:255" s="30" customFormat="1" ht="11">
      <c r="A11" s="28"/>
      <c r="B11" s="29" t="s">
        <v>167</v>
      </c>
      <c r="G11" s="31">
        <f t="shared" ref="G11:X11" si="19">+G10/C10-1</f>
        <v>-7.6625573768383082E-2</v>
      </c>
      <c r="H11" s="31">
        <f t="shared" si="19"/>
        <v>-0.33657025766877025</v>
      </c>
      <c r="I11" s="31">
        <f t="shared" si="19"/>
        <v>-6.2064263686078425E-2</v>
      </c>
      <c r="J11" s="31">
        <f t="shared" si="19"/>
        <v>-0.9514708870973253</v>
      </c>
      <c r="K11" s="31">
        <f t="shared" si="19"/>
        <v>5.1435639443997649E-2</v>
      </c>
      <c r="L11" s="31">
        <f t="shared" si="19"/>
        <v>0.54409927780445111</v>
      </c>
      <c r="M11" s="31">
        <f t="shared" si="19"/>
        <v>0.12293984667053426</v>
      </c>
      <c r="N11" s="31">
        <f t="shared" si="19"/>
        <v>20.327335207673954</v>
      </c>
      <c r="O11" s="31">
        <f t="shared" si="19"/>
        <v>2.0930625620142029E-2</v>
      </c>
      <c r="P11" s="31">
        <f t="shared" si="19"/>
        <v>0.11926996638981446</v>
      </c>
      <c r="Q11" s="31">
        <f t="shared" si="19"/>
        <v>7.3026552925627763E-2</v>
      </c>
      <c r="R11" s="31">
        <f t="shared" si="19"/>
        <v>0.1300742392596812</v>
      </c>
      <c r="S11" s="31">
        <f t="shared" si="19"/>
        <v>0.27350907309595573</v>
      </c>
      <c r="T11" s="31">
        <f t="shared" si="19"/>
        <v>0.12453664119405961</v>
      </c>
      <c r="U11" s="31">
        <f t="shared" si="19"/>
        <v>0.15028604974937054</v>
      </c>
      <c r="V11" s="31">
        <f t="shared" si="19"/>
        <v>0.10148455324893946</v>
      </c>
      <c r="W11" s="31">
        <f t="shared" si="19"/>
        <v>4.1548446675187423E-2</v>
      </c>
      <c r="X11" s="31">
        <f t="shared" si="19"/>
        <v>-2.916809475694282E-2</v>
      </c>
      <c r="Y11" s="31"/>
      <c r="AO11" s="31">
        <f>+AO10/AN10-1</f>
        <v>-1.1285409563238757E-2</v>
      </c>
      <c r="AP11" s="58">
        <f>+AP10/AO10-1</f>
        <v>-0.14927152190154458</v>
      </c>
      <c r="AQ11" s="58">
        <f>+AQ10/AP10-1</f>
        <v>0.17657033875191552</v>
      </c>
      <c r="AR11" s="58">
        <f>+AR10/AQ10-1</f>
        <v>0.16123206725409589</v>
      </c>
      <c r="AS11" s="58">
        <f>+AS10/AR10-1</f>
        <v>9.4814552404107966E-2</v>
      </c>
      <c r="AT11" s="59">
        <v>0.02</v>
      </c>
      <c r="AU11" s="59">
        <v>0.03</v>
      </c>
      <c r="AV11" s="59">
        <v>0.03</v>
      </c>
      <c r="AW11" s="59">
        <v>0.03</v>
      </c>
      <c r="AX11" s="59">
        <v>0.03</v>
      </c>
      <c r="AY11" s="59">
        <v>0.03</v>
      </c>
      <c r="AZ11" s="59">
        <v>0.03</v>
      </c>
      <c r="BA11" s="59">
        <v>0.03</v>
      </c>
      <c r="BB11" s="59">
        <v>0.03</v>
      </c>
      <c r="BC11" s="59">
        <v>0.03</v>
      </c>
      <c r="BD11" s="60"/>
    </row>
    <row r="12" spans="1:255" s="46" customFormat="1">
      <c r="A12" s="47"/>
      <c r="B12" s="48" t="s">
        <v>165</v>
      </c>
      <c r="C12" s="46">
        <f>+C17/(C6)</f>
        <v>7.6962979760757416E-2</v>
      </c>
      <c r="D12" s="46">
        <f t="shared" ref="D12:W12" si="20">+D17/(D6)</f>
        <v>8.2933363413327327E-2</v>
      </c>
      <c r="E12" s="46">
        <f t="shared" si="20"/>
        <v>8.4513361186664054E-2</v>
      </c>
      <c r="F12" s="46">
        <f t="shared" si="20"/>
        <v>8.2800410438448088E-2</v>
      </c>
      <c r="G12" s="46">
        <f t="shared" si="20"/>
        <v>7.1752826918315124E-2</v>
      </c>
      <c r="H12" s="46">
        <f t="shared" si="20"/>
        <v>5.7408374804102172E-2</v>
      </c>
      <c r="I12" s="46">
        <f t="shared" si="20"/>
        <v>8.3561117514682481E-2</v>
      </c>
      <c r="J12" s="46">
        <f t="shared" si="20"/>
        <v>8.1742011445469734E-2</v>
      </c>
      <c r="K12" s="46">
        <f t="shared" si="20"/>
        <v>7.8867448744655191E-2</v>
      </c>
      <c r="L12" s="46">
        <f t="shared" si="20"/>
        <v>9.0045483018765138E-2</v>
      </c>
      <c r="M12" s="46">
        <f t="shared" si="20"/>
        <v>9.4906180717028055E-2</v>
      </c>
      <c r="N12" s="46">
        <f t="shared" si="20"/>
        <v>0.11195246740386203</v>
      </c>
      <c r="O12" s="46">
        <f t="shared" si="20"/>
        <v>8.6887515977844054E-2</v>
      </c>
      <c r="P12" s="46">
        <f t="shared" si="20"/>
        <v>9.3638487680543767E-2</v>
      </c>
      <c r="Q12" s="46">
        <f t="shared" si="20"/>
        <v>9.6788821513314E-2</v>
      </c>
      <c r="R12" s="46">
        <f t="shared" si="20"/>
        <v>9.5496345201603397E-2</v>
      </c>
      <c r="S12" s="46">
        <f t="shared" si="20"/>
        <v>9.3383137673425834E-2</v>
      </c>
      <c r="T12" s="46">
        <f t="shared" si="20"/>
        <v>0.10170398717484616</v>
      </c>
      <c r="U12" s="46">
        <f t="shared" si="20"/>
        <v>0.10362830952015158</v>
      </c>
      <c r="V12" s="46">
        <f t="shared" si="20"/>
        <v>9.7494959677419349E-2</v>
      </c>
      <c r="W12" s="46">
        <f t="shared" si="20"/>
        <v>9.3390191897654587E-2</v>
      </c>
      <c r="X12" s="46">
        <f t="shared" ref="X12" si="21">+X17/(X6)</f>
        <v>9.7917391520453298E-2</v>
      </c>
      <c r="AN12" s="46">
        <f>+AN17/(AN6)</f>
        <v>0.31388057574462019</v>
      </c>
      <c r="AO12" s="46">
        <f t="shared" ref="AO12:AS12" si="22">+AO17/(AO6)</f>
        <v>0.32323969050722429</v>
      </c>
      <c r="AP12" s="57">
        <f t="shared" si="22"/>
        <v>0.29369677719668136</v>
      </c>
      <c r="AQ12" s="57">
        <f t="shared" si="22"/>
        <v>0.43193266215547121</v>
      </c>
      <c r="AR12" s="57">
        <f t="shared" si="22"/>
        <v>0.36956168618512403</v>
      </c>
      <c r="AS12" s="57">
        <f t="shared" si="22"/>
        <v>0.38902469758064517</v>
      </c>
      <c r="AT12" s="57">
        <f>+AS12*1.01</f>
        <v>0.39291494455645165</v>
      </c>
      <c r="AU12" s="57">
        <f t="shared" ref="AU12:BC12" si="23">+AT12*1.01</f>
        <v>0.39684409400201615</v>
      </c>
      <c r="AV12" s="57">
        <f t="shared" si="23"/>
        <v>0.40081253494203634</v>
      </c>
      <c r="AW12" s="57">
        <f t="shared" si="23"/>
        <v>0.40482066029145669</v>
      </c>
      <c r="AX12" s="57">
        <f t="shared" si="23"/>
        <v>0.40886886689437124</v>
      </c>
      <c r="AY12" s="57">
        <f t="shared" si="23"/>
        <v>0.41295755556331498</v>
      </c>
      <c r="AZ12" s="57">
        <f t="shared" si="23"/>
        <v>0.41708713111894813</v>
      </c>
      <c r="BA12" s="57">
        <f t="shared" si="23"/>
        <v>0.42125800243013761</v>
      </c>
      <c r="BB12" s="57">
        <f t="shared" si="23"/>
        <v>0.42547058245443897</v>
      </c>
      <c r="BC12" s="57">
        <f t="shared" si="23"/>
        <v>0.42972528827898338</v>
      </c>
      <c r="BD12" s="57"/>
    </row>
    <row r="13" spans="1:255" s="30" customFormat="1" ht="11">
      <c r="A13" s="28"/>
      <c r="B13" s="29" t="s">
        <v>168</v>
      </c>
      <c r="G13" s="31">
        <f t="shared" ref="G13:X13" si="24">+G12/C12-1</f>
        <v>-6.7696870087908034E-2</v>
      </c>
      <c r="H13" s="31">
        <f t="shared" si="24"/>
        <v>-0.30777708221011701</v>
      </c>
      <c r="I13" s="31">
        <f t="shared" si="24"/>
        <v>-1.1267374277995623E-2</v>
      </c>
      <c r="J13" s="31">
        <f t="shared" si="24"/>
        <v>-1.2782533170715871E-2</v>
      </c>
      <c r="K13" s="31">
        <f t="shared" si="24"/>
        <v>9.9154585706281662E-2</v>
      </c>
      <c r="L13" s="31">
        <f t="shared" si="24"/>
        <v>0.56850778873348018</v>
      </c>
      <c r="M13" s="31">
        <f t="shared" si="24"/>
        <v>0.13576964430079741</v>
      </c>
      <c r="N13" s="31">
        <f t="shared" si="24"/>
        <v>0.36958297727412481</v>
      </c>
      <c r="O13" s="31">
        <f t="shared" si="24"/>
        <v>0.10169046115787261</v>
      </c>
      <c r="P13" s="31">
        <f t="shared" si="24"/>
        <v>3.9902108815717652E-2</v>
      </c>
      <c r="Q13" s="31">
        <f t="shared" si="24"/>
        <v>1.9836861857282173E-2</v>
      </c>
      <c r="R13" s="31">
        <f t="shared" si="24"/>
        <v>-0.14699204567679713</v>
      </c>
      <c r="S13" s="31">
        <f t="shared" si="24"/>
        <v>7.4758975699548591E-2</v>
      </c>
      <c r="T13" s="31">
        <f t="shared" si="24"/>
        <v>8.6134448495351457E-2</v>
      </c>
      <c r="U13" s="31">
        <f t="shared" si="24"/>
        <v>7.0664028137761292E-2</v>
      </c>
      <c r="V13" s="31">
        <f t="shared" si="24"/>
        <v>2.092870121465551E-2</v>
      </c>
      <c r="W13" s="31">
        <f t="shared" si="24"/>
        <v>7.554066402670756E-5</v>
      </c>
      <c r="X13" s="31">
        <f t="shared" si="24"/>
        <v>-3.7231535946403715E-2</v>
      </c>
      <c r="Y13" s="31"/>
      <c r="AO13" s="31"/>
      <c r="AP13" s="58"/>
      <c r="AQ13" s="58"/>
      <c r="AR13" s="58"/>
      <c r="AS13" s="58"/>
      <c r="AT13" s="61"/>
      <c r="AU13" s="59"/>
      <c r="AV13" s="59"/>
      <c r="AW13" s="59"/>
      <c r="AX13" s="59"/>
      <c r="AY13" s="59"/>
      <c r="AZ13" s="59"/>
      <c r="BA13" s="59"/>
      <c r="BB13" s="59"/>
      <c r="BC13" s="59"/>
      <c r="BD13" s="60"/>
    </row>
    <row r="14" spans="1:255" s="22" customFormat="1">
      <c r="A14" s="27"/>
      <c r="B14" s="2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AO14" s="32"/>
      <c r="AP14" s="62"/>
      <c r="AQ14" s="62"/>
      <c r="AR14" s="62"/>
      <c r="AS14" s="62"/>
      <c r="AT14" s="63"/>
      <c r="AU14" s="63"/>
      <c r="AV14" s="63"/>
      <c r="AW14" s="64"/>
      <c r="AX14" s="64"/>
      <c r="AY14" s="64"/>
      <c r="AZ14" s="64"/>
      <c r="BA14" s="64"/>
      <c r="BB14" s="64"/>
      <c r="BC14" s="64"/>
      <c r="BD14" s="56"/>
    </row>
    <row r="15" spans="1:255" s="51" customFormat="1">
      <c r="A15" s="49"/>
      <c r="B15" s="50" t="s">
        <v>170</v>
      </c>
      <c r="D15" s="51">
        <v>6.5000000000000002E-2</v>
      </c>
      <c r="E15" s="51">
        <v>5.8999999999999997E-2</v>
      </c>
      <c r="F15" s="51">
        <f>+AO15</f>
        <v>5.8999999999999997E-2</v>
      </c>
      <c r="G15" s="51">
        <v>-3.4000000000000002E-2</v>
      </c>
      <c r="H15" s="51">
        <v>-0.23899999999999999</v>
      </c>
      <c r="I15" s="51">
        <v>-2.1999999999999999E-2</v>
      </c>
      <c r="J15" s="51">
        <f>+AP15</f>
        <v>-7.6999999999999999E-2</v>
      </c>
      <c r="K15" s="51">
        <v>7.4999999999999997E-2</v>
      </c>
      <c r="L15" s="51">
        <v>0.40500000000000003</v>
      </c>
      <c r="M15" s="51">
        <v>0.127</v>
      </c>
      <c r="N15" s="51">
        <f>+AQ15</f>
        <v>0.17</v>
      </c>
      <c r="O15" s="51">
        <v>0.11799999999999999</v>
      </c>
      <c r="P15" s="51">
        <v>9.7000000000000003E-2</v>
      </c>
      <c r="Q15" s="51">
        <v>9.5000000000000001E-2</v>
      </c>
      <c r="R15" s="51">
        <f>+AR15</f>
        <v>0.109</v>
      </c>
      <c r="S15" s="51">
        <v>0.126</v>
      </c>
      <c r="T15" s="51">
        <v>0.11700000000000001</v>
      </c>
      <c r="U15" s="51">
        <v>8.7999999999999995E-2</v>
      </c>
      <c r="V15" s="51">
        <f>+AS15</f>
        <v>0.09</v>
      </c>
      <c r="W15" s="52">
        <v>1.9E-2</v>
      </c>
      <c r="X15" s="51">
        <v>-0.01</v>
      </c>
      <c r="AN15" s="51">
        <v>4.4999999999999998E-2</v>
      </c>
      <c r="AO15" s="51">
        <v>5.8999999999999997E-2</v>
      </c>
      <c r="AP15" s="65">
        <v>-7.6999999999999999E-2</v>
      </c>
      <c r="AQ15" s="65">
        <v>0.17</v>
      </c>
      <c r="AR15" s="66">
        <v>0.109</v>
      </c>
      <c r="AS15" s="66">
        <v>0.09</v>
      </c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5"/>
    </row>
    <row r="16" spans="1:255">
      <c r="B16" s="21" t="s">
        <v>19</v>
      </c>
      <c r="C16" s="24">
        <v>2240.5</v>
      </c>
      <c r="D16" s="24">
        <v>2400.4</v>
      </c>
      <c r="E16" s="24">
        <v>2416.6</v>
      </c>
      <c r="F16" s="24">
        <v>2363.3000000000002</v>
      </c>
      <c r="G16" s="24">
        <v>2025.8</v>
      </c>
      <c r="H16" s="24">
        <v>1593.7</v>
      </c>
      <c r="I16" s="24">
        <v>2286.4</v>
      </c>
      <c r="J16" s="24">
        <v>2233.3000000000002</v>
      </c>
      <c r="K16" s="24">
        <v>2161.5</v>
      </c>
      <c r="L16" s="24">
        <v>2488.6999999999998</v>
      </c>
      <c r="M16" s="24">
        <v>2598.4</v>
      </c>
      <c r="N16" s="24">
        <v>2538.8000000000002</v>
      </c>
      <c r="O16" s="24">
        <v>2302.4</v>
      </c>
      <c r="P16" s="24">
        <v>2112.8000000000002</v>
      </c>
      <c r="Q16" s="24">
        <v>2124.8000000000002</v>
      </c>
      <c r="R16" s="24">
        <v>2208.4</v>
      </c>
      <c r="S16" s="24">
        <v>2224.3000000000002</v>
      </c>
      <c r="T16" s="24">
        <v>2487</v>
      </c>
      <c r="U16" s="24">
        <v>2556.1999999999998</v>
      </c>
      <c r="V16" s="24">
        <v>2474.1</v>
      </c>
      <c r="W16" s="24">
        <v>2355</v>
      </c>
      <c r="X16" s="24">
        <v>2461</v>
      </c>
      <c r="AL16" s="24">
        <v>15295</v>
      </c>
      <c r="AM16" s="24">
        <v>12718.9</v>
      </c>
      <c r="AN16" s="24">
        <v>10012.700000000001</v>
      </c>
      <c r="AO16" s="24">
        <v>9420.7999999999993</v>
      </c>
      <c r="AP16" s="54">
        <v>8139.2</v>
      </c>
      <c r="AQ16" s="54">
        <v>9787.4</v>
      </c>
      <c r="AR16" s="54">
        <f>SUM(O16:R16)</f>
        <v>8748.4000000000015</v>
      </c>
      <c r="AS16" s="54">
        <f t="shared" ref="AS16:AS34" si="25">SUM(S16:V16)</f>
        <v>9741.6</v>
      </c>
      <c r="AT16" s="54">
        <f>+AT7*AT10</f>
        <v>10281.771719999999</v>
      </c>
      <c r="AU16" s="54">
        <f t="shared" ref="AU16:BC16" si="26">+AU7*AU10</f>
        <v>10851.895961873999</v>
      </c>
      <c r="AV16" s="54">
        <f t="shared" si="26"/>
        <v>11453.63359295991</v>
      </c>
      <c r="AW16" s="54">
        <f t="shared" si="26"/>
        <v>12088.737575689536</v>
      </c>
      <c r="AX16" s="54">
        <f t="shared" si="26"/>
        <v>12759.058074261522</v>
      </c>
      <c r="AY16" s="54">
        <f t="shared" si="26"/>
        <v>13466.547844479323</v>
      </c>
      <c r="AZ16" s="54">
        <f t="shared" si="26"/>
        <v>14213.267922455701</v>
      </c>
      <c r="BA16" s="54">
        <f t="shared" si="26"/>
        <v>15001.393628755868</v>
      </c>
      <c r="BB16" s="54">
        <f t="shared" si="26"/>
        <v>15833.220905470378</v>
      </c>
      <c r="BC16" s="54">
        <f t="shared" si="26"/>
        <v>16711.173004678712</v>
      </c>
      <c r="BD16" s="54"/>
    </row>
    <row r="17" spans="1:255">
      <c r="B17" s="21" t="s">
        <v>20</v>
      </c>
      <c r="C17" s="24">
        <v>2715.1</v>
      </c>
      <c r="D17" s="24">
        <v>2940.9</v>
      </c>
      <c r="E17" s="24">
        <v>3014</v>
      </c>
      <c r="F17" s="24">
        <v>2985.7</v>
      </c>
      <c r="G17" s="24">
        <v>2608</v>
      </c>
      <c r="H17" s="24">
        <v>2088</v>
      </c>
      <c r="I17" s="24">
        <v>3044.8</v>
      </c>
      <c r="J17" s="24">
        <v>2985.3</v>
      </c>
      <c r="K17" s="24">
        <v>2877.4</v>
      </c>
      <c r="L17" s="24">
        <v>3306.2</v>
      </c>
      <c r="M17" s="24">
        <v>3510.2</v>
      </c>
      <c r="N17" s="24">
        <v>3391.6</v>
      </c>
      <c r="O17" s="24">
        <v>3262.8</v>
      </c>
      <c r="P17" s="24">
        <v>3526.8</v>
      </c>
      <c r="Q17" s="24">
        <v>3671.2</v>
      </c>
      <c r="R17" s="24">
        <v>3645</v>
      </c>
      <c r="S17" s="24">
        <v>3587.5</v>
      </c>
      <c r="T17" s="24">
        <v>3933.3</v>
      </c>
      <c r="U17" s="24">
        <v>4047.1</v>
      </c>
      <c r="V17" s="24">
        <v>3868.6</v>
      </c>
      <c r="W17" s="24">
        <v>3723</v>
      </c>
      <c r="X17" s="24">
        <v>3940</v>
      </c>
      <c r="AL17" s="24">
        <v>9327</v>
      </c>
      <c r="AM17" s="24">
        <v>10101.5</v>
      </c>
      <c r="AN17" s="24">
        <v>11012.5</v>
      </c>
      <c r="AO17" s="24">
        <v>11655.7</v>
      </c>
      <c r="AP17" s="54">
        <v>10726.1</v>
      </c>
      <c r="AQ17" s="54">
        <v>13085.4</v>
      </c>
      <c r="AR17" s="54">
        <f t="shared" ref="AR17:AR34" si="27">SUM(O17:R17)</f>
        <v>14105.8</v>
      </c>
      <c r="AS17" s="54">
        <f t="shared" si="25"/>
        <v>15436.5</v>
      </c>
      <c r="AT17" s="54">
        <f>+AT6*AT12</f>
        <v>16303.367530500003</v>
      </c>
      <c r="AU17" s="54">
        <f t="shared" ref="AU17:BC17" si="28">+AU6*AU12</f>
        <v>17218.915740910292</v>
      </c>
      <c r="AV17" s="54">
        <f t="shared" si="28"/>
        <v>18185.878392172595</v>
      </c>
      <c r="AW17" s="54">
        <f t="shared" si="28"/>
        <v>19207.142765041834</v>
      </c>
      <c r="AX17" s="54">
        <f t="shared" si="28"/>
        <v>20285.758281298291</v>
      </c>
      <c r="AY17" s="54">
        <f t="shared" si="28"/>
        <v>21424.94560910116</v>
      </c>
      <c r="AZ17" s="54">
        <f t="shared" si="28"/>
        <v>22628.106279671454</v>
      </c>
      <c r="BA17" s="54">
        <f t="shared" si="28"/>
        <v>23898.832844018965</v>
      </c>
      <c r="BB17" s="54">
        <f t="shared" si="28"/>
        <v>25240.919600040539</v>
      </c>
      <c r="BC17" s="54">
        <f t="shared" si="28"/>
        <v>26658.373922020019</v>
      </c>
      <c r="BD17" s="54"/>
    </row>
    <row r="18" spans="1:255">
      <c r="B18" s="21" t="s">
        <v>21</v>
      </c>
      <c r="C18" s="24">
        <v>68.5</v>
      </c>
      <c r="D18" s="24">
        <v>68.5</v>
      </c>
      <c r="E18" s="24">
        <v>71.7</v>
      </c>
      <c r="F18" s="24">
        <v>79.2</v>
      </c>
      <c r="G18" s="24">
        <v>80.599999999999994</v>
      </c>
      <c r="H18" s="24">
        <v>79.8</v>
      </c>
      <c r="I18" s="24">
        <v>86.9</v>
      </c>
      <c r="J18" s="24">
        <v>95.2</v>
      </c>
      <c r="K18" s="24">
        <v>85.7</v>
      </c>
      <c r="L18" s="24">
        <v>93</v>
      </c>
      <c r="M18" s="24">
        <v>92.7</v>
      </c>
      <c r="N18" s="24">
        <v>78.7</v>
      </c>
      <c r="O18" s="24">
        <v>100.4</v>
      </c>
      <c r="P18" s="24">
        <v>78.8</v>
      </c>
      <c r="Q18" s="24">
        <v>76.099999999999994</v>
      </c>
      <c r="R18" s="24">
        <v>73.099999999999994</v>
      </c>
      <c r="S18" s="24">
        <v>86</v>
      </c>
      <c r="T18" s="24">
        <v>77.2</v>
      </c>
      <c r="U18" s="24">
        <v>88.9</v>
      </c>
      <c r="V18" s="24">
        <v>63.5</v>
      </c>
      <c r="W18" s="24">
        <v>91</v>
      </c>
      <c r="X18" s="24">
        <v>89</v>
      </c>
      <c r="AL18" s="24">
        <v>151</v>
      </c>
      <c r="AM18" s="24">
        <v>140</v>
      </c>
      <c r="AN18" s="24">
        <v>233</v>
      </c>
      <c r="AO18" s="24">
        <v>287.89999999999998</v>
      </c>
      <c r="AP18" s="54">
        <v>342.5</v>
      </c>
      <c r="AQ18" s="54">
        <v>350.1</v>
      </c>
      <c r="AR18" s="54">
        <f t="shared" si="27"/>
        <v>328.4</v>
      </c>
      <c r="AS18" s="54">
        <f t="shared" si="25"/>
        <v>315.60000000000002</v>
      </c>
      <c r="AT18" s="54">
        <f>+AS18</f>
        <v>315.60000000000002</v>
      </c>
      <c r="AU18" s="54">
        <f t="shared" ref="AU18:BC18" si="29">+AT18</f>
        <v>315.60000000000002</v>
      </c>
      <c r="AV18" s="54">
        <f t="shared" si="29"/>
        <v>315.60000000000002</v>
      </c>
      <c r="AW18" s="54">
        <f t="shared" si="29"/>
        <v>315.60000000000002</v>
      </c>
      <c r="AX18" s="54">
        <f t="shared" si="29"/>
        <v>315.60000000000002</v>
      </c>
      <c r="AY18" s="54">
        <f t="shared" si="29"/>
        <v>315.60000000000002</v>
      </c>
      <c r="AZ18" s="54">
        <f t="shared" si="29"/>
        <v>315.60000000000002</v>
      </c>
      <c r="BA18" s="54">
        <f t="shared" si="29"/>
        <v>315.60000000000002</v>
      </c>
      <c r="BB18" s="54">
        <f t="shared" si="29"/>
        <v>315.60000000000002</v>
      </c>
      <c r="BC18" s="54">
        <f t="shared" si="29"/>
        <v>315.60000000000002</v>
      </c>
      <c r="BD18" s="54"/>
    </row>
    <row r="19" spans="1:255" s="25" customFormat="1">
      <c r="A19" s="42"/>
      <c r="B19" s="26" t="s">
        <v>22</v>
      </c>
      <c r="C19" s="25">
        <f t="shared" ref="C19:L19" si="30">+SUM(C16:C18)</f>
        <v>5024.1000000000004</v>
      </c>
      <c r="D19" s="25">
        <f t="shared" si="30"/>
        <v>5409.8</v>
      </c>
      <c r="E19" s="25">
        <f t="shared" si="30"/>
        <v>5502.3</v>
      </c>
      <c r="F19" s="25">
        <f t="shared" si="30"/>
        <v>5428.2</v>
      </c>
      <c r="G19" s="25">
        <f t="shared" si="30"/>
        <v>4714.4000000000005</v>
      </c>
      <c r="H19" s="25">
        <f t="shared" si="30"/>
        <v>3761.5</v>
      </c>
      <c r="I19" s="25">
        <f t="shared" si="30"/>
        <v>5418.1</v>
      </c>
      <c r="J19" s="25">
        <f t="shared" si="30"/>
        <v>5313.8</v>
      </c>
      <c r="K19" s="25">
        <f t="shared" si="30"/>
        <v>5124.5999999999995</v>
      </c>
      <c r="L19" s="25">
        <f t="shared" si="30"/>
        <v>5887.9</v>
      </c>
      <c r="M19" s="25">
        <f t="shared" ref="M19:V19" si="31">+SUM(M16:M18)</f>
        <v>6201.3</v>
      </c>
      <c r="N19" s="25">
        <f t="shared" si="31"/>
        <v>6009.0999999999995</v>
      </c>
      <c r="O19" s="25">
        <f t="shared" si="31"/>
        <v>5665.6</v>
      </c>
      <c r="P19" s="25">
        <f t="shared" si="31"/>
        <v>5718.4000000000005</v>
      </c>
      <c r="Q19" s="25">
        <f t="shared" si="31"/>
        <v>5872.1</v>
      </c>
      <c r="R19" s="25">
        <f t="shared" si="31"/>
        <v>5926.5</v>
      </c>
      <c r="S19" s="25">
        <f t="shared" si="31"/>
        <v>5897.8</v>
      </c>
      <c r="T19" s="25">
        <f t="shared" si="31"/>
        <v>6497.5</v>
      </c>
      <c r="U19" s="25">
        <f t="shared" si="31"/>
        <v>6692.1999999999989</v>
      </c>
      <c r="V19" s="25">
        <f t="shared" si="31"/>
        <v>6406.2</v>
      </c>
      <c r="W19" s="25">
        <f t="shared" ref="W19" si="32">+SUM(W16:W18)</f>
        <v>6169</v>
      </c>
      <c r="X19" s="25">
        <f t="shared" ref="X19" si="33">+SUM(X16:X18)</f>
        <v>6490</v>
      </c>
      <c r="AL19" s="25">
        <f>+SUM(AL16:AL18)</f>
        <v>24773</v>
      </c>
      <c r="AM19" s="25">
        <f>+SUM(AM16:AM18)</f>
        <v>22960.400000000001</v>
      </c>
      <c r="AN19" s="25">
        <f>+SUM(AN16:AN18)</f>
        <v>21258.2</v>
      </c>
      <c r="AO19" s="25">
        <f>SUM(C19:F19)</f>
        <v>21364.400000000001</v>
      </c>
      <c r="AP19" s="55">
        <f>SUM(G19:J19)</f>
        <v>19207.800000000003</v>
      </c>
      <c r="AQ19" s="55">
        <f>SUM(K19:N19)</f>
        <v>23222.899999999998</v>
      </c>
      <c r="AR19" s="55">
        <f t="shared" si="27"/>
        <v>23182.6</v>
      </c>
      <c r="AS19" s="55">
        <f t="shared" si="25"/>
        <v>25493.7</v>
      </c>
      <c r="AT19" s="55">
        <f>SUM(AT16:AT18)</f>
        <v>26900.739250500003</v>
      </c>
      <c r="AU19" s="55">
        <f t="shared" ref="AU19:BC19" si="34">SUM(AU16:AU18)</f>
        <v>28386.411702784288</v>
      </c>
      <c r="AV19" s="55">
        <f t="shared" si="34"/>
        <v>29955.111985132506</v>
      </c>
      <c r="AW19" s="55">
        <f t="shared" si="34"/>
        <v>31611.480340731367</v>
      </c>
      <c r="AX19" s="55">
        <f t="shared" si="34"/>
        <v>33360.416355559813</v>
      </c>
      <c r="AY19" s="55">
        <f t="shared" si="34"/>
        <v>35207.093453580477</v>
      </c>
      <c r="AZ19" s="55">
        <f t="shared" si="34"/>
        <v>37156.974202127152</v>
      </c>
      <c r="BA19" s="55">
        <f t="shared" si="34"/>
        <v>39215.826472774832</v>
      </c>
      <c r="BB19" s="55">
        <f t="shared" si="34"/>
        <v>41389.740505510919</v>
      </c>
      <c r="BC19" s="55">
        <f t="shared" si="34"/>
        <v>43685.146926698733</v>
      </c>
      <c r="BD19" s="55"/>
    </row>
    <row r="20" spans="1:255">
      <c r="B20" s="21" t="s">
        <v>169</v>
      </c>
      <c r="C20" s="24">
        <v>1886.2</v>
      </c>
      <c r="D20" s="24">
        <v>1967.1</v>
      </c>
      <c r="E20" s="24">
        <v>1967.7</v>
      </c>
      <c r="F20" s="24">
        <v>1939.6</v>
      </c>
      <c r="G20" s="24">
        <v>1752.8</v>
      </c>
      <c r="H20" s="24">
        <v>1448.4</v>
      </c>
      <c r="I20" s="24">
        <v>1876.3</v>
      </c>
      <c r="J20" s="24">
        <v>1903.7</v>
      </c>
      <c r="K20" s="24">
        <v>1817.6</v>
      </c>
      <c r="L20" s="24">
        <v>2021</v>
      </c>
      <c r="M20" s="24">
        <v>2108.4</v>
      </c>
      <c r="N20" s="24">
        <v>2100.3000000000002</v>
      </c>
      <c r="O20" s="24">
        <v>1959.2</v>
      </c>
      <c r="P20" s="24">
        <v>1769.8</v>
      </c>
      <c r="Q20" s="24">
        <v>1779.6</v>
      </c>
      <c r="R20" s="24">
        <v>1872.3</v>
      </c>
      <c r="S20" s="24">
        <v>1923.1</v>
      </c>
      <c r="T20" s="24">
        <v>2091.3000000000002</v>
      </c>
      <c r="U20" s="24">
        <v>2135</v>
      </c>
      <c r="V20" s="24">
        <v>2074.6999999999998</v>
      </c>
      <c r="W20" s="24">
        <v>2035</v>
      </c>
      <c r="X20" s="24">
        <v>2074</v>
      </c>
      <c r="AM20" s="24">
        <v>4033.5</v>
      </c>
      <c r="AN20" s="24">
        <v>3153.8</v>
      </c>
      <c r="AO20" s="24">
        <f t="shared" ref="AO20:AO32" si="35">SUM(C20:F20)</f>
        <v>7760.6</v>
      </c>
      <c r="AP20" s="54">
        <f t="shared" ref="AP20:AP32" si="36">SUM(G20:J20)</f>
        <v>6981.2</v>
      </c>
      <c r="AQ20" s="54">
        <f t="shared" ref="AQ20:AQ34" si="37">SUM(K20:N20)</f>
        <v>8047.3</v>
      </c>
      <c r="AR20" s="54">
        <f t="shared" si="27"/>
        <v>7380.9000000000005</v>
      </c>
      <c r="AS20" s="54">
        <f t="shared" si="25"/>
        <v>8224.0999999999985</v>
      </c>
      <c r="AT20" s="54">
        <f>+AT19*(AS20/AS19)</f>
        <v>8678.001610987696</v>
      </c>
      <c r="AU20" s="54">
        <f t="shared" ref="AU20:BC20" si="38">+AU19*(AT20/AT19)</f>
        <v>9157.2697758610248</v>
      </c>
      <c r="AV20" s="54">
        <f t="shared" si="38"/>
        <v>9663.3221728085064</v>
      </c>
      <c r="AW20" s="54">
        <f t="shared" si="38"/>
        <v>10197.655713772767</v>
      </c>
      <c r="AX20" s="54">
        <f t="shared" si="38"/>
        <v>10761.850972976046</v>
      </c>
      <c r="AY20" s="54">
        <f t="shared" si="38"/>
        <v>11357.576862973643</v>
      </c>
      <c r="AZ20" s="54">
        <f t="shared" si="38"/>
        <v>11986.59557207129</v>
      </c>
      <c r="BA20" s="54">
        <f t="shared" si="38"/>
        <v>12650.767777715571</v>
      </c>
      <c r="BB20" s="54">
        <f t="shared" si="38"/>
        <v>13352.058151283349</v>
      </c>
      <c r="BC20" s="54">
        <f t="shared" si="38"/>
        <v>14092.541170558334</v>
      </c>
      <c r="BD20" s="54"/>
    </row>
    <row r="21" spans="1:255">
      <c r="B21" s="21" t="s">
        <v>23</v>
      </c>
      <c r="C21" s="24">
        <v>533.1</v>
      </c>
      <c r="D21" s="24">
        <v>544.70000000000005</v>
      </c>
      <c r="E21" s="24">
        <v>559.5</v>
      </c>
      <c r="F21" s="24">
        <v>563.29999999999995</v>
      </c>
      <c r="G21" s="24">
        <v>554.20000000000005</v>
      </c>
      <c r="H21" s="24">
        <v>524.5</v>
      </c>
      <c r="I21" s="24">
        <v>567.9</v>
      </c>
      <c r="J21" s="24">
        <v>560.9</v>
      </c>
      <c r="K21" s="24">
        <v>571.6</v>
      </c>
      <c r="L21" s="24">
        <v>579.1</v>
      </c>
      <c r="M21" s="24">
        <v>592.6</v>
      </c>
      <c r="N21" s="24">
        <v>591.79999999999995</v>
      </c>
      <c r="O21" s="24">
        <v>584</v>
      </c>
      <c r="P21" s="24">
        <v>588.6</v>
      </c>
      <c r="Q21" s="24">
        <v>589</v>
      </c>
      <c r="R21" s="24">
        <v>588.1</v>
      </c>
      <c r="S21" s="24">
        <v>598.29999999999995</v>
      </c>
      <c r="T21" s="24">
        <v>618.20000000000005</v>
      </c>
      <c r="U21" s="24">
        <v>625.4</v>
      </c>
      <c r="V21" s="24">
        <v>632.70000000000005</v>
      </c>
      <c r="W21" s="24">
        <v>627</v>
      </c>
      <c r="X21" s="24">
        <v>629</v>
      </c>
      <c r="AM21" s="24">
        <v>3528.5</v>
      </c>
      <c r="AN21" s="24">
        <v>2937.9</v>
      </c>
      <c r="AO21" s="24">
        <f t="shared" si="35"/>
        <v>2200.6000000000004</v>
      </c>
      <c r="AP21" s="54">
        <f t="shared" si="36"/>
        <v>2207.5</v>
      </c>
      <c r="AQ21" s="54">
        <f t="shared" si="37"/>
        <v>2335.1000000000004</v>
      </c>
      <c r="AR21" s="54">
        <f t="shared" si="27"/>
        <v>2349.6999999999998</v>
      </c>
      <c r="AS21" s="54">
        <f t="shared" si="25"/>
        <v>2474.6000000000004</v>
      </c>
      <c r="AT21" s="54">
        <f>+AT$20*(AS21/AS$20)</f>
        <v>2611.1772457229558</v>
      </c>
      <c r="AU21" s="54">
        <f t="shared" ref="AU21:BC21" si="39">+AU$20*(AT21/AT$20)</f>
        <v>2755.3871897649228</v>
      </c>
      <c r="AV21" s="54">
        <f t="shared" si="39"/>
        <v>2907.6564060300748</v>
      </c>
      <c r="AW21" s="54">
        <f t="shared" si="39"/>
        <v>3068.4353095538841</v>
      </c>
      <c r="AX21" s="54">
        <f t="shared" si="39"/>
        <v>3238.1994890293813</v>
      </c>
      <c r="AY21" s="54">
        <f t="shared" si="39"/>
        <v>3417.4511138136195</v>
      </c>
      <c r="AZ21" s="54">
        <f t="shared" si="39"/>
        <v>3606.7204195775375</v>
      </c>
      <c r="BA21" s="54">
        <f t="shared" si="39"/>
        <v>3806.567276995047</v>
      </c>
      <c r="BB21" s="54">
        <f t="shared" si="39"/>
        <v>4017.5828481129593</v>
      </c>
      <c r="BC21" s="54">
        <f t="shared" si="39"/>
        <v>4240.3913353027892</v>
      </c>
      <c r="BD21" s="54"/>
    </row>
    <row r="22" spans="1:255">
      <c r="B22" s="21" t="s">
        <v>24</v>
      </c>
      <c r="C22" s="24">
        <v>53.3</v>
      </c>
      <c r="D22" s="24">
        <v>55.4</v>
      </c>
      <c r="E22" s="24">
        <v>57.5</v>
      </c>
      <c r="F22" s="24">
        <v>57.6</v>
      </c>
      <c r="G22" s="24">
        <v>65.5</v>
      </c>
      <c r="H22" s="24">
        <v>63.3</v>
      </c>
      <c r="I22" s="24">
        <v>69.2</v>
      </c>
      <c r="J22" s="24">
        <v>69</v>
      </c>
      <c r="K22" s="24">
        <v>67.2</v>
      </c>
      <c r="L22" s="24">
        <v>68.3</v>
      </c>
      <c r="M22" s="24">
        <v>68.900000000000006</v>
      </c>
      <c r="N22" s="24">
        <v>56</v>
      </c>
      <c r="O22" s="24">
        <v>72.3</v>
      </c>
      <c r="P22" s="24">
        <v>57.9</v>
      </c>
      <c r="Q22" s="24">
        <v>57.4</v>
      </c>
      <c r="R22" s="24">
        <v>57.2</v>
      </c>
      <c r="S22" s="24">
        <v>62.8</v>
      </c>
      <c r="T22" s="24">
        <v>57</v>
      </c>
      <c r="U22" s="24">
        <v>68.099999999999994</v>
      </c>
      <c r="V22" s="24">
        <v>44.6</v>
      </c>
      <c r="W22" s="24">
        <v>68</v>
      </c>
      <c r="X22" s="24">
        <v>69</v>
      </c>
      <c r="AM22" s="24">
        <v>2847.6</v>
      </c>
      <c r="AN22" s="24">
        <v>2174.1999999999998</v>
      </c>
      <c r="AO22" s="24">
        <f t="shared" si="35"/>
        <v>223.79999999999998</v>
      </c>
      <c r="AP22" s="54">
        <f t="shared" si="36"/>
        <v>267</v>
      </c>
      <c r="AQ22" s="54">
        <f t="shared" si="37"/>
        <v>260.39999999999998</v>
      </c>
      <c r="AR22" s="54">
        <f t="shared" si="27"/>
        <v>244.8</v>
      </c>
      <c r="AS22" s="54">
        <f t="shared" si="25"/>
        <v>232.49999999999997</v>
      </c>
      <c r="AT22" s="54">
        <f>+AT$20*(AS22/AS$20)</f>
        <v>245.33205755701408</v>
      </c>
      <c r="AU22" s="54">
        <f t="shared" ref="AU22:BC22" si="40">+AU$20*(AT22/AT$20)</f>
        <v>258.88124206754401</v>
      </c>
      <c r="AV22" s="54">
        <f t="shared" si="40"/>
        <v>273.18763210296305</v>
      </c>
      <c r="AW22" s="54">
        <f t="shared" si="40"/>
        <v>288.29354621808699</v>
      </c>
      <c r="AX22" s="54">
        <f t="shared" si="40"/>
        <v>304.24366814811731</v>
      </c>
      <c r="AY22" s="54">
        <f t="shared" si="40"/>
        <v>321.08517900334056</v>
      </c>
      <c r="AZ22" s="54">
        <f t="shared" si="40"/>
        <v>338.86789685273482</v>
      </c>
      <c r="BA22" s="54">
        <f t="shared" si="40"/>
        <v>357.64442410949187</v>
      </c>
      <c r="BB22" s="54">
        <f t="shared" si="40"/>
        <v>377.47030315455555</v>
      </c>
      <c r="BC22" s="54">
        <f t="shared" si="40"/>
        <v>398.40418065865134</v>
      </c>
      <c r="BD22" s="54"/>
    </row>
    <row r="23" spans="1:255">
      <c r="B23" s="21" t="s">
        <v>25</v>
      </c>
      <c r="R23" s="24">
        <v>91.4</v>
      </c>
      <c r="S23" s="24">
        <v>99.3</v>
      </c>
      <c r="T23" s="24">
        <v>95.2</v>
      </c>
      <c r="U23" s="24">
        <v>96.7</v>
      </c>
      <c r="V23" s="24">
        <v>90.5</v>
      </c>
      <c r="W23" s="24">
        <v>99</v>
      </c>
      <c r="X23" s="24">
        <v>101</v>
      </c>
      <c r="AP23" s="54"/>
      <c r="AQ23" s="54"/>
      <c r="AR23" s="54">
        <f t="shared" si="27"/>
        <v>91.4</v>
      </c>
      <c r="AS23" s="54">
        <f t="shared" si="25"/>
        <v>381.7</v>
      </c>
      <c r="AT23" s="54">
        <f>+AT$20*(AS23/AS$20)</f>
        <v>402.76665105166575</v>
      </c>
      <c r="AU23" s="54">
        <f t="shared" ref="AU23:BC23" si="41">+AU$20*(AT23/AT$20)</f>
        <v>425.01062407389912</v>
      </c>
      <c r="AV23" s="54">
        <f t="shared" si="41"/>
        <v>448.49771687613327</v>
      </c>
      <c r="AW23" s="54">
        <f t="shared" si="41"/>
        <v>473.2974046943819</v>
      </c>
      <c r="AX23" s="54">
        <f t="shared" si="41"/>
        <v>499.48304572961877</v>
      </c>
      <c r="AY23" s="54">
        <f t="shared" si="41"/>
        <v>527.13209817451639</v>
      </c>
      <c r="AZ23" s="54">
        <f t="shared" si="41"/>
        <v>556.32634937070463</v>
      </c>
      <c r="BA23" s="54">
        <f t="shared" si="41"/>
        <v>587.15215777459343</v>
      </c>
      <c r="BB23" s="54">
        <f t="shared" si="41"/>
        <v>619.70070844771521</v>
      </c>
      <c r="BC23" s="54">
        <f t="shared" si="41"/>
        <v>654.0682828275576</v>
      </c>
      <c r="BD23" s="54"/>
    </row>
    <row r="24" spans="1:255">
      <c r="B24" s="21" t="s">
        <v>26</v>
      </c>
      <c r="C24" s="24">
        <v>437.7</v>
      </c>
      <c r="D24" s="24">
        <v>469.9</v>
      </c>
      <c r="E24" s="24">
        <v>474.6</v>
      </c>
      <c r="F24" s="24">
        <v>584.70000000000005</v>
      </c>
      <c r="G24" s="24">
        <v>516.29999999999995</v>
      </c>
      <c r="H24" s="24">
        <v>576</v>
      </c>
      <c r="I24" s="24">
        <v>454.7</v>
      </c>
      <c r="J24" s="24">
        <v>698</v>
      </c>
      <c r="K24" s="24">
        <v>490.4</v>
      </c>
      <c r="L24" s="24">
        <v>572.4</v>
      </c>
      <c r="M24" s="24">
        <v>559.6</v>
      </c>
      <c r="N24" s="24">
        <v>755.4</v>
      </c>
      <c r="O24" s="24">
        <v>584.29999999999995</v>
      </c>
      <c r="P24" s="24">
        <v>611.20000000000005</v>
      </c>
      <c r="Q24" s="24">
        <v>576.4</v>
      </c>
      <c r="R24" s="24">
        <v>720.3</v>
      </c>
      <c r="S24" s="24">
        <v>553.29999999999995</v>
      </c>
      <c r="T24" s="24">
        <v>567.5</v>
      </c>
      <c r="U24" s="24">
        <v>583.5</v>
      </c>
      <c r="V24" s="24">
        <v>730.9</v>
      </c>
      <c r="W24" s="24">
        <v>622</v>
      </c>
      <c r="X24" s="24">
        <v>590</v>
      </c>
      <c r="AM24" s="24">
        <v>2231.3000000000002</v>
      </c>
      <c r="AN24" s="24">
        <v>2200.1999999999998</v>
      </c>
      <c r="AO24" s="24">
        <f t="shared" si="35"/>
        <v>1966.8999999999999</v>
      </c>
      <c r="AP24" s="54">
        <f t="shared" si="36"/>
        <v>2245</v>
      </c>
      <c r="AQ24" s="54">
        <f t="shared" si="37"/>
        <v>2377.8000000000002</v>
      </c>
      <c r="AR24" s="54">
        <f t="shared" si="27"/>
        <v>2492.1999999999998</v>
      </c>
      <c r="AS24" s="54">
        <f t="shared" si="25"/>
        <v>2435.1999999999998</v>
      </c>
      <c r="AT24" s="54">
        <f>+AT$20*(AS24/AS$20)</f>
        <v>2569.6026948939384</v>
      </c>
      <c r="AU24" s="54">
        <f t="shared" ref="AU24:BC24" si="42">+AU$20*(AT24/AT$20)</f>
        <v>2711.5165620769162</v>
      </c>
      <c r="AV24" s="54">
        <f t="shared" si="42"/>
        <v>2861.3613836435934</v>
      </c>
      <c r="AW24" s="54">
        <f t="shared" si="42"/>
        <v>3019.580403227033</v>
      </c>
      <c r="AX24" s="54">
        <f t="shared" si="42"/>
        <v>3186.6416373087959</v>
      </c>
      <c r="AY24" s="54">
        <f t="shared" si="42"/>
        <v>3363.0392598233748</v>
      </c>
      <c r="AZ24" s="54">
        <f t="shared" si="42"/>
        <v>3549.2950641538901</v>
      </c>
      <c r="BA24" s="54">
        <f t="shared" si="42"/>
        <v>3745.9600068448781</v>
      </c>
      <c r="BB24" s="54">
        <f t="shared" si="42"/>
        <v>3953.6158375998848</v>
      </c>
      <c r="BC24" s="54">
        <f t="shared" si="42"/>
        <v>4172.8768203868694</v>
      </c>
      <c r="BD24" s="54"/>
    </row>
    <row r="25" spans="1:255">
      <c r="B25" s="21" t="s">
        <v>27</v>
      </c>
      <c r="C25" s="24">
        <v>-41.6</v>
      </c>
      <c r="D25" s="24">
        <v>35.6</v>
      </c>
      <c r="E25" s="24">
        <v>-35.299999999999997</v>
      </c>
      <c r="F25" s="24">
        <v>-78.5</v>
      </c>
      <c r="G25" s="24">
        <v>58.5</v>
      </c>
      <c r="H25" s="24">
        <v>117.2</v>
      </c>
      <c r="I25" s="24">
        <v>-152.19999999999999</v>
      </c>
      <c r="J25" s="24">
        <v>-141</v>
      </c>
      <c r="K25" s="24">
        <v>-179.4</v>
      </c>
      <c r="L25" s="24">
        <v>-127.1</v>
      </c>
      <c r="M25" s="24">
        <v>-198.8</v>
      </c>
      <c r="N25" s="24">
        <v>22</v>
      </c>
      <c r="O25" s="24">
        <v>60.5</v>
      </c>
      <c r="P25" s="24">
        <v>886.1</v>
      </c>
      <c r="Q25" s="24">
        <v>12.5</v>
      </c>
      <c r="R25" s="24">
        <v>14.5</v>
      </c>
      <c r="S25" s="24">
        <v>128.6</v>
      </c>
      <c r="T25" s="24">
        <v>-35.799999999999997</v>
      </c>
      <c r="U25" s="24">
        <v>-24.8</v>
      </c>
      <c r="V25" s="24">
        <v>30.9</v>
      </c>
      <c r="W25" s="24">
        <v>-17</v>
      </c>
      <c r="X25" s="24">
        <v>107</v>
      </c>
      <c r="AM25" s="24">
        <v>-1163.2</v>
      </c>
      <c r="AN25" s="24">
        <v>-236.8</v>
      </c>
      <c r="AO25" s="24">
        <f t="shared" si="35"/>
        <v>-119.8</v>
      </c>
      <c r="AP25" s="54">
        <f t="shared" si="36"/>
        <v>-117.5</v>
      </c>
      <c r="AQ25" s="54">
        <f t="shared" si="37"/>
        <v>-483.3</v>
      </c>
      <c r="AR25" s="54">
        <f t="shared" si="27"/>
        <v>973.6</v>
      </c>
      <c r="AS25" s="54">
        <f t="shared" si="25"/>
        <v>98.9</v>
      </c>
      <c r="AT25" s="54">
        <f>+AT$20*(AS25/AS$20)</f>
        <v>104.35845373070407</v>
      </c>
      <c r="AU25" s="54">
        <f t="shared" ref="AU25:BC25" si="43">+AU$20*(AT25/AT$20)</f>
        <v>110.12195630314022</v>
      </c>
      <c r="AV25" s="54">
        <f t="shared" si="43"/>
        <v>116.20755619347545</v>
      </c>
      <c r="AW25" s="54">
        <f t="shared" si="43"/>
        <v>122.63325471384429</v>
      </c>
      <c r="AX25" s="54">
        <f t="shared" si="43"/>
        <v>129.41805926816687</v>
      </c>
      <c r="AY25" s="54">
        <f t="shared" si="43"/>
        <v>136.58203958464676</v>
      </c>
      <c r="AZ25" s="54">
        <f t="shared" si="43"/>
        <v>144.1463870913353</v>
      </c>
      <c r="BA25" s="54">
        <f t="shared" si="43"/>
        <v>152.13347761044614</v>
      </c>
      <c r="BB25" s="54">
        <f t="shared" si="43"/>
        <v>160.566937556927</v>
      </c>
      <c r="BC25" s="54">
        <f t="shared" si="43"/>
        <v>169.47171383716386</v>
      </c>
      <c r="BD25" s="54"/>
    </row>
    <row r="26" spans="1:255">
      <c r="B26" s="21" t="s">
        <v>28</v>
      </c>
      <c r="C26" s="24">
        <f t="shared" ref="C26:L26" si="44">+SUM(C20:C25)</f>
        <v>2868.7000000000003</v>
      </c>
      <c r="D26" s="24">
        <f t="shared" si="44"/>
        <v>3072.7000000000003</v>
      </c>
      <c r="E26" s="24">
        <f t="shared" si="44"/>
        <v>3023.9999999999995</v>
      </c>
      <c r="F26" s="24">
        <f t="shared" si="44"/>
        <v>3066.7</v>
      </c>
      <c r="G26" s="24">
        <f t="shared" si="44"/>
        <v>2947.3</v>
      </c>
      <c r="H26" s="24">
        <f t="shared" si="44"/>
        <v>2729.3999999999996</v>
      </c>
      <c r="I26" s="24">
        <f t="shared" si="44"/>
        <v>2815.8999999999996</v>
      </c>
      <c r="J26" s="24">
        <f t="shared" si="44"/>
        <v>3090.6</v>
      </c>
      <c r="K26" s="24">
        <f t="shared" si="44"/>
        <v>2767.3999999999996</v>
      </c>
      <c r="L26" s="24">
        <f t="shared" si="44"/>
        <v>3113.7000000000003</v>
      </c>
      <c r="M26" s="24">
        <f t="shared" ref="M26:O26" si="45">+SUM(M20:M25)</f>
        <v>3130.7</v>
      </c>
      <c r="N26" s="24">
        <f t="shared" ref="N26" si="46">+SUM(N20:N25)</f>
        <v>3525.5000000000005</v>
      </c>
      <c r="O26" s="24">
        <f t="shared" si="45"/>
        <v>3260.3</v>
      </c>
      <c r="P26" s="24">
        <f t="shared" ref="P26:Q26" si="47">+SUM(P20:P25)</f>
        <v>3913.6</v>
      </c>
      <c r="Q26" s="24">
        <f t="shared" si="47"/>
        <v>3014.9</v>
      </c>
      <c r="R26" s="24">
        <f t="shared" ref="R26" si="48">+SUM(R20:R25)</f>
        <v>3343.8</v>
      </c>
      <c r="S26" s="24">
        <f t="shared" ref="S26" si="49">+SUM(S20:S25)</f>
        <v>3365.4</v>
      </c>
      <c r="T26" s="24">
        <f t="shared" ref="T26:U26" si="50">+SUM(T20:T25)</f>
        <v>3393.3999999999996</v>
      </c>
      <c r="U26" s="24">
        <f t="shared" si="50"/>
        <v>3483.8999999999996</v>
      </c>
      <c r="V26" s="24">
        <f t="shared" ref="V26:X26" si="51">+SUM(V20:V25)</f>
        <v>3604.2999999999997</v>
      </c>
      <c r="W26" s="24">
        <f t="shared" si="51"/>
        <v>3434</v>
      </c>
      <c r="X26" s="24">
        <f t="shared" si="51"/>
        <v>3570</v>
      </c>
      <c r="AM26" s="24">
        <f>SUM(AM20:AM25)</f>
        <v>11477.7</v>
      </c>
      <c r="AN26" s="24">
        <f>SUM(AN20:AN25)</f>
        <v>10229.300000000003</v>
      </c>
      <c r="AO26" s="24">
        <f t="shared" si="35"/>
        <v>12032.099999999999</v>
      </c>
      <c r="AP26" s="54">
        <f t="shared" si="36"/>
        <v>11583.199999999999</v>
      </c>
      <c r="AQ26" s="54">
        <f t="shared" si="37"/>
        <v>12537.3</v>
      </c>
      <c r="AR26" s="54">
        <f t="shared" si="27"/>
        <v>13532.599999999999</v>
      </c>
      <c r="AS26" s="54">
        <f t="shared" si="25"/>
        <v>13846.999999999998</v>
      </c>
      <c r="AT26" s="54">
        <f t="shared" ref="AT26" si="52">+SUM(AT20:AT25)</f>
        <v>14611.238713943974</v>
      </c>
      <c r="AU26" s="54">
        <f t="shared" ref="AU26:BC26" si="53">+SUM(AU20:AU25)</f>
        <v>15418.187350147447</v>
      </c>
      <c r="AV26" s="54">
        <f t="shared" si="53"/>
        <v>16270.232867654748</v>
      </c>
      <c r="AW26" s="54">
        <f t="shared" si="53"/>
        <v>17169.895632179996</v>
      </c>
      <c r="AX26" s="54">
        <f t="shared" si="53"/>
        <v>18119.836872460124</v>
      </c>
      <c r="AY26" s="54">
        <f t="shared" si="53"/>
        <v>19122.86655337314</v>
      </c>
      <c r="AZ26" s="54">
        <f t="shared" si="53"/>
        <v>20181.951689117494</v>
      </c>
      <c r="BA26" s="54">
        <f t="shared" si="53"/>
        <v>21300.225121050022</v>
      </c>
      <c r="BB26" s="54">
        <f t="shared" si="53"/>
        <v>22480.994786155392</v>
      </c>
      <c r="BC26" s="54">
        <f t="shared" si="53"/>
        <v>23727.753503571359</v>
      </c>
      <c r="BD26" s="54"/>
    </row>
    <row r="27" spans="1:255">
      <c r="B27" s="21" t="s">
        <v>29</v>
      </c>
      <c r="C27" s="24">
        <f t="shared" ref="C27:L27" si="54">+C19-C26</f>
        <v>2155.4</v>
      </c>
      <c r="D27" s="24">
        <f t="shared" si="54"/>
        <v>2337.1</v>
      </c>
      <c r="E27" s="24">
        <f t="shared" si="54"/>
        <v>2478.3000000000006</v>
      </c>
      <c r="F27" s="24">
        <f t="shared" si="54"/>
        <v>2361.5</v>
      </c>
      <c r="G27" s="24">
        <f t="shared" si="54"/>
        <v>1767.1000000000004</v>
      </c>
      <c r="H27" s="24">
        <f t="shared" si="54"/>
        <v>1032.1000000000004</v>
      </c>
      <c r="I27" s="24">
        <f t="shared" si="54"/>
        <v>2602.2000000000007</v>
      </c>
      <c r="J27" s="24">
        <f t="shared" si="54"/>
        <v>2223.2000000000003</v>
      </c>
      <c r="K27" s="24">
        <f t="shared" si="54"/>
        <v>2357.1999999999998</v>
      </c>
      <c r="L27" s="24">
        <f t="shared" si="54"/>
        <v>2774.1999999999994</v>
      </c>
      <c r="M27" s="24">
        <f t="shared" ref="M27:V27" si="55">+M19-M26</f>
        <v>3070.6000000000004</v>
      </c>
      <c r="N27" s="24">
        <f t="shared" si="55"/>
        <v>2483.599999999999</v>
      </c>
      <c r="O27" s="24">
        <f t="shared" si="55"/>
        <v>2405.3000000000002</v>
      </c>
      <c r="P27" s="24">
        <f t="shared" si="55"/>
        <v>1804.8000000000006</v>
      </c>
      <c r="Q27" s="24">
        <f t="shared" si="55"/>
        <v>2857.2000000000003</v>
      </c>
      <c r="R27" s="24">
        <f t="shared" si="55"/>
        <v>2582.6999999999998</v>
      </c>
      <c r="S27" s="24">
        <f t="shared" si="55"/>
        <v>2532.4</v>
      </c>
      <c r="T27" s="24">
        <f t="shared" si="55"/>
        <v>3104.1000000000004</v>
      </c>
      <c r="U27" s="24">
        <f t="shared" si="55"/>
        <v>3208.2999999999993</v>
      </c>
      <c r="V27" s="24">
        <f t="shared" si="55"/>
        <v>2801.9</v>
      </c>
      <c r="W27" s="24">
        <f t="shared" ref="W27:X27" si="56">+W19-W26</f>
        <v>2735</v>
      </c>
      <c r="X27" s="24">
        <f t="shared" si="56"/>
        <v>2920</v>
      </c>
      <c r="AM27" s="24">
        <f>+AM19-AM26</f>
        <v>11482.7</v>
      </c>
      <c r="AN27" s="24">
        <f>+AN19-AN26</f>
        <v>11028.899999999998</v>
      </c>
      <c r="AO27" s="24">
        <f t="shared" si="35"/>
        <v>9332.3000000000011</v>
      </c>
      <c r="AP27" s="54">
        <f t="shared" si="36"/>
        <v>7624.6000000000022</v>
      </c>
      <c r="AQ27" s="54">
        <f t="shared" si="37"/>
        <v>10685.599999999999</v>
      </c>
      <c r="AR27" s="54">
        <f t="shared" si="27"/>
        <v>9650</v>
      </c>
      <c r="AS27" s="54">
        <f t="shared" si="25"/>
        <v>11646.699999999999</v>
      </c>
      <c r="AT27" s="54">
        <f t="shared" ref="AT27" si="57">+AT19-AT26</f>
        <v>12289.500536556028</v>
      </c>
      <c r="AU27" s="54">
        <f t="shared" ref="AU27:BC27" si="58">+AU19-AU26</f>
        <v>12968.22435263684</v>
      </c>
      <c r="AV27" s="54">
        <f t="shared" si="58"/>
        <v>13684.879117477758</v>
      </c>
      <c r="AW27" s="54">
        <f t="shared" si="58"/>
        <v>14441.584708551371</v>
      </c>
      <c r="AX27" s="54">
        <f t="shared" si="58"/>
        <v>15240.579483099689</v>
      </c>
      <c r="AY27" s="54">
        <f t="shared" si="58"/>
        <v>16084.226900207337</v>
      </c>
      <c r="AZ27" s="54">
        <f t="shared" si="58"/>
        <v>16975.022513009659</v>
      </c>
      <c r="BA27" s="54">
        <f t="shared" si="58"/>
        <v>17915.60135172481</v>
      </c>
      <c r="BB27" s="54">
        <f t="shared" si="58"/>
        <v>18908.745719355527</v>
      </c>
      <c r="BC27" s="54">
        <f t="shared" si="58"/>
        <v>19957.393423127374</v>
      </c>
      <c r="BD27" s="54"/>
    </row>
    <row r="28" spans="1:255">
      <c r="B28" s="21" t="s">
        <v>30</v>
      </c>
      <c r="C28" s="24">
        <v>274.10000000000002</v>
      </c>
      <c r="D28" s="24">
        <v>284.2</v>
      </c>
      <c r="E28" s="24">
        <v>280.60000000000002</v>
      </c>
      <c r="F28" s="24">
        <v>283</v>
      </c>
      <c r="G28" s="24">
        <v>280</v>
      </c>
      <c r="H28" s="24">
        <v>319.10000000000002</v>
      </c>
      <c r="I28" s="24">
        <v>310.10000000000002</v>
      </c>
      <c r="J28" s="24">
        <v>308.89999999999998</v>
      </c>
      <c r="K28" s="24">
        <v>300</v>
      </c>
      <c r="L28" s="24">
        <v>296.5</v>
      </c>
      <c r="M28" s="24">
        <v>293.7</v>
      </c>
      <c r="N28" s="24">
        <v>295.60000000000002</v>
      </c>
      <c r="O28" s="24">
        <v>287.3</v>
      </c>
      <c r="P28" s="24">
        <v>290.60000000000002</v>
      </c>
      <c r="Q28" s="24">
        <v>306.2</v>
      </c>
      <c r="R28" s="24">
        <v>322.89999999999998</v>
      </c>
      <c r="S28" s="24">
        <v>329.7</v>
      </c>
      <c r="T28" s="24">
        <v>330.2</v>
      </c>
      <c r="U28" s="24">
        <v>340.7</v>
      </c>
      <c r="V28" s="24">
        <v>360.2</v>
      </c>
      <c r="W28" s="24">
        <v>372</v>
      </c>
      <c r="X28" s="24">
        <v>373</v>
      </c>
      <c r="AM28" s="24">
        <v>921.3</v>
      </c>
      <c r="AN28" s="24">
        <v>981.2</v>
      </c>
      <c r="AO28" s="24">
        <f t="shared" si="35"/>
        <v>1121.9000000000001</v>
      </c>
      <c r="AP28" s="54">
        <f t="shared" si="36"/>
        <v>1218.0999999999999</v>
      </c>
      <c r="AQ28" s="54">
        <f t="shared" si="37"/>
        <v>1185.8000000000002</v>
      </c>
      <c r="AR28" s="54">
        <f t="shared" si="27"/>
        <v>1207</v>
      </c>
      <c r="AS28" s="54">
        <f t="shared" si="25"/>
        <v>1360.8</v>
      </c>
      <c r="AT28" s="54">
        <f>+AT$27*(AS28/AS$27)</f>
        <v>1435.9047910691822</v>
      </c>
      <c r="AU28" s="54">
        <f t="shared" ref="AU28:BC28" si="59">+AU$27*(AT28/AT$27)</f>
        <v>1515.2068567979095</v>
      </c>
      <c r="AV28" s="54">
        <f t="shared" si="59"/>
        <v>1598.9407731858582</v>
      </c>
      <c r="AW28" s="54">
        <f t="shared" si="59"/>
        <v>1687.3542266390227</v>
      </c>
      <c r="AX28" s="54">
        <f t="shared" si="59"/>
        <v>1780.7087467353035</v>
      </c>
      <c r="AY28" s="54">
        <f t="shared" si="59"/>
        <v>1879.2804799472938</v>
      </c>
      <c r="AZ28" s="54">
        <f t="shared" si="59"/>
        <v>1983.3610066116191</v>
      </c>
      <c r="BA28" s="54">
        <f t="shared" si="59"/>
        <v>2093.2582035621353</v>
      </c>
      <c r="BB28" s="54">
        <f t="shared" si="59"/>
        <v>2209.2971549794361</v>
      </c>
      <c r="BC28" s="54">
        <f t="shared" si="59"/>
        <v>2331.8211141517963</v>
      </c>
      <c r="BD28" s="54"/>
    </row>
    <row r="29" spans="1:255">
      <c r="B29" s="21" t="s">
        <v>31</v>
      </c>
      <c r="C29" s="24">
        <v>-11.4</v>
      </c>
      <c r="D29" s="24">
        <v>-18.100000000000001</v>
      </c>
      <c r="E29" s="24">
        <v>-23.5</v>
      </c>
      <c r="F29" s="24">
        <v>-17.2</v>
      </c>
      <c r="G29" s="24">
        <v>-31.3</v>
      </c>
      <c r="H29" s="24">
        <v>-6.7</v>
      </c>
      <c r="I29" s="24">
        <v>-0.8</v>
      </c>
      <c r="J29" s="24">
        <v>4</v>
      </c>
      <c r="K29" s="24">
        <v>28.6</v>
      </c>
      <c r="L29" s="24">
        <v>18.600000000000001</v>
      </c>
      <c r="M29" s="24">
        <v>1.4</v>
      </c>
      <c r="N29" s="24">
        <v>-6.3</v>
      </c>
      <c r="O29" s="24">
        <v>484.1</v>
      </c>
      <c r="P29" s="24">
        <v>12.1</v>
      </c>
      <c r="Q29" s="24">
        <v>-78.5</v>
      </c>
      <c r="R29" s="24">
        <v>-79.099999999999994</v>
      </c>
      <c r="S29" s="24">
        <v>-64.3</v>
      </c>
      <c r="T29" s="24">
        <v>-42.8</v>
      </c>
      <c r="U29" s="24">
        <v>-55.9</v>
      </c>
      <c r="V29" s="24">
        <v>-73.3</v>
      </c>
      <c r="W29" s="24">
        <v>-45</v>
      </c>
      <c r="X29" s="24">
        <v>-9</v>
      </c>
      <c r="AM29" s="24">
        <v>57.9</v>
      </c>
      <c r="AN29" s="24">
        <v>25.3</v>
      </c>
      <c r="AO29" s="24">
        <f t="shared" si="35"/>
        <v>-70.2</v>
      </c>
      <c r="AP29" s="54">
        <f t="shared" si="36"/>
        <v>-34.799999999999997</v>
      </c>
      <c r="AQ29" s="54">
        <f t="shared" si="37"/>
        <v>42.300000000000004</v>
      </c>
      <c r="AR29" s="54">
        <f t="shared" si="27"/>
        <v>338.6</v>
      </c>
      <c r="AS29" s="54">
        <f t="shared" si="25"/>
        <v>-236.3</v>
      </c>
      <c r="AT29" s="54">
        <f>+AT$27*(AS29/AS$27)</f>
        <v>-249.34178580955893</v>
      </c>
      <c r="AU29" s="54">
        <f t="shared" ref="AU29:BC29" si="60">+AU$27*(AT29/AT$27)</f>
        <v>-263.11241935725019</v>
      </c>
      <c r="AV29" s="54">
        <f t="shared" si="60"/>
        <v>-277.65263426206519</v>
      </c>
      <c r="AW29" s="54">
        <f t="shared" si="60"/>
        <v>-293.00544073692026</v>
      </c>
      <c r="AX29" s="54">
        <f t="shared" si="60"/>
        <v>-309.21625283182851</v>
      </c>
      <c r="AY29" s="54">
        <f t="shared" si="60"/>
        <v>-326.33302278920161</v>
      </c>
      <c r="AZ29" s="54">
        <f t="shared" si="60"/>
        <v>-344.40638290882254</v>
      </c>
      <c r="BA29" s="54">
        <f t="shared" si="60"/>
        <v>-363.48979534224918</v>
      </c>
      <c r="BB29" s="54">
        <f t="shared" si="60"/>
        <v>-383.63971025987723</v>
      </c>
      <c r="BC29" s="54">
        <f t="shared" si="60"/>
        <v>-404.91573285866377</v>
      </c>
      <c r="BD29" s="54"/>
    </row>
    <row r="30" spans="1:255">
      <c r="B30" s="21" t="s">
        <v>32</v>
      </c>
      <c r="C30" s="24">
        <f t="shared" ref="C30:L30" si="61">+C27-SUM(C28:C29)</f>
        <v>1892.7</v>
      </c>
      <c r="D30" s="24">
        <f t="shared" si="61"/>
        <v>2071</v>
      </c>
      <c r="E30" s="24">
        <f t="shared" si="61"/>
        <v>2221.2000000000007</v>
      </c>
      <c r="F30" s="24">
        <f t="shared" si="61"/>
        <v>2095.6999999999998</v>
      </c>
      <c r="G30" s="24">
        <f t="shared" si="61"/>
        <v>1518.4000000000003</v>
      </c>
      <c r="H30" s="24">
        <f t="shared" si="61"/>
        <v>719.70000000000027</v>
      </c>
      <c r="I30" s="24">
        <f t="shared" si="61"/>
        <v>2292.9000000000005</v>
      </c>
      <c r="J30" s="24">
        <f t="shared" si="61"/>
        <v>1910.3000000000002</v>
      </c>
      <c r="K30" s="24">
        <f t="shared" si="61"/>
        <v>2028.6</v>
      </c>
      <c r="L30" s="24">
        <f t="shared" si="61"/>
        <v>2459.0999999999995</v>
      </c>
      <c r="M30" s="24">
        <f t="shared" ref="M30" si="62">+M27-SUM(M28:M29)</f>
        <v>2775.5000000000005</v>
      </c>
      <c r="N30" s="24">
        <f t="shared" ref="N30" si="63">+N27-SUM(N28:N29)</f>
        <v>2194.2999999999988</v>
      </c>
      <c r="O30" s="24">
        <f t="shared" ref="O30" si="64">+O27-SUM(O28:O29)</f>
        <v>1633.9</v>
      </c>
      <c r="P30" s="24">
        <f t="shared" ref="P30:R30" si="65">+P27-SUM(P28:P29)</f>
        <v>1502.1000000000006</v>
      </c>
      <c r="Q30" s="24">
        <f t="shared" si="65"/>
        <v>2629.5000000000005</v>
      </c>
      <c r="R30" s="24">
        <f t="shared" si="65"/>
        <v>2338.8999999999996</v>
      </c>
      <c r="S30" s="24">
        <f t="shared" ref="S30" si="66">+S27-SUM(S28:S29)</f>
        <v>2267</v>
      </c>
      <c r="T30" s="24">
        <f t="shared" ref="T30:U30" si="67">+T27-SUM(T28:T29)</f>
        <v>2816.7000000000003</v>
      </c>
      <c r="U30" s="24">
        <f t="shared" si="67"/>
        <v>2923.4999999999991</v>
      </c>
      <c r="V30" s="24">
        <f t="shared" ref="V30:X30" si="68">+V27-SUM(V28:V29)</f>
        <v>2515</v>
      </c>
      <c r="W30" s="24">
        <f t="shared" si="68"/>
        <v>2408</v>
      </c>
      <c r="X30" s="24">
        <f t="shared" si="68"/>
        <v>2556</v>
      </c>
      <c r="AM30" s="24">
        <f>+AM27-SUM(AM28:AM29)</f>
        <v>10503.5</v>
      </c>
      <c r="AN30" s="24">
        <f>+AN27-SUM(AN28:AN29)</f>
        <v>10022.399999999998</v>
      </c>
      <c r="AO30" s="24">
        <f t="shared" si="35"/>
        <v>8280.6</v>
      </c>
      <c r="AP30" s="54">
        <f t="shared" si="36"/>
        <v>6441.3000000000011</v>
      </c>
      <c r="AQ30" s="54">
        <f t="shared" si="37"/>
        <v>9457.4999999999982</v>
      </c>
      <c r="AR30" s="54">
        <f t="shared" si="27"/>
        <v>8104.4000000000015</v>
      </c>
      <c r="AS30" s="54">
        <f t="shared" si="25"/>
        <v>10522.2</v>
      </c>
      <c r="AT30" s="54">
        <f t="shared" ref="AT30" si="69">+AT27-SUM(AT28:AT29)</f>
        <v>11102.937531296404</v>
      </c>
      <c r="AU30" s="54">
        <f t="shared" ref="AU30:BC30" si="70">+AU27-SUM(AU28:AU29)</f>
        <v>11716.129915196181</v>
      </c>
      <c r="AV30" s="54">
        <f t="shared" si="70"/>
        <v>12363.590978553964</v>
      </c>
      <c r="AW30" s="54">
        <f t="shared" si="70"/>
        <v>13047.235922649268</v>
      </c>
      <c r="AX30" s="54">
        <f t="shared" si="70"/>
        <v>13769.086989196214</v>
      </c>
      <c r="AY30" s="54">
        <f t="shared" si="70"/>
        <v>14531.279443049245</v>
      </c>
      <c r="AZ30" s="54">
        <f t="shared" si="70"/>
        <v>15336.067889306862</v>
      </c>
      <c r="BA30" s="54">
        <f t="shared" si="70"/>
        <v>16185.832943504924</v>
      </c>
      <c r="BB30" s="54">
        <f t="shared" si="70"/>
        <v>17083.088274635968</v>
      </c>
      <c r="BC30" s="54">
        <f t="shared" si="70"/>
        <v>18030.488041834244</v>
      </c>
      <c r="BD30" s="54"/>
    </row>
    <row r="31" spans="1:255">
      <c r="B31" s="21" t="s">
        <v>33</v>
      </c>
      <c r="C31" s="24">
        <v>502.9</v>
      </c>
      <c r="D31" s="24">
        <v>490.9</v>
      </c>
      <c r="E31" s="24">
        <v>544.29999999999995</v>
      </c>
      <c r="F31" s="24">
        <v>454.6</v>
      </c>
      <c r="G31" s="24">
        <v>338</v>
      </c>
      <c r="H31" s="24">
        <v>164.9</v>
      </c>
      <c r="I31" s="24">
        <v>454.5</v>
      </c>
      <c r="J31" s="24">
        <v>452.8</v>
      </c>
      <c r="K31" s="24">
        <v>415.5</v>
      </c>
      <c r="L31" s="24">
        <v>156.69999999999999</v>
      </c>
      <c r="M31" s="24">
        <v>541.5</v>
      </c>
      <c r="N31" s="24">
        <v>469</v>
      </c>
      <c r="O31" s="24">
        <v>436.8</v>
      </c>
      <c r="P31" s="24">
        <v>221.1</v>
      </c>
      <c r="Q31" s="24">
        <v>554.6</v>
      </c>
      <c r="R31" s="24">
        <v>435.5</v>
      </c>
      <c r="S31" s="24">
        <v>464.7</v>
      </c>
      <c r="T31" s="24">
        <v>506.3</v>
      </c>
      <c r="U31" s="24">
        <v>606.4</v>
      </c>
      <c r="V31" s="24">
        <v>476</v>
      </c>
      <c r="W31" s="24">
        <v>479</v>
      </c>
      <c r="X31" s="24">
        <v>533</v>
      </c>
      <c r="AM31" s="24">
        <v>3381.2</v>
      </c>
      <c r="AN31" s="24">
        <v>1891.8</v>
      </c>
      <c r="AO31" s="24">
        <f t="shared" si="35"/>
        <v>1992.6999999999998</v>
      </c>
      <c r="AP31" s="54">
        <f t="shared" si="36"/>
        <v>1410.2</v>
      </c>
      <c r="AQ31" s="54">
        <f t="shared" si="37"/>
        <v>1582.7</v>
      </c>
      <c r="AR31" s="54">
        <f t="shared" si="27"/>
        <v>1648</v>
      </c>
      <c r="AS31" s="54">
        <f t="shared" si="25"/>
        <v>2053.4</v>
      </c>
      <c r="AT31" s="54">
        <f>+AT30*AVERAGE(0.2,0.22)</f>
        <v>2331.6168815722449</v>
      </c>
      <c r="AU31" s="54">
        <f t="shared" ref="AU31:BC31" si="71">+AU30*AVERAGE(0.2,0.22)</f>
        <v>2460.3872821911982</v>
      </c>
      <c r="AV31" s="54">
        <f t="shared" si="71"/>
        <v>2596.354105496333</v>
      </c>
      <c r="AW31" s="54">
        <f t="shared" si="71"/>
        <v>2739.9195437563467</v>
      </c>
      <c r="AX31" s="54">
        <f t="shared" si="71"/>
        <v>2891.5082677312053</v>
      </c>
      <c r="AY31" s="54">
        <f t="shared" si="71"/>
        <v>3051.5686830403415</v>
      </c>
      <c r="AZ31" s="54">
        <f t="shared" si="71"/>
        <v>3220.5742567544412</v>
      </c>
      <c r="BA31" s="54">
        <f t="shared" si="71"/>
        <v>3399.0249181360341</v>
      </c>
      <c r="BB31" s="54">
        <f t="shared" si="71"/>
        <v>3587.4485376735533</v>
      </c>
      <c r="BC31" s="54">
        <f t="shared" si="71"/>
        <v>3786.4024887851915</v>
      </c>
      <c r="BD31" s="54"/>
    </row>
    <row r="32" spans="1:255">
      <c r="B32" s="21" t="s">
        <v>34</v>
      </c>
      <c r="C32" s="24">
        <f t="shared" ref="C32:L32" si="72">+C30-C31</f>
        <v>1389.8000000000002</v>
      </c>
      <c r="D32" s="24">
        <f t="shared" si="72"/>
        <v>1580.1</v>
      </c>
      <c r="E32" s="24">
        <f t="shared" si="72"/>
        <v>1676.9000000000008</v>
      </c>
      <c r="F32" s="24">
        <f t="shared" si="72"/>
        <v>1641.1</v>
      </c>
      <c r="G32" s="24">
        <f t="shared" si="72"/>
        <v>1180.4000000000003</v>
      </c>
      <c r="H32" s="24">
        <f t="shared" si="72"/>
        <v>554.8000000000003</v>
      </c>
      <c r="I32" s="24">
        <f t="shared" si="72"/>
        <v>1838.4000000000005</v>
      </c>
      <c r="J32" s="24">
        <f t="shared" si="72"/>
        <v>1457.5000000000002</v>
      </c>
      <c r="K32" s="24">
        <f t="shared" si="72"/>
        <v>1613.1</v>
      </c>
      <c r="L32" s="24">
        <f t="shared" si="72"/>
        <v>2302.3999999999996</v>
      </c>
      <c r="M32" s="24">
        <f t="shared" ref="M32" si="73">+M30-M31</f>
        <v>2234.0000000000005</v>
      </c>
      <c r="N32" s="24">
        <f t="shared" ref="N32" si="74">+N30-N31</f>
        <v>1725.2999999999988</v>
      </c>
      <c r="O32" s="24">
        <f t="shared" ref="O32" si="75">+O30-O31</f>
        <v>1197.1000000000001</v>
      </c>
      <c r="P32" s="24">
        <f t="shared" ref="P32:R32" si="76">+P30-P31</f>
        <v>1281.0000000000007</v>
      </c>
      <c r="Q32" s="24">
        <f t="shared" si="76"/>
        <v>2074.9000000000005</v>
      </c>
      <c r="R32" s="24">
        <f t="shared" si="76"/>
        <v>1903.3999999999996</v>
      </c>
      <c r="S32" s="24">
        <f t="shared" ref="S32" si="77">+S30-S31</f>
        <v>1802.3</v>
      </c>
      <c r="T32" s="24">
        <f t="shared" ref="T32:U32" si="78">+T30-T31</f>
        <v>2310.4</v>
      </c>
      <c r="U32" s="24">
        <f t="shared" si="78"/>
        <v>2317.099999999999</v>
      </c>
      <c r="V32" s="24">
        <f t="shared" ref="V32:X32" si="79">+V30-V31</f>
        <v>2039</v>
      </c>
      <c r="W32" s="24">
        <f t="shared" si="79"/>
        <v>1929</v>
      </c>
      <c r="X32" s="24">
        <f t="shared" si="79"/>
        <v>2023</v>
      </c>
      <c r="AM32" s="24">
        <f>+AM30-AM31</f>
        <v>7122.3</v>
      </c>
      <c r="AN32" s="24">
        <f>+AN30-AN31</f>
        <v>8130.5999999999976</v>
      </c>
      <c r="AO32" s="24">
        <f t="shared" si="35"/>
        <v>6287.9000000000015</v>
      </c>
      <c r="AP32" s="54">
        <f t="shared" si="36"/>
        <v>5031.1000000000013</v>
      </c>
      <c r="AQ32" s="54">
        <f>SUM(K32:N32)</f>
        <v>7874.7999999999993</v>
      </c>
      <c r="AR32" s="54">
        <f t="shared" si="27"/>
        <v>6456.4000000000015</v>
      </c>
      <c r="AS32" s="54">
        <f t="shared" si="25"/>
        <v>8468.7999999999993</v>
      </c>
      <c r="AT32" s="54">
        <f>+AT30-AT31</f>
        <v>8771.320649724159</v>
      </c>
      <c r="AU32" s="54">
        <f t="shared" ref="AU32:BC32" si="80">+AU30-AU31</f>
        <v>9255.7426330049821</v>
      </c>
      <c r="AV32" s="54">
        <f t="shared" si="80"/>
        <v>9767.2368730576309</v>
      </c>
      <c r="AW32" s="54">
        <f t="shared" si="80"/>
        <v>10307.316378892921</v>
      </c>
      <c r="AX32" s="54">
        <f t="shared" si="80"/>
        <v>10877.578721465008</v>
      </c>
      <c r="AY32" s="54">
        <f t="shared" si="80"/>
        <v>11479.710760008904</v>
      </c>
      <c r="AZ32" s="54">
        <f t="shared" si="80"/>
        <v>12115.493632552421</v>
      </c>
      <c r="BA32" s="54">
        <f t="shared" si="80"/>
        <v>12786.80802536889</v>
      </c>
      <c r="BB32" s="54">
        <f t="shared" si="80"/>
        <v>13495.639736962414</v>
      </c>
      <c r="BC32" s="54">
        <f t="shared" si="80"/>
        <v>14244.085553049052</v>
      </c>
      <c r="BD32" s="54">
        <f t="shared" ref="BD32:CI32" si="81">+BC32*(1+$BI$35)</f>
        <v>14386.526408579542</v>
      </c>
      <c r="BE32" s="24">
        <f t="shared" si="81"/>
        <v>14530.391672665339</v>
      </c>
      <c r="BF32" s="24">
        <f t="shared" si="81"/>
        <v>14675.695589391993</v>
      </c>
      <c r="BG32" s="24">
        <f t="shared" si="81"/>
        <v>14822.452545285912</v>
      </c>
      <c r="BH32" s="24">
        <f t="shared" si="81"/>
        <v>14970.677070738771</v>
      </c>
      <c r="BI32" s="24">
        <f t="shared" si="81"/>
        <v>15120.383841446159</v>
      </c>
      <c r="BJ32" s="24">
        <f t="shared" si="81"/>
        <v>15271.58767986062</v>
      </c>
      <c r="BK32" s="24">
        <f t="shared" si="81"/>
        <v>15424.303556659226</v>
      </c>
      <c r="BL32" s="24">
        <f t="shared" si="81"/>
        <v>15578.546592225819</v>
      </c>
      <c r="BM32" s="24">
        <f t="shared" si="81"/>
        <v>15734.332058148077</v>
      </c>
      <c r="BN32" s="24">
        <f t="shared" si="81"/>
        <v>15891.675378729558</v>
      </c>
      <c r="BO32" s="24">
        <f t="shared" si="81"/>
        <v>16050.592132516855</v>
      </c>
      <c r="BP32" s="24">
        <f t="shared" si="81"/>
        <v>16211.098053842023</v>
      </c>
      <c r="BQ32" s="24">
        <f t="shared" si="81"/>
        <v>16373.209034380443</v>
      </c>
      <c r="BR32" s="24">
        <f t="shared" si="81"/>
        <v>16536.941124724246</v>
      </c>
      <c r="BS32" s="24">
        <f t="shared" si="81"/>
        <v>16702.31053597149</v>
      </c>
      <c r="BT32" s="24">
        <f t="shared" si="81"/>
        <v>16869.333641331206</v>
      </c>
      <c r="BU32" s="24">
        <f t="shared" si="81"/>
        <v>17038.026977744517</v>
      </c>
      <c r="BV32" s="24">
        <f t="shared" si="81"/>
        <v>17208.407247521962</v>
      </c>
      <c r="BW32" s="24">
        <f t="shared" si="81"/>
        <v>17380.491319997182</v>
      </c>
      <c r="BX32" s="24">
        <f t="shared" si="81"/>
        <v>17554.296233197154</v>
      </c>
      <c r="BY32" s="24">
        <f t="shared" si="81"/>
        <v>17729.839195529126</v>
      </c>
      <c r="BZ32" s="24">
        <f t="shared" si="81"/>
        <v>17907.137587484416</v>
      </c>
      <c r="CA32" s="24">
        <f t="shared" si="81"/>
        <v>18086.208963359262</v>
      </c>
      <c r="CB32" s="24">
        <f t="shared" si="81"/>
        <v>18267.071052992855</v>
      </c>
      <c r="CC32" s="24">
        <f t="shared" si="81"/>
        <v>18449.741763522783</v>
      </c>
      <c r="CD32" s="24">
        <f t="shared" si="81"/>
        <v>18634.239181158013</v>
      </c>
      <c r="CE32" s="24">
        <f t="shared" si="81"/>
        <v>18820.581572969593</v>
      </c>
      <c r="CF32" s="24">
        <f t="shared" si="81"/>
        <v>19008.787388699289</v>
      </c>
      <c r="CG32" s="24">
        <f t="shared" si="81"/>
        <v>19198.875262586283</v>
      </c>
      <c r="CH32" s="24">
        <f t="shared" si="81"/>
        <v>19390.864015212148</v>
      </c>
      <c r="CI32" s="24">
        <f t="shared" si="81"/>
        <v>19584.772655364268</v>
      </c>
      <c r="CJ32" s="24">
        <f t="shared" ref="CJ32:DO32" si="82">+CI32*(1+$BI$35)</f>
        <v>19780.62038191791</v>
      </c>
      <c r="CK32" s="24">
        <f t="shared" si="82"/>
        <v>19978.426585737088</v>
      </c>
      <c r="CL32" s="24">
        <f t="shared" si="82"/>
        <v>20178.21085159446</v>
      </c>
      <c r="CM32" s="24">
        <f t="shared" si="82"/>
        <v>20379.992960110405</v>
      </c>
      <c r="CN32" s="24">
        <f t="shared" si="82"/>
        <v>20583.792889711509</v>
      </c>
      <c r="CO32" s="24">
        <f t="shared" si="82"/>
        <v>20789.630818608624</v>
      </c>
      <c r="CP32" s="24">
        <f t="shared" si="82"/>
        <v>20997.52712679471</v>
      </c>
      <c r="CQ32" s="24">
        <f t="shared" si="82"/>
        <v>21207.502398062657</v>
      </c>
      <c r="CR32" s="24">
        <f t="shared" si="82"/>
        <v>21419.577422043283</v>
      </c>
      <c r="CS32" s="24">
        <f t="shared" si="82"/>
        <v>21633.773196263715</v>
      </c>
      <c r="CT32" s="24">
        <f t="shared" si="82"/>
        <v>21850.110928226353</v>
      </c>
      <c r="CU32" s="24">
        <f t="shared" si="82"/>
        <v>22068.612037508618</v>
      </c>
      <c r="CV32" s="24">
        <f t="shared" si="82"/>
        <v>22289.298157883703</v>
      </c>
      <c r="CW32" s="24">
        <f t="shared" si="82"/>
        <v>22512.191139462539</v>
      </c>
      <c r="CX32" s="24">
        <f t="shared" si="82"/>
        <v>22737.313050857163</v>
      </c>
      <c r="CY32" s="24">
        <f t="shared" si="82"/>
        <v>22964.686181365734</v>
      </c>
      <c r="CZ32" s="24">
        <f t="shared" si="82"/>
        <v>23194.333043179391</v>
      </c>
      <c r="DA32" s="24">
        <f t="shared" si="82"/>
        <v>23426.276373611185</v>
      </c>
      <c r="DB32" s="24">
        <f t="shared" si="82"/>
        <v>23660.539137347296</v>
      </c>
      <c r="DC32" s="24">
        <f t="shared" si="82"/>
        <v>23897.144528720768</v>
      </c>
      <c r="DD32" s="24">
        <f t="shared" si="82"/>
        <v>24136.115974007975</v>
      </c>
      <c r="DE32" s="24">
        <f t="shared" si="82"/>
        <v>24377.477133748056</v>
      </c>
      <c r="DF32" s="24">
        <f t="shared" si="82"/>
        <v>24621.251905085537</v>
      </c>
      <c r="DG32" s="24">
        <f t="shared" si="82"/>
        <v>24867.464424136393</v>
      </c>
      <c r="DH32" s="24">
        <f t="shared" si="82"/>
        <v>25116.139068377757</v>
      </c>
      <c r="DI32" s="24">
        <f t="shared" si="82"/>
        <v>25367.300459061535</v>
      </c>
      <c r="DJ32" s="24">
        <f t="shared" si="82"/>
        <v>25620.97346365215</v>
      </c>
      <c r="DK32" s="24">
        <f t="shared" si="82"/>
        <v>25877.183198288672</v>
      </c>
      <c r="DL32" s="24">
        <f t="shared" si="82"/>
        <v>26135.955030271558</v>
      </c>
      <c r="DM32" s="24">
        <f t="shared" si="82"/>
        <v>26397.314580574275</v>
      </c>
      <c r="DN32" s="24">
        <f t="shared" si="82"/>
        <v>26661.287726380018</v>
      </c>
      <c r="DO32" s="24">
        <f t="shared" si="82"/>
        <v>26927.900603643819</v>
      </c>
      <c r="DP32" s="24">
        <f t="shared" ref="DP32:EU32" si="83">+DO32*(1+$BI$35)</f>
        <v>27197.179609680257</v>
      </c>
      <c r="DQ32" s="24">
        <f t="shared" si="83"/>
        <v>27469.151405777062</v>
      </c>
      <c r="DR32" s="24">
        <f t="shared" si="83"/>
        <v>27743.842919834831</v>
      </c>
      <c r="DS32" s="24">
        <f t="shared" si="83"/>
        <v>28021.281349033179</v>
      </c>
      <c r="DT32" s="24">
        <f t="shared" si="83"/>
        <v>28301.494162523511</v>
      </c>
      <c r="DU32" s="24">
        <f t="shared" si="83"/>
        <v>28584.509104148747</v>
      </c>
      <c r="DV32" s="24">
        <f t="shared" si="83"/>
        <v>28870.354195190233</v>
      </c>
      <c r="DW32" s="24">
        <f t="shared" si="83"/>
        <v>29159.057737142135</v>
      </c>
      <c r="DX32" s="24">
        <f t="shared" si="83"/>
        <v>29450.648314513557</v>
      </c>
      <c r="DY32" s="24">
        <f t="shared" si="83"/>
        <v>29745.154797658692</v>
      </c>
      <c r="DZ32" s="24">
        <f t="shared" si="83"/>
        <v>30042.606345635279</v>
      </c>
      <c r="EA32" s="24">
        <f t="shared" si="83"/>
        <v>30343.032409091633</v>
      </c>
      <c r="EB32" s="24">
        <f t="shared" si="83"/>
        <v>30646.46273318255</v>
      </c>
      <c r="EC32" s="24">
        <f t="shared" si="83"/>
        <v>30952.927360514375</v>
      </c>
      <c r="ED32" s="24">
        <f t="shared" si="83"/>
        <v>31262.45663411952</v>
      </c>
      <c r="EE32" s="24">
        <f t="shared" si="83"/>
        <v>31575.081200460714</v>
      </c>
      <c r="EF32" s="24">
        <f t="shared" si="83"/>
        <v>31890.832012465322</v>
      </c>
      <c r="EG32" s="24">
        <f t="shared" si="83"/>
        <v>32209.740332589976</v>
      </c>
      <c r="EH32" s="24">
        <f t="shared" si="83"/>
        <v>32531.837735915877</v>
      </c>
      <c r="EI32" s="24">
        <f t="shared" si="83"/>
        <v>32857.156113275036</v>
      </c>
      <c r="EJ32" s="24">
        <f t="shared" si="83"/>
        <v>33185.72767440779</v>
      </c>
      <c r="EK32" s="24">
        <f t="shared" si="83"/>
        <v>33517.584951151868</v>
      </c>
      <c r="EL32" s="24">
        <f t="shared" si="83"/>
        <v>33852.760800663389</v>
      </c>
      <c r="EM32" s="24">
        <f t="shared" si="83"/>
        <v>34191.288408670021</v>
      </c>
      <c r="EN32" s="24">
        <f t="shared" si="83"/>
        <v>34533.201292756719</v>
      </c>
      <c r="EO32" s="24">
        <f t="shared" si="83"/>
        <v>34878.533305684286</v>
      </c>
      <c r="EP32" s="24">
        <f t="shared" si="83"/>
        <v>35227.318638741126</v>
      </c>
      <c r="EQ32" s="24">
        <f t="shared" si="83"/>
        <v>35579.59182512854</v>
      </c>
      <c r="ER32" s="24">
        <f t="shared" si="83"/>
        <v>35935.387743379826</v>
      </c>
      <c r="ES32" s="24">
        <f t="shared" si="83"/>
        <v>36294.741620813627</v>
      </c>
      <c r="ET32" s="24">
        <f t="shared" si="83"/>
        <v>36657.689037021766</v>
      </c>
      <c r="EU32" s="24">
        <f t="shared" si="83"/>
        <v>37024.265927391985</v>
      </c>
      <c r="EV32" s="24">
        <f t="shared" ref="EV32:GA32" si="84">+EU32*(1+$BI$35)</f>
        <v>37394.508586665906</v>
      </c>
      <c r="EW32" s="24">
        <f t="shared" si="84"/>
        <v>37768.453672532567</v>
      </c>
      <c r="EX32" s="24">
        <f t="shared" si="84"/>
        <v>38146.138209257893</v>
      </c>
      <c r="EY32" s="24">
        <f t="shared" si="84"/>
        <v>38527.599591350474</v>
      </c>
      <c r="EZ32" s="24">
        <f t="shared" si="84"/>
        <v>38912.875587263981</v>
      </c>
      <c r="FA32" s="24">
        <f t="shared" si="84"/>
        <v>39302.004343136621</v>
      </c>
      <c r="FB32" s="24">
        <f t="shared" si="84"/>
        <v>39695.024386567988</v>
      </c>
      <c r="FC32" s="24">
        <f t="shared" si="84"/>
        <v>40091.974630433666</v>
      </c>
      <c r="FD32" s="24">
        <f t="shared" si="84"/>
        <v>40492.894376738004</v>
      </c>
      <c r="FE32" s="24">
        <f t="shared" si="84"/>
        <v>40897.823320505384</v>
      </c>
      <c r="FF32" s="24">
        <f t="shared" si="84"/>
        <v>41306.801553710437</v>
      </c>
      <c r="FG32" s="24">
        <f t="shared" si="84"/>
        <v>41719.869569247545</v>
      </c>
      <c r="FH32" s="24">
        <f t="shared" si="84"/>
        <v>42137.068264940019</v>
      </c>
      <c r="FI32" s="24">
        <f t="shared" si="84"/>
        <v>42558.43894758942</v>
      </c>
      <c r="FJ32" s="24">
        <f t="shared" si="84"/>
        <v>42984.023337065315</v>
      </c>
      <c r="FK32" s="24">
        <f t="shared" si="84"/>
        <v>43413.863570435969</v>
      </c>
      <c r="FL32" s="24">
        <f t="shared" si="84"/>
        <v>43848.002206140329</v>
      </c>
      <c r="FM32" s="24">
        <f t="shared" si="84"/>
        <v>44286.482228201734</v>
      </c>
      <c r="FN32" s="24">
        <f t="shared" si="84"/>
        <v>44729.347050483753</v>
      </c>
      <c r="FO32" s="24">
        <f t="shared" si="84"/>
        <v>45176.640520988592</v>
      </c>
      <c r="FP32" s="24">
        <f t="shared" si="84"/>
        <v>45628.406926198477</v>
      </c>
      <c r="FQ32" s="24">
        <f t="shared" si="84"/>
        <v>46084.690995460463</v>
      </c>
      <c r="FR32" s="24">
        <f t="shared" si="84"/>
        <v>46545.537905415069</v>
      </c>
      <c r="FS32" s="24">
        <f t="shared" si="84"/>
        <v>47010.993284469223</v>
      </c>
      <c r="FT32" s="24">
        <f t="shared" si="84"/>
        <v>47481.103217313917</v>
      </c>
      <c r="FU32" s="24">
        <f t="shared" si="84"/>
        <v>47955.914249487054</v>
      </c>
      <c r="FV32" s="24">
        <f t="shared" si="84"/>
        <v>48435.473391981926</v>
      </c>
      <c r="FW32" s="24">
        <f t="shared" si="84"/>
        <v>48919.828125901746</v>
      </c>
      <c r="FX32" s="24">
        <f t="shared" si="84"/>
        <v>49409.026407160767</v>
      </c>
      <c r="FY32" s="24">
        <f t="shared" si="84"/>
        <v>49903.116671232376</v>
      </c>
      <c r="FZ32" s="24">
        <f t="shared" si="84"/>
        <v>50402.1478379447</v>
      </c>
      <c r="GA32" s="24">
        <f t="shared" si="84"/>
        <v>50906.169316324151</v>
      </c>
      <c r="GB32" s="24">
        <f t="shared" ref="GB32:HG32" si="85">+GA32*(1+$BI$35)</f>
        <v>51415.23100948739</v>
      </c>
      <c r="GC32" s="24">
        <f t="shared" si="85"/>
        <v>51929.383319582266</v>
      </c>
      <c r="GD32" s="24">
        <f t="shared" si="85"/>
        <v>52448.677152778087</v>
      </c>
      <c r="GE32" s="24">
        <f t="shared" si="85"/>
        <v>52973.163924305867</v>
      </c>
      <c r="GF32" s="24">
        <f t="shared" si="85"/>
        <v>53502.895563548926</v>
      </c>
      <c r="GG32" s="24">
        <f t="shared" si="85"/>
        <v>54037.924519184417</v>
      </c>
      <c r="GH32" s="24">
        <f t="shared" si="85"/>
        <v>54578.303764376258</v>
      </c>
      <c r="GI32" s="24">
        <f t="shared" si="85"/>
        <v>55124.086802020021</v>
      </c>
      <c r="GJ32" s="24">
        <f t="shared" si="85"/>
        <v>55675.32767004022</v>
      </c>
      <c r="GK32" s="24">
        <f t="shared" si="85"/>
        <v>56232.080946740622</v>
      </c>
      <c r="GL32" s="24">
        <f t="shared" si="85"/>
        <v>56794.401756208026</v>
      </c>
      <c r="GM32" s="24">
        <f t="shared" si="85"/>
        <v>57362.34577377011</v>
      </c>
      <c r="GN32" s="24">
        <f t="shared" si="85"/>
        <v>57935.969231507814</v>
      </c>
      <c r="GO32" s="24">
        <f t="shared" si="85"/>
        <v>58515.32892382289</v>
      </c>
      <c r="GP32" s="24">
        <f t="shared" si="85"/>
        <v>59100.482213061121</v>
      </c>
      <c r="GQ32" s="24">
        <f t="shared" si="85"/>
        <v>59691.487035191734</v>
      </c>
      <c r="GR32" s="24">
        <f t="shared" si="85"/>
        <v>60288.401905543651</v>
      </c>
      <c r="GS32" s="24">
        <f t="shared" si="85"/>
        <v>60891.285924599091</v>
      </c>
      <c r="GT32" s="24">
        <f t="shared" si="85"/>
        <v>61500.19878384508</v>
      </c>
      <c r="GU32" s="24">
        <f t="shared" si="85"/>
        <v>62115.200771683529</v>
      </c>
      <c r="GV32" s="24">
        <f t="shared" si="85"/>
        <v>62736.352779400368</v>
      </c>
      <c r="GW32" s="24">
        <f t="shared" si="85"/>
        <v>63363.716307194372</v>
      </c>
      <c r="GX32" s="24">
        <f t="shared" si="85"/>
        <v>63997.353470266316</v>
      </c>
      <c r="GY32" s="24">
        <f t="shared" si="85"/>
        <v>64637.327004968982</v>
      </c>
      <c r="GZ32" s="24">
        <f t="shared" si="85"/>
        <v>65283.700275018673</v>
      </c>
      <c r="HA32" s="24">
        <f t="shared" si="85"/>
        <v>65936.537277768861</v>
      </c>
      <c r="HB32" s="24">
        <f t="shared" si="85"/>
        <v>66595.902650546544</v>
      </c>
      <c r="HC32" s="24">
        <f t="shared" si="85"/>
        <v>67261.861677052017</v>
      </c>
      <c r="HD32" s="24">
        <f t="shared" si="85"/>
        <v>67934.480293822533</v>
      </c>
      <c r="HE32" s="24">
        <f t="shared" si="85"/>
        <v>68613.82509676076</v>
      </c>
      <c r="HF32" s="24">
        <f t="shared" si="85"/>
        <v>69299.963347728364</v>
      </c>
      <c r="HG32" s="24">
        <f t="shared" si="85"/>
        <v>69992.962981205652</v>
      </c>
      <c r="HH32" s="24">
        <f t="shared" ref="HH32:HX32" si="86">+HG32*(1+$BI$35)</f>
        <v>70692.892611017713</v>
      </c>
      <c r="HI32" s="24">
        <f t="shared" si="86"/>
        <v>71399.821537127893</v>
      </c>
      <c r="HJ32" s="24">
        <f t="shared" si="86"/>
        <v>72113.81975249917</v>
      </c>
      <c r="HK32" s="24">
        <f t="shared" si="86"/>
        <v>72834.957950024167</v>
      </c>
      <c r="HL32" s="24">
        <f t="shared" si="86"/>
        <v>73563.307529524405</v>
      </c>
      <c r="HM32" s="24">
        <f t="shared" si="86"/>
        <v>74298.940604819654</v>
      </c>
      <c r="HN32" s="24">
        <f t="shared" si="86"/>
        <v>75041.930010867858</v>
      </c>
      <c r="HO32" s="24">
        <f t="shared" si="86"/>
        <v>75792.34931097654</v>
      </c>
      <c r="HP32" s="24">
        <f t="shared" si="86"/>
        <v>76550.2728040863</v>
      </c>
      <c r="HQ32" s="24">
        <f t="shared" si="86"/>
        <v>77315.775532127169</v>
      </c>
      <c r="HR32" s="24">
        <f t="shared" si="86"/>
        <v>78088.933287448439</v>
      </c>
      <c r="HS32" s="24">
        <f t="shared" si="86"/>
        <v>78869.822620322928</v>
      </c>
      <c r="HT32" s="24">
        <f t="shared" si="86"/>
        <v>79658.520846526153</v>
      </c>
      <c r="HU32" s="24">
        <f t="shared" si="86"/>
        <v>80455.106054991411</v>
      </c>
      <c r="HV32" s="24">
        <f t="shared" si="86"/>
        <v>81259.657115541326</v>
      </c>
      <c r="HW32" s="24">
        <f t="shared" si="86"/>
        <v>82072.253686696742</v>
      </c>
      <c r="HX32" s="24">
        <f t="shared" si="86"/>
        <v>82892.976223563717</v>
      </c>
      <c r="HY32" s="24">
        <f t="shared" ref="HY32:IR32" si="87">+HX32*(1+$BI$35)</f>
        <v>83721.905985799356</v>
      </c>
      <c r="HZ32" s="24">
        <f t="shared" si="87"/>
        <v>84559.125045657347</v>
      </c>
      <c r="IA32" s="24">
        <f t="shared" si="87"/>
        <v>85404.716296113926</v>
      </c>
      <c r="IB32" s="24">
        <f t="shared" si="87"/>
        <v>86258.763459075068</v>
      </c>
      <c r="IC32" s="24">
        <f t="shared" si="87"/>
        <v>87121.351093665813</v>
      </c>
      <c r="ID32" s="24">
        <f t="shared" si="87"/>
        <v>87992.564604602478</v>
      </c>
      <c r="IE32" s="24">
        <f t="shared" si="87"/>
        <v>88872.490250648509</v>
      </c>
      <c r="IF32" s="24">
        <f t="shared" si="87"/>
        <v>89761.21515315499</v>
      </c>
      <c r="IG32" s="24">
        <f t="shared" si="87"/>
        <v>90658.827304686536</v>
      </c>
      <c r="IH32" s="24">
        <f t="shared" si="87"/>
        <v>91565.415577733409</v>
      </c>
      <c r="II32" s="24">
        <f t="shared" si="87"/>
        <v>92481.06973351074</v>
      </c>
      <c r="IJ32" s="24">
        <f t="shared" si="87"/>
        <v>93405.880430845849</v>
      </c>
      <c r="IK32" s="24">
        <f t="shared" si="87"/>
        <v>94339.939235154307</v>
      </c>
      <c r="IL32" s="24">
        <f t="shared" si="87"/>
        <v>95283.338627505844</v>
      </c>
      <c r="IM32" s="24">
        <f t="shared" si="87"/>
        <v>96236.172013780902</v>
      </c>
      <c r="IN32" s="24">
        <f t="shared" si="87"/>
        <v>97198.53373391871</v>
      </c>
      <c r="IO32" s="24">
        <f t="shared" si="87"/>
        <v>98170.519071257891</v>
      </c>
      <c r="IP32" s="24">
        <f t="shared" si="87"/>
        <v>99152.224261970478</v>
      </c>
      <c r="IQ32" s="24">
        <f t="shared" si="87"/>
        <v>100143.74650459018</v>
      </c>
      <c r="IR32" s="24">
        <f t="shared" si="87"/>
        <v>101145.18396963608</v>
      </c>
      <c r="IS32" s="24">
        <f t="shared" ref="IS32:IT32" si="88">+IR32*(1+$BI$35)</f>
        <v>102156.63580933245</v>
      </c>
      <c r="IT32" s="24">
        <f t="shared" si="88"/>
        <v>103178.20216742578</v>
      </c>
      <c r="IU32" s="24">
        <f t="shared" ref="IU32" si="89">+IT32*(1+$BI$35)</f>
        <v>104209.98418910004</v>
      </c>
    </row>
    <row r="33" spans="1:63">
      <c r="B33" s="21" t="s">
        <v>35</v>
      </c>
      <c r="C33" s="24">
        <v>771.6</v>
      </c>
      <c r="D33" s="24">
        <v>768.7</v>
      </c>
      <c r="E33" s="24">
        <v>763.9</v>
      </c>
      <c r="F33" s="24">
        <v>755.6</v>
      </c>
      <c r="G33" s="24">
        <v>750.7</v>
      </c>
      <c r="H33" s="24">
        <v>748.6</v>
      </c>
      <c r="I33" s="24">
        <v>750</v>
      </c>
      <c r="J33" s="24">
        <v>751</v>
      </c>
      <c r="K33" s="24">
        <v>751</v>
      </c>
      <c r="L33" s="24">
        <v>752.1</v>
      </c>
      <c r="M33" s="24">
        <v>752.6</v>
      </c>
      <c r="N33" s="24">
        <v>751.6</v>
      </c>
      <c r="O33" s="24">
        <v>747.6</v>
      </c>
      <c r="P33" s="24">
        <v>742</v>
      </c>
      <c r="Q33" s="24">
        <v>739.5</v>
      </c>
      <c r="R33" s="24">
        <v>736</v>
      </c>
      <c r="S33" s="24">
        <v>735.5</v>
      </c>
      <c r="T33" s="24">
        <v>734.3</v>
      </c>
      <c r="U33" s="24">
        <v>731.6</v>
      </c>
      <c r="V33" s="24">
        <v>727.8</v>
      </c>
      <c r="W33" s="24">
        <v>725.9</v>
      </c>
      <c r="X33" s="24">
        <v>722</v>
      </c>
      <c r="AM33" s="24">
        <v>815.5</v>
      </c>
      <c r="AN33" s="24">
        <v>785.6</v>
      </c>
      <c r="AO33" s="24">
        <f>+AO32/AO34</f>
        <v>797.95685279187842</v>
      </c>
      <c r="AP33" s="54">
        <f>+AP32/AP34</f>
        <v>797.32171156893844</v>
      </c>
      <c r="AQ33" s="54">
        <f>+AQ32/AQ34</f>
        <v>751.90652423758263</v>
      </c>
      <c r="AR33" s="54">
        <f>+AR32/AR34</f>
        <v>740.4443897484631</v>
      </c>
      <c r="AS33" s="54">
        <f t="shared" si="25"/>
        <v>2929.2</v>
      </c>
      <c r="AT33" s="54">
        <f>+AS33</f>
        <v>2929.2</v>
      </c>
      <c r="AU33" s="54">
        <f t="shared" ref="AU33:BC33" si="90">+AT33</f>
        <v>2929.2</v>
      </c>
      <c r="AV33" s="54">
        <f t="shared" si="90"/>
        <v>2929.2</v>
      </c>
      <c r="AW33" s="54">
        <f t="shared" si="90"/>
        <v>2929.2</v>
      </c>
      <c r="AX33" s="54">
        <f t="shared" si="90"/>
        <v>2929.2</v>
      </c>
      <c r="AY33" s="54">
        <f t="shared" si="90"/>
        <v>2929.2</v>
      </c>
      <c r="AZ33" s="54">
        <f t="shared" si="90"/>
        <v>2929.2</v>
      </c>
      <c r="BA33" s="54">
        <f t="shared" si="90"/>
        <v>2929.2</v>
      </c>
      <c r="BB33" s="54">
        <f t="shared" si="90"/>
        <v>2929.2</v>
      </c>
      <c r="BC33" s="54">
        <f t="shared" si="90"/>
        <v>2929.2</v>
      </c>
      <c r="BD33" s="54"/>
    </row>
    <row r="34" spans="1:63" s="35" customFormat="1">
      <c r="A34" s="33"/>
      <c r="B34" s="34" t="s">
        <v>36</v>
      </c>
      <c r="C34" s="35">
        <f t="shared" ref="C34:M34" si="91">+C32/C33</f>
        <v>1.801192327630897</v>
      </c>
      <c r="D34" s="35">
        <f t="shared" si="91"/>
        <v>2.0555483283465588</v>
      </c>
      <c r="E34" s="35">
        <f t="shared" si="91"/>
        <v>2.1951826155255936</v>
      </c>
      <c r="F34" s="35">
        <f t="shared" si="91"/>
        <v>2.1719163578613019</v>
      </c>
      <c r="G34" s="35">
        <f t="shared" si="91"/>
        <v>1.5723990941787669</v>
      </c>
      <c r="H34" s="35">
        <f t="shared" si="91"/>
        <v>0.74111675126903587</v>
      </c>
      <c r="I34" s="35">
        <f t="shared" si="91"/>
        <v>2.4512000000000009</v>
      </c>
      <c r="J34" s="35">
        <f t="shared" si="91"/>
        <v>1.9407456724367513</v>
      </c>
      <c r="K34" s="35">
        <f t="shared" si="91"/>
        <v>2.1479360852197069</v>
      </c>
      <c r="L34" s="35">
        <f t="shared" si="91"/>
        <v>3.0612950405531172</v>
      </c>
      <c r="M34" s="35">
        <f t="shared" si="91"/>
        <v>2.9683762955089028</v>
      </c>
      <c r="N34" s="35">
        <f t="shared" ref="N34" si="92">+N32/N33</f>
        <v>2.2955029270888754</v>
      </c>
      <c r="O34" s="35">
        <f t="shared" ref="O34:P34" si="93">+O32/O33</f>
        <v>1.6012573568753345</v>
      </c>
      <c r="P34" s="35">
        <f t="shared" si="93"/>
        <v>1.7264150943396235</v>
      </c>
      <c r="Q34" s="35">
        <f t="shared" ref="Q34" si="94">+Q32/Q33</f>
        <v>2.8058147396889797</v>
      </c>
      <c r="R34" s="35">
        <f t="shared" ref="R34:W34" si="95">+R32/R33</f>
        <v>2.5861413043478256</v>
      </c>
      <c r="S34" s="35">
        <f t="shared" si="95"/>
        <v>2.4504418762746432</v>
      </c>
      <c r="T34" s="35">
        <f t="shared" si="95"/>
        <v>3.146397930001362</v>
      </c>
      <c r="U34" s="35">
        <f t="shared" si="95"/>
        <v>3.1671678512848538</v>
      </c>
      <c r="V34" s="35">
        <f t="shared" si="95"/>
        <v>2.8015938444627646</v>
      </c>
      <c r="W34" s="35">
        <f t="shared" si="95"/>
        <v>2.657390825182532</v>
      </c>
      <c r="X34" s="35">
        <f t="shared" ref="X34" si="96">+X32/X33</f>
        <v>2.8019390581717452</v>
      </c>
      <c r="AH34" s="35">
        <v>5.36</v>
      </c>
      <c r="AI34" s="35">
        <v>5.55</v>
      </c>
      <c r="AJ34" s="35">
        <v>4.82</v>
      </c>
      <c r="AK34" s="35">
        <v>4.8</v>
      </c>
      <c r="AL34" s="35">
        <v>5.44</v>
      </c>
      <c r="AM34" s="35">
        <v>6.37</v>
      </c>
      <c r="AN34" s="35">
        <v>7.54</v>
      </c>
      <c r="AO34" s="35">
        <v>7.88</v>
      </c>
      <c r="AP34" s="67">
        <v>6.31</v>
      </c>
      <c r="AQ34" s="67">
        <f t="shared" si="37"/>
        <v>10.473110348370604</v>
      </c>
      <c r="AR34" s="67">
        <f t="shared" si="27"/>
        <v>8.7196284952517633</v>
      </c>
      <c r="AS34" s="67">
        <f t="shared" si="25"/>
        <v>11.565601502023624</v>
      </c>
      <c r="AT34" s="67">
        <f>+AT32/AT33</f>
        <v>2.9944423903195956</v>
      </c>
      <c r="AU34" s="67">
        <f t="shared" ref="AU34:BC34" si="97">+AU32/AU33</f>
        <v>3.159819279327114</v>
      </c>
      <c r="AV34" s="67">
        <f t="shared" si="97"/>
        <v>3.3344383698817532</v>
      </c>
      <c r="AW34" s="67">
        <f t="shared" si="97"/>
        <v>3.5188161883425244</v>
      </c>
      <c r="AX34" s="67">
        <f t="shared" si="97"/>
        <v>3.713498129682169</v>
      </c>
      <c r="AY34" s="67">
        <f t="shared" si="97"/>
        <v>3.919060071012189</v>
      </c>
      <c r="AZ34" s="67">
        <f t="shared" si="97"/>
        <v>4.1361100752944226</v>
      </c>
      <c r="BA34" s="67">
        <f t="shared" si="97"/>
        <v>4.3652901902802439</v>
      </c>
      <c r="BB34" s="67">
        <f t="shared" si="97"/>
        <v>4.6072783480002784</v>
      </c>
      <c r="BC34" s="67">
        <f t="shared" si="97"/>
        <v>4.8627903704250484</v>
      </c>
      <c r="BD34" s="67"/>
    </row>
    <row r="35" spans="1:63" s="35" customFormat="1">
      <c r="A35" s="33"/>
      <c r="B35" s="34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H35" s="68" t="s">
        <v>41</v>
      </c>
      <c r="BI35" s="69">
        <v>0.01</v>
      </c>
    </row>
    <row r="36" spans="1:63" s="35" customFormat="1">
      <c r="A36" s="33"/>
      <c r="B36" s="34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H36" s="70" t="s">
        <v>42</v>
      </c>
      <c r="BI36" s="80">
        <v>7.0000000000000007E-2</v>
      </c>
    </row>
    <row r="37" spans="1:63" s="35" customFormat="1">
      <c r="A37" s="33"/>
      <c r="B37" s="34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H37" s="70" t="s">
        <v>43</v>
      </c>
      <c r="BI37" s="71">
        <f>NPV(BI36,AT32:IB32)+O!J16-O!J17</f>
        <v>199731.44601182287</v>
      </c>
    </row>
    <row r="38" spans="1:63" s="35" customFormat="1">
      <c r="A38" s="33"/>
      <c r="B38" s="34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H38" s="72" t="s">
        <v>1</v>
      </c>
      <c r="BI38" s="71">
        <f>+O!J14</f>
        <v>717.34324700000002</v>
      </c>
    </row>
    <row r="39" spans="1:63" s="32" customFormat="1">
      <c r="A39" s="38"/>
      <c r="B39" s="39" t="s">
        <v>37</v>
      </c>
      <c r="G39" s="32">
        <f t="shared" ref="G39:P42" si="98">+G16/C16-1</f>
        <v>-9.5826824369560359E-2</v>
      </c>
      <c r="H39" s="32">
        <f t="shared" si="98"/>
        <v>-0.33606898850191635</v>
      </c>
      <c r="I39" s="32">
        <f t="shared" si="98"/>
        <v>-5.3877348340643838E-2</v>
      </c>
      <c r="J39" s="32">
        <f t="shared" si="98"/>
        <v>-5.500782803706683E-2</v>
      </c>
      <c r="K39" s="32">
        <f t="shared" si="98"/>
        <v>6.6985882120643714E-2</v>
      </c>
      <c r="L39" s="32">
        <f t="shared" si="98"/>
        <v>0.56158624584300676</v>
      </c>
      <c r="M39" s="32">
        <f t="shared" si="98"/>
        <v>0.13645906228131555</v>
      </c>
      <c r="N39" s="32">
        <f t="shared" si="98"/>
        <v>0.13679308646397703</v>
      </c>
      <c r="O39" s="32">
        <f t="shared" si="98"/>
        <v>6.5186213277816263E-2</v>
      </c>
      <c r="P39" s="32">
        <f t="shared" si="98"/>
        <v>-0.15104271306304484</v>
      </c>
      <c r="Q39" s="32">
        <f t="shared" ref="Q39:X42" si="99">+Q16/M16-1</f>
        <v>-0.18226600985221675</v>
      </c>
      <c r="R39" s="32">
        <f t="shared" si="99"/>
        <v>-0.13014022372774536</v>
      </c>
      <c r="S39" s="32">
        <f t="shared" si="99"/>
        <v>-3.3921125781792849E-2</v>
      </c>
      <c r="T39" s="32">
        <f t="shared" si="99"/>
        <v>0.17711094282468753</v>
      </c>
      <c r="U39" s="32">
        <f t="shared" si="99"/>
        <v>0.20303087349397564</v>
      </c>
      <c r="V39" s="32">
        <f t="shared" si="99"/>
        <v>0.12031334903097246</v>
      </c>
      <c r="W39" s="32">
        <f>+W16/S16-1</f>
        <v>5.8760059344512783E-2</v>
      </c>
      <c r="X39" s="32">
        <f>+X16/T16-1</f>
        <v>-1.0454362685967E-2</v>
      </c>
      <c r="AN39" s="32">
        <f t="shared" ref="AN39:BC39" si="100">+AN16/AM16-1</f>
        <v>-0.21276997224602745</v>
      </c>
      <c r="AO39" s="32">
        <f t="shared" si="100"/>
        <v>-5.9114924046461126E-2</v>
      </c>
      <c r="AP39" s="62">
        <f t="shared" si="100"/>
        <v>-0.13603940217391297</v>
      </c>
      <c r="AQ39" s="62">
        <f t="shared" si="100"/>
        <v>0.20250147434637311</v>
      </c>
      <c r="AR39" s="62">
        <f t="shared" si="100"/>
        <v>-0.10615689560046571</v>
      </c>
      <c r="AS39" s="62">
        <f t="shared" si="100"/>
        <v>0.11352933107768259</v>
      </c>
      <c r="AT39" s="62">
        <f t="shared" si="100"/>
        <v>5.5449999999999777E-2</v>
      </c>
      <c r="AU39" s="62">
        <f t="shared" si="100"/>
        <v>5.5449999999999999E-2</v>
      </c>
      <c r="AV39" s="62">
        <f t="shared" si="100"/>
        <v>5.5449999999999777E-2</v>
      </c>
      <c r="AW39" s="62">
        <f t="shared" si="100"/>
        <v>5.5449999999999999E-2</v>
      </c>
      <c r="AX39" s="62">
        <f t="shared" si="100"/>
        <v>5.5449999999999999E-2</v>
      </c>
      <c r="AY39" s="62">
        <f t="shared" si="100"/>
        <v>5.5449999999999999E-2</v>
      </c>
      <c r="AZ39" s="62">
        <f t="shared" si="100"/>
        <v>5.5449999999999999E-2</v>
      </c>
      <c r="BA39" s="62">
        <f t="shared" si="100"/>
        <v>5.5449999999999777E-2</v>
      </c>
      <c r="BB39" s="62">
        <f t="shared" si="100"/>
        <v>5.5449999999999777E-2</v>
      </c>
      <c r="BC39" s="62">
        <f t="shared" si="100"/>
        <v>5.5450000000000221E-2</v>
      </c>
      <c r="BD39" s="62"/>
      <c r="BH39" s="72" t="s">
        <v>44</v>
      </c>
      <c r="BI39" s="71">
        <f>+BI37/BI38</f>
        <v>278.43218270628381</v>
      </c>
    </row>
    <row r="40" spans="1:63" s="32" customFormat="1">
      <c r="A40" s="38"/>
      <c r="B40" s="39" t="s">
        <v>38</v>
      </c>
      <c r="G40" s="32">
        <f t="shared" si="98"/>
        <v>-3.9446060918566506E-2</v>
      </c>
      <c r="H40" s="32">
        <f t="shared" si="98"/>
        <v>-0.29001326124655724</v>
      </c>
      <c r="I40" s="32">
        <f t="shared" si="98"/>
        <v>1.0218978102189746E-2</v>
      </c>
      <c r="J40" s="32">
        <f t="shared" si="98"/>
        <v>-1.3397193287989495E-4</v>
      </c>
      <c r="K40" s="32">
        <f t="shared" si="98"/>
        <v>0.10329754601227004</v>
      </c>
      <c r="L40" s="32">
        <f t="shared" si="98"/>
        <v>0.58342911877394621</v>
      </c>
      <c r="M40" s="32">
        <f t="shared" si="98"/>
        <v>0.15285076195480807</v>
      </c>
      <c r="N40" s="32">
        <f t="shared" si="98"/>
        <v>0.13610022443305514</v>
      </c>
      <c r="O40" s="32">
        <f t="shared" si="98"/>
        <v>0.13394036282755262</v>
      </c>
      <c r="P40" s="32">
        <f t="shared" si="98"/>
        <v>6.6723126247655973E-2</v>
      </c>
      <c r="Q40" s="32">
        <f t="shared" si="99"/>
        <v>4.5866332402712207E-2</v>
      </c>
      <c r="R40" s="32">
        <f t="shared" si="99"/>
        <v>7.4713999292369326E-2</v>
      </c>
      <c r="S40" s="32">
        <f t="shared" si="99"/>
        <v>9.9515753340688962E-2</v>
      </c>
      <c r="T40" s="32">
        <f t="shared" si="99"/>
        <v>0.11526029261653625</v>
      </c>
      <c r="U40" s="32">
        <f t="shared" si="99"/>
        <v>0.10239158858139041</v>
      </c>
      <c r="V40" s="32">
        <f t="shared" si="99"/>
        <v>6.13443072702331E-2</v>
      </c>
      <c r="W40" s="32">
        <f t="shared" si="99"/>
        <v>3.7770034843205513E-2</v>
      </c>
      <c r="X40" s="32">
        <f t="shared" si="99"/>
        <v>1.703404266137909E-3</v>
      </c>
      <c r="AN40" s="32">
        <f t="shared" ref="AN40:BC40" si="101">+AN17/AM17-1</f>
        <v>9.0184626045636707E-2</v>
      </c>
      <c r="AO40" s="32">
        <f t="shared" si="101"/>
        <v>5.8406356413166938E-2</v>
      </c>
      <c r="AP40" s="62">
        <f t="shared" si="101"/>
        <v>-7.9754969671491205E-2</v>
      </c>
      <c r="AQ40" s="62">
        <f t="shared" si="101"/>
        <v>0.21995879210523861</v>
      </c>
      <c r="AR40" s="62">
        <f t="shared" si="101"/>
        <v>7.7980038821892972E-2</v>
      </c>
      <c r="AS40" s="62">
        <f t="shared" si="101"/>
        <v>9.4337081200640993E-2</v>
      </c>
      <c r="AT40" s="62">
        <f t="shared" si="101"/>
        <v>5.6157000000000235E-2</v>
      </c>
      <c r="AU40" s="62">
        <f t="shared" si="101"/>
        <v>5.6157000000000012E-2</v>
      </c>
      <c r="AV40" s="62">
        <f t="shared" si="101"/>
        <v>5.6157000000000235E-2</v>
      </c>
      <c r="AW40" s="62">
        <f t="shared" si="101"/>
        <v>5.6157000000000012E-2</v>
      </c>
      <c r="AX40" s="62">
        <f t="shared" si="101"/>
        <v>5.6157000000000235E-2</v>
      </c>
      <c r="AY40" s="62">
        <f t="shared" si="101"/>
        <v>5.6157000000000012E-2</v>
      </c>
      <c r="AZ40" s="62">
        <f t="shared" si="101"/>
        <v>5.6157000000000012E-2</v>
      </c>
      <c r="BA40" s="62">
        <f t="shared" si="101"/>
        <v>5.6157000000000012E-2</v>
      </c>
      <c r="BB40" s="62">
        <f t="shared" si="101"/>
        <v>5.6157000000000012E-2</v>
      </c>
      <c r="BC40" s="62">
        <f t="shared" si="101"/>
        <v>5.6157000000000012E-2</v>
      </c>
      <c r="BD40" s="62"/>
      <c r="BH40" s="72" t="s">
        <v>45</v>
      </c>
      <c r="BI40" s="71">
        <f>+O!J13</f>
        <v>304.33</v>
      </c>
    </row>
    <row r="41" spans="1:63" s="32" customFormat="1">
      <c r="A41" s="38"/>
      <c r="B41" s="39" t="s">
        <v>39</v>
      </c>
      <c r="G41" s="32">
        <f t="shared" si="98"/>
        <v>0.1766423357664233</v>
      </c>
      <c r="H41" s="32">
        <f t="shared" si="98"/>
        <v>0.16496350364963508</v>
      </c>
      <c r="I41" s="32">
        <f t="shared" si="98"/>
        <v>0.21199442119944223</v>
      </c>
      <c r="J41" s="32">
        <f t="shared" si="98"/>
        <v>0.20202020202020199</v>
      </c>
      <c r="K41" s="32">
        <f t="shared" si="98"/>
        <v>6.3275434243176276E-2</v>
      </c>
      <c r="L41" s="32">
        <f t="shared" si="98"/>
        <v>0.16541353383458657</v>
      </c>
      <c r="M41" s="32">
        <f t="shared" si="98"/>
        <v>6.6743383199079354E-2</v>
      </c>
      <c r="N41" s="32">
        <f t="shared" si="98"/>
        <v>-0.17331932773109238</v>
      </c>
      <c r="O41" s="32">
        <f t="shared" si="98"/>
        <v>0.17152858809801641</v>
      </c>
      <c r="P41" s="32">
        <f t="shared" si="98"/>
        <v>-0.15268817204301077</v>
      </c>
      <c r="Q41" s="32">
        <f t="shared" si="99"/>
        <v>-0.17907227615965493</v>
      </c>
      <c r="R41" s="32">
        <f t="shared" si="99"/>
        <v>-7.1156289707751008E-2</v>
      </c>
      <c r="S41" s="32">
        <f t="shared" si="99"/>
        <v>-0.14342629482071723</v>
      </c>
      <c r="T41" s="32">
        <f t="shared" si="99"/>
        <v>-2.0304568527918732E-2</v>
      </c>
      <c r="U41" s="32">
        <f t="shared" si="99"/>
        <v>0.1681997371879107</v>
      </c>
      <c r="V41" s="32">
        <f t="shared" si="99"/>
        <v>-0.13132694938440481</v>
      </c>
      <c r="W41" s="32">
        <f t="shared" si="99"/>
        <v>5.8139534883721034E-2</v>
      </c>
      <c r="X41" s="32">
        <f t="shared" si="99"/>
        <v>0.15284974093264236</v>
      </c>
      <c r="AP41" s="62">
        <f t="shared" ref="AP41:BC41" si="102">+AP18/AO18-1</f>
        <v>0.18964918374435569</v>
      </c>
      <c r="AQ41" s="62">
        <f t="shared" si="102"/>
        <v>2.2189781021897836E-2</v>
      </c>
      <c r="AR41" s="62">
        <f t="shared" si="102"/>
        <v>-6.1982290774064697E-2</v>
      </c>
      <c r="AS41" s="62">
        <f t="shared" si="102"/>
        <v>-3.8976857490864658E-2</v>
      </c>
      <c r="AT41" s="62">
        <f t="shared" si="102"/>
        <v>0</v>
      </c>
      <c r="AU41" s="62">
        <f t="shared" si="102"/>
        <v>0</v>
      </c>
      <c r="AV41" s="62">
        <f t="shared" si="102"/>
        <v>0</v>
      </c>
      <c r="AW41" s="62">
        <f t="shared" si="102"/>
        <v>0</v>
      </c>
      <c r="AX41" s="62">
        <f t="shared" si="102"/>
        <v>0</v>
      </c>
      <c r="AY41" s="62">
        <f t="shared" si="102"/>
        <v>0</v>
      </c>
      <c r="AZ41" s="62">
        <f t="shared" si="102"/>
        <v>0</v>
      </c>
      <c r="BA41" s="62">
        <f t="shared" si="102"/>
        <v>0</v>
      </c>
      <c r="BB41" s="62">
        <f t="shared" si="102"/>
        <v>0</v>
      </c>
      <c r="BC41" s="62">
        <f t="shared" si="102"/>
        <v>0</v>
      </c>
      <c r="BD41" s="62"/>
      <c r="BH41" s="73" t="s">
        <v>46</v>
      </c>
      <c r="BI41" s="74">
        <f>+BI39/BI40-1</f>
        <v>-8.5097812551231167E-2</v>
      </c>
    </row>
    <row r="42" spans="1:63" s="37" customFormat="1">
      <c r="A42" s="40"/>
      <c r="B42" s="41" t="s">
        <v>40</v>
      </c>
      <c r="G42" s="37">
        <f t="shared" si="98"/>
        <v>-6.1642881312075737E-2</v>
      </c>
      <c r="H42" s="37">
        <f t="shared" si="98"/>
        <v>-0.3046877888276831</v>
      </c>
      <c r="I42" s="37">
        <f t="shared" si="98"/>
        <v>-1.5302691601693841E-2</v>
      </c>
      <c r="J42" s="37">
        <f t="shared" si="98"/>
        <v>-2.1075126192844684E-2</v>
      </c>
      <c r="K42" s="37">
        <f t="shared" si="98"/>
        <v>8.7010011878499771E-2</v>
      </c>
      <c r="L42" s="37">
        <f t="shared" si="98"/>
        <v>0.56530639372590707</v>
      </c>
      <c r="M42" s="37">
        <f t="shared" si="98"/>
        <v>0.14455251841051298</v>
      </c>
      <c r="N42" s="37">
        <f t="shared" si="98"/>
        <v>0.13084798072942139</v>
      </c>
      <c r="O42" s="37">
        <f t="shared" si="98"/>
        <v>0.10556921515825635</v>
      </c>
      <c r="P42" s="37">
        <f t="shared" si="98"/>
        <v>-2.8787853054569434E-2</v>
      </c>
      <c r="Q42" s="37">
        <f t="shared" si="99"/>
        <v>-5.3085643332849486E-2</v>
      </c>
      <c r="R42" s="32">
        <f t="shared" si="99"/>
        <v>-1.3745818841423785E-2</v>
      </c>
      <c r="S42" s="37">
        <f t="shared" si="99"/>
        <v>4.098418525840164E-2</v>
      </c>
      <c r="T42" s="37">
        <f t="shared" si="99"/>
        <v>0.13624440402909888</v>
      </c>
      <c r="U42" s="37">
        <f t="shared" si="99"/>
        <v>0.1396604281262237</v>
      </c>
      <c r="V42" s="37">
        <f t="shared" si="99"/>
        <v>8.0941533788914111E-2</v>
      </c>
      <c r="W42" s="37">
        <f t="shared" si="99"/>
        <v>4.5983247990776244E-2</v>
      </c>
      <c r="X42" s="37">
        <f>+X19/T19-1</f>
        <v>-1.154290111581413E-3</v>
      </c>
      <c r="AN42" s="37">
        <f>+AN19/AM19-1</f>
        <v>-7.413633908816919E-2</v>
      </c>
      <c r="AO42" s="37">
        <f>+AO19/AN19-1</f>
        <v>4.9957192989058541E-3</v>
      </c>
      <c r="AP42" s="64">
        <f t="shared" ref="AP42:BC42" si="103">+AP19/AO19-1</f>
        <v>-0.10094362584486338</v>
      </c>
      <c r="AQ42" s="64">
        <f t="shared" si="103"/>
        <v>0.20903487125022102</v>
      </c>
      <c r="AR42" s="64">
        <f t="shared" si="103"/>
        <v>-1.7353560494166587E-3</v>
      </c>
      <c r="AS42" s="64">
        <f t="shared" si="103"/>
        <v>9.9691147671098213E-2</v>
      </c>
      <c r="AT42" s="64">
        <f t="shared" si="103"/>
        <v>5.5191645406512224E-2</v>
      </c>
      <c r="AU42" s="64">
        <f t="shared" si="103"/>
        <v>5.5227941449849549E-2</v>
      </c>
      <c r="AV42" s="64">
        <f t="shared" si="103"/>
        <v>5.5262366331224388E-2</v>
      </c>
      <c r="AW42" s="64">
        <f t="shared" si="103"/>
        <v>5.5295014634595852E-2</v>
      </c>
      <c r="AX42" s="64">
        <f t="shared" si="103"/>
        <v>5.5325976385071307E-2</v>
      </c>
      <c r="AY42" s="64">
        <f t="shared" si="103"/>
        <v>5.535533724575048E-2</v>
      </c>
      <c r="AZ42" s="64">
        <f t="shared" si="103"/>
        <v>5.5383178708504843E-2</v>
      </c>
      <c r="BA42" s="64">
        <f t="shared" si="103"/>
        <v>5.5409578278572846E-2</v>
      </c>
      <c r="BB42" s="64">
        <f t="shared" si="103"/>
        <v>5.5434609652949884E-2</v>
      </c>
      <c r="BC42" s="64">
        <f t="shared" si="103"/>
        <v>5.5458342892538592E-2</v>
      </c>
      <c r="BD42" s="64"/>
      <c r="BH42" s="75"/>
      <c r="BI42" s="74"/>
    </row>
    <row r="43" spans="1:63">
      <c r="B43" s="41" t="s">
        <v>189</v>
      </c>
      <c r="G43" s="32">
        <f t="shared" ref="G43:V43" si="104">+G19/F19-1</f>
        <v>-0.13149847094801215</v>
      </c>
      <c r="H43" s="32">
        <f t="shared" si="104"/>
        <v>-0.20212540302053295</v>
      </c>
      <c r="I43" s="32">
        <f t="shared" si="104"/>
        <v>0.4404094111391732</v>
      </c>
      <c r="J43" s="32">
        <f t="shared" si="104"/>
        <v>-1.9250290692309102E-2</v>
      </c>
      <c r="K43" s="32">
        <f t="shared" si="104"/>
        <v>-3.5605404795062023E-2</v>
      </c>
      <c r="L43" s="32">
        <f t="shared" si="104"/>
        <v>0.14894821059204633</v>
      </c>
      <c r="M43" s="32">
        <f t="shared" si="104"/>
        <v>5.3227806178773429E-2</v>
      </c>
      <c r="N43" s="32">
        <f t="shared" si="104"/>
        <v>-3.0993501362617581E-2</v>
      </c>
      <c r="O43" s="32">
        <f t="shared" si="104"/>
        <v>-5.7163302324807264E-2</v>
      </c>
      <c r="P43" s="32">
        <f t="shared" si="104"/>
        <v>9.319401299068053E-3</v>
      </c>
      <c r="Q43" s="32">
        <f t="shared" si="104"/>
        <v>2.687814773363173E-2</v>
      </c>
      <c r="R43" s="32">
        <f t="shared" si="104"/>
        <v>9.2641474089336651E-3</v>
      </c>
      <c r="S43" s="32">
        <f t="shared" si="104"/>
        <v>-4.8426558677128195E-3</v>
      </c>
      <c r="T43" s="32">
        <f t="shared" si="104"/>
        <v>0.101681983112347</v>
      </c>
      <c r="U43" s="32">
        <f t="shared" si="104"/>
        <v>2.9965371296652332E-2</v>
      </c>
      <c r="V43" s="32">
        <f t="shared" si="104"/>
        <v>-4.2736319894802755E-2</v>
      </c>
      <c r="W43" s="32">
        <f>+W19/V19-1</f>
        <v>-3.7026630451749809E-2</v>
      </c>
      <c r="X43" s="32">
        <f>+X19/W19-1</f>
        <v>5.2034365375263514E-2</v>
      </c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H43" s="72" t="s">
        <v>190</v>
      </c>
      <c r="BI43" s="76">
        <f>+O!$J$18/E!AS32</f>
        <v>25.689069804400862</v>
      </c>
    </row>
    <row r="44" spans="1:63">
      <c r="B44" s="21" t="s">
        <v>100</v>
      </c>
      <c r="C44" s="32">
        <f t="shared" ref="C44:W44" si="105">+C27/C19</f>
        <v>0.4290121613821381</v>
      </c>
      <c r="D44" s="32">
        <f t="shared" si="105"/>
        <v>0.43201227402122072</v>
      </c>
      <c r="E44" s="32">
        <f t="shared" si="105"/>
        <v>0.4504116460389293</v>
      </c>
      <c r="F44" s="32">
        <f t="shared" si="105"/>
        <v>0.43504292398953615</v>
      </c>
      <c r="G44" s="32">
        <f t="shared" si="105"/>
        <v>0.37483030714406929</v>
      </c>
      <c r="H44" s="32">
        <f t="shared" si="105"/>
        <v>0.2743852186627676</v>
      </c>
      <c r="I44" s="32">
        <f t="shared" si="105"/>
        <v>0.48027906461674769</v>
      </c>
      <c r="J44" s="32">
        <f t="shared" si="105"/>
        <v>0.41838232526628782</v>
      </c>
      <c r="K44" s="32">
        <f t="shared" si="105"/>
        <v>0.45997736408695317</v>
      </c>
      <c r="L44" s="32">
        <f t="shared" si="105"/>
        <v>0.47116968698517292</v>
      </c>
      <c r="M44" s="32">
        <f t="shared" si="105"/>
        <v>0.49515424185251483</v>
      </c>
      <c r="N44" s="32">
        <f t="shared" si="105"/>
        <v>0.41330648516416757</v>
      </c>
      <c r="O44" s="32">
        <f t="shared" si="105"/>
        <v>0.42454462016379552</v>
      </c>
      <c r="P44" s="32">
        <f t="shared" si="105"/>
        <v>0.31561275881365425</v>
      </c>
      <c r="Q44" s="32">
        <f t="shared" si="105"/>
        <v>0.48657209516186717</v>
      </c>
      <c r="R44" s="32">
        <f t="shared" si="105"/>
        <v>0.43578840799797519</v>
      </c>
      <c r="S44" s="32">
        <f t="shared" si="105"/>
        <v>0.42938044694631899</v>
      </c>
      <c r="T44" s="32">
        <f t="shared" si="105"/>
        <v>0.47773759138130056</v>
      </c>
      <c r="U44" s="32">
        <f t="shared" si="105"/>
        <v>0.47940886405068583</v>
      </c>
      <c r="V44" s="32">
        <f t="shared" si="105"/>
        <v>0.43737316974181267</v>
      </c>
      <c r="W44" s="32">
        <f t="shared" si="105"/>
        <v>0.44334576106338142</v>
      </c>
      <c r="X44" s="32">
        <f t="shared" ref="X44" si="106">+X27/X19</f>
        <v>0.44992295839753466</v>
      </c>
      <c r="Y44" s="32"/>
      <c r="AM44" s="32">
        <f t="shared" ref="AM44:BC44" si="107">+AM27/AM19</f>
        <v>0.50010888312050317</v>
      </c>
      <c r="AN44" s="32">
        <f t="shared" si="107"/>
        <v>0.51880686041151169</v>
      </c>
      <c r="AO44" s="32">
        <f t="shared" si="107"/>
        <v>0.43681545000093613</v>
      </c>
      <c r="AP44" s="62">
        <f t="shared" si="107"/>
        <v>0.3969533210466582</v>
      </c>
      <c r="AQ44" s="62">
        <f t="shared" si="107"/>
        <v>0.46013202485477694</v>
      </c>
      <c r="AR44" s="62">
        <f t="shared" si="107"/>
        <v>0.4162604712154806</v>
      </c>
      <c r="AS44" s="62">
        <f t="shared" si="107"/>
        <v>0.45684620121834019</v>
      </c>
      <c r="AT44" s="62">
        <f t="shared" si="107"/>
        <v>0.4568462012183403</v>
      </c>
      <c r="AU44" s="62">
        <f t="shared" si="107"/>
        <v>0.4568462012183403</v>
      </c>
      <c r="AV44" s="62">
        <f t="shared" si="107"/>
        <v>0.45684620121834019</v>
      </c>
      <c r="AW44" s="62">
        <f t="shared" si="107"/>
        <v>0.4568462012183403</v>
      </c>
      <c r="AX44" s="62">
        <f t="shared" si="107"/>
        <v>0.4568462012183403</v>
      </c>
      <c r="AY44" s="62">
        <f t="shared" si="107"/>
        <v>0.4568462012183403</v>
      </c>
      <c r="AZ44" s="62">
        <f t="shared" si="107"/>
        <v>0.45684620121834024</v>
      </c>
      <c r="BA44" s="62">
        <f t="shared" si="107"/>
        <v>0.45684620121834035</v>
      </c>
      <c r="BB44" s="62">
        <f t="shared" si="107"/>
        <v>0.45684620121834019</v>
      </c>
      <c r="BC44" s="62">
        <f t="shared" si="107"/>
        <v>0.45684620121834041</v>
      </c>
      <c r="BD44" s="54"/>
      <c r="BH44" s="72" t="s">
        <v>191</v>
      </c>
      <c r="BI44" s="76">
        <f>+O!$J$18/E!AT32</f>
        <v>24.803060228604423</v>
      </c>
    </row>
    <row r="45" spans="1:6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H45" s="72" t="s">
        <v>192</v>
      </c>
      <c r="BI45" s="76">
        <f>+O!$J$18/E!AU32</f>
        <v>23.50493126113189</v>
      </c>
    </row>
    <row r="46" spans="1:63">
      <c r="B46" s="21" t="s">
        <v>108</v>
      </c>
      <c r="O46" s="24">
        <v>244</v>
      </c>
      <c r="AM46" s="24">
        <v>172.12</v>
      </c>
      <c r="AN46" s="24">
        <v>177.57</v>
      </c>
      <c r="AO46" s="24">
        <v>197.61</v>
      </c>
      <c r="AP46" s="54">
        <v>214.58</v>
      </c>
      <c r="AQ46" s="54">
        <v>268.07</v>
      </c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H46" s="78" t="s">
        <v>193</v>
      </c>
      <c r="BI46" s="77">
        <f>+O!$J$18/E!AU32</f>
        <v>23.50493126113189</v>
      </c>
    </row>
    <row r="47" spans="1:63">
      <c r="B47" s="21" t="s">
        <v>2</v>
      </c>
      <c r="O47" s="24">
        <f>+O33*O46</f>
        <v>182414.4</v>
      </c>
      <c r="Q47" s="24">
        <f>+O!J15</f>
        <v>218309.07035950999</v>
      </c>
      <c r="AM47" s="24">
        <f>+AM33*AM46</f>
        <v>140363.86000000002</v>
      </c>
      <c r="AN47" s="24">
        <f>+AN33*AN46</f>
        <v>139498.992</v>
      </c>
      <c r="AO47" s="24">
        <f>+AO33*AO46</f>
        <v>157684.25368020311</v>
      </c>
      <c r="AP47" s="54">
        <f>+AP33*AP46</f>
        <v>171089.29286846283</v>
      </c>
      <c r="AQ47" s="54">
        <f>+AQ33*AQ46</f>
        <v>201563.58195236878</v>
      </c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G47" s="32"/>
      <c r="BH47" s="79"/>
      <c r="BI47" s="32"/>
      <c r="BJ47" s="32"/>
      <c r="BK47" s="32"/>
    </row>
    <row r="48" spans="1:63">
      <c r="B48" s="21" t="s">
        <v>5</v>
      </c>
      <c r="J48" s="24">
        <f>+J47+J51</f>
        <v>-32694.100000000002</v>
      </c>
      <c r="K48" s="24">
        <f>+K47+K51</f>
        <v>-31492.399999999998</v>
      </c>
      <c r="L48" s="24">
        <f t="shared" ref="L48:N48" si="108">+L47+L51</f>
        <v>-31176.399999999998</v>
      </c>
      <c r="M48" s="24">
        <f t="shared" si="108"/>
        <v>-29650.799999999999</v>
      </c>
      <c r="N48" s="24">
        <f t="shared" si="108"/>
        <v>-29712.299999999996</v>
      </c>
      <c r="O48" s="24">
        <f>+O47+O51</f>
        <v>151938.5</v>
      </c>
      <c r="Q48" s="24">
        <f>+Q47+Q51</f>
        <v>187234.97035950999</v>
      </c>
      <c r="AM48" s="24">
        <f t="shared" ref="AM48:AP48" si="109">+AM47+AM51</f>
        <v>140363.86000000002</v>
      </c>
      <c r="AN48" s="24">
        <f t="shared" si="109"/>
        <v>139498.992</v>
      </c>
      <c r="AO48" s="24">
        <f t="shared" si="109"/>
        <v>157684.25368020311</v>
      </c>
      <c r="AP48" s="24">
        <f t="shared" si="109"/>
        <v>139912.89286846283</v>
      </c>
      <c r="AQ48" s="24">
        <f>+AQ47+AQ51</f>
        <v>171851.28195236879</v>
      </c>
    </row>
    <row r="49" spans="1:57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57"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BD50" s="32"/>
      <c r="BE50" s="25"/>
    </row>
    <row r="51" spans="1:57" s="25" customFormat="1">
      <c r="A51" s="42"/>
      <c r="B51" s="26" t="s">
        <v>109</v>
      </c>
      <c r="J51" s="25">
        <f>+J52+J56-J70-J71</f>
        <v>-32694.100000000002</v>
      </c>
      <c r="K51" s="25">
        <f>+K52+K56-K70-K71</f>
        <v>-31492.399999999998</v>
      </c>
      <c r="L51" s="25">
        <f>+L52+L56-L70-L71</f>
        <v>-31176.399999999998</v>
      </c>
      <c r="M51" s="25">
        <f t="shared" ref="M51:X51" si="110">+M52+M56-M70-M71</f>
        <v>-29650.799999999999</v>
      </c>
      <c r="N51" s="25">
        <f t="shared" si="110"/>
        <v>-29712.299999999996</v>
      </c>
      <c r="O51" s="25">
        <f t="shared" si="110"/>
        <v>-30475.9</v>
      </c>
      <c r="P51" s="25">
        <f t="shared" si="110"/>
        <v>-31630</v>
      </c>
      <c r="Q51" s="25">
        <f t="shared" si="110"/>
        <v>-31074.1</v>
      </c>
      <c r="R51" s="25">
        <f t="shared" si="110"/>
        <v>-32255.100000000002</v>
      </c>
      <c r="S51" s="25">
        <f t="shared" si="110"/>
        <v>3708.1</v>
      </c>
      <c r="T51" s="25">
        <f t="shared" si="110"/>
        <v>-34084.5</v>
      </c>
      <c r="U51" s="25">
        <f t="shared" si="110"/>
        <v>-32740.399999999998</v>
      </c>
      <c r="V51" s="25">
        <f t="shared" si="110"/>
        <v>-33685.800000000003</v>
      </c>
      <c r="W51" s="25">
        <f t="shared" si="110"/>
        <v>-33647</v>
      </c>
      <c r="X51" s="25">
        <f t="shared" si="110"/>
        <v>-34856</v>
      </c>
      <c r="AP51" s="25">
        <f>+L51</f>
        <v>-31176.399999999998</v>
      </c>
      <c r="AQ51" s="25">
        <f>+N51</f>
        <v>-29712.299999999996</v>
      </c>
      <c r="AR51" s="25">
        <f>+R51</f>
        <v>-32255.100000000002</v>
      </c>
      <c r="AS51" s="25">
        <f>+W51</f>
        <v>-33647</v>
      </c>
      <c r="AT51" s="25">
        <f>+AS51+AT32</f>
        <v>-24875.679350275841</v>
      </c>
      <c r="AU51" s="25">
        <f>+AT51+AU32</f>
        <v>-15619.936717270859</v>
      </c>
      <c r="AV51" s="25">
        <f t="shared" ref="AV51:BC51" si="111">+AU51+AV32</f>
        <v>-5852.6998442132281</v>
      </c>
      <c r="AW51" s="25">
        <f t="shared" si="111"/>
        <v>4454.6165346796934</v>
      </c>
      <c r="AX51" s="25">
        <f t="shared" si="111"/>
        <v>15332.195256144701</v>
      </c>
      <c r="AY51" s="25">
        <f t="shared" si="111"/>
        <v>26811.906016153604</v>
      </c>
      <c r="AZ51" s="25">
        <f t="shared" si="111"/>
        <v>38927.399648706021</v>
      </c>
      <c r="BA51" s="25">
        <f t="shared" si="111"/>
        <v>51714.207674074911</v>
      </c>
      <c r="BB51" s="25">
        <f t="shared" si="111"/>
        <v>65209.847411037321</v>
      </c>
      <c r="BC51" s="25">
        <f t="shared" si="111"/>
        <v>79453.932964086373</v>
      </c>
      <c r="BD51" s="43"/>
      <c r="BE51" s="37"/>
    </row>
    <row r="52" spans="1:57">
      <c r="B52" s="21" t="s">
        <v>47</v>
      </c>
      <c r="J52" s="24">
        <v>3449.1</v>
      </c>
      <c r="K52" s="24">
        <v>3019.7</v>
      </c>
      <c r="L52" s="24">
        <v>3049.4</v>
      </c>
      <c r="M52" s="24">
        <v>4305.8</v>
      </c>
      <c r="N52" s="24">
        <v>4709.2</v>
      </c>
      <c r="O52" s="24">
        <v>2335.6999999999998</v>
      </c>
      <c r="P52" s="24">
        <v>1872.5</v>
      </c>
      <c r="Q52" s="24">
        <v>2828.3</v>
      </c>
      <c r="R52" s="24">
        <v>2583.8000000000002</v>
      </c>
      <c r="S52" s="24">
        <v>3708.1</v>
      </c>
      <c r="T52" s="24">
        <v>1625.6</v>
      </c>
      <c r="U52" s="24">
        <v>3496.3</v>
      </c>
      <c r="V52" s="24">
        <v>4579.3</v>
      </c>
      <c r="W52" s="24">
        <v>838</v>
      </c>
      <c r="X52" s="24">
        <v>792</v>
      </c>
    </row>
    <row r="53" spans="1:57">
      <c r="B53" s="21" t="s">
        <v>49</v>
      </c>
      <c r="J53" s="24">
        <v>2110.3000000000002</v>
      </c>
      <c r="K53" s="24">
        <v>1733.7</v>
      </c>
      <c r="L53" s="24">
        <v>1808.3</v>
      </c>
      <c r="M53" s="24">
        <v>1828.5</v>
      </c>
      <c r="N53" s="24">
        <v>1872.4</v>
      </c>
      <c r="O53" s="24">
        <v>1674.1</v>
      </c>
      <c r="P53" s="24">
        <v>1836.7</v>
      </c>
      <c r="Q53" s="24">
        <v>1889.9</v>
      </c>
      <c r="R53" s="24">
        <v>2115</v>
      </c>
      <c r="U53" s="24">
        <v>2247.1</v>
      </c>
      <c r="V53" s="24">
        <v>2488</v>
      </c>
      <c r="W53" s="24">
        <v>2238</v>
      </c>
      <c r="X53" s="24">
        <v>2404</v>
      </c>
    </row>
    <row r="54" spans="1:57">
      <c r="B54" s="21" t="s">
        <v>50</v>
      </c>
      <c r="J54" s="24">
        <v>51.1</v>
      </c>
      <c r="K54" s="24">
        <v>45.3</v>
      </c>
      <c r="L54" s="24">
        <v>47.8</v>
      </c>
      <c r="M54" s="24">
        <v>50.1</v>
      </c>
      <c r="N54" s="24">
        <v>55.6</v>
      </c>
      <c r="O54" s="24">
        <v>49.6</v>
      </c>
      <c r="P54" s="24">
        <v>43.3</v>
      </c>
      <c r="Q54" s="24">
        <v>43.4</v>
      </c>
      <c r="R54" s="24">
        <v>52</v>
      </c>
      <c r="U54" s="24">
        <v>47.6</v>
      </c>
      <c r="V54" s="24">
        <v>52.8</v>
      </c>
      <c r="W54" s="24">
        <v>46</v>
      </c>
      <c r="X54" s="24">
        <v>46</v>
      </c>
    </row>
    <row r="55" spans="1:57">
      <c r="B55" s="21" t="s">
        <v>51</v>
      </c>
      <c r="J55" s="24">
        <v>632.70000000000005</v>
      </c>
      <c r="K55" s="24">
        <v>669.2</v>
      </c>
      <c r="L55" s="24">
        <v>795.7</v>
      </c>
      <c r="M55" s="24">
        <v>611.5</v>
      </c>
      <c r="N55" s="24">
        <v>511.3</v>
      </c>
      <c r="O55" s="24">
        <v>597</v>
      </c>
      <c r="P55" s="24">
        <v>1166.8</v>
      </c>
      <c r="Q55" s="24">
        <v>979.2</v>
      </c>
      <c r="R55" s="24">
        <v>673.4</v>
      </c>
      <c r="U55" s="24">
        <v>1059</v>
      </c>
      <c r="V55" s="24">
        <v>866.3</v>
      </c>
      <c r="W55" s="24">
        <v>935</v>
      </c>
      <c r="X55" s="24">
        <v>963</v>
      </c>
    </row>
    <row r="56" spans="1:57">
      <c r="B56" s="21" t="s">
        <v>52</v>
      </c>
      <c r="J56" s="24">
        <v>1297.2</v>
      </c>
      <c r="K56" s="24">
        <v>1211.0999999999999</v>
      </c>
      <c r="L56" s="24">
        <v>1196.8</v>
      </c>
      <c r="M56" s="24">
        <v>1171.4000000000001</v>
      </c>
      <c r="N56" s="24">
        <v>1201.2</v>
      </c>
      <c r="O56" s="24">
        <v>1177.2</v>
      </c>
      <c r="P56" s="24">
        <v>1074</v>
      </c>
      <c r="Q56" s="24">
        <v>963.8</v>
      </c>
      <c r="R56" s="24">
        <v>1064.5</v>
      </c>
      <c r="U56" s="24">
        <v>1037.9000000000001</v>
      </c>
      <c r="V56" s="24">
        <v>1080.2</v>
      </c>
      <c r="W56" s="24">
        <v>2883</v>
      </c>
      <c r="X56" s="24">
        <v>2876</v>
      </c>
    </row>
    <row r="57" spans="1:57">
      <c r="B57" s="21" t="s">
        <v>53</v>
      </c>
      <c r="J57" s="24">
        <v>2773.1</v>
      </c>
      <c r="K57" s="24">
        <v>2745.8</v>
      </c>
      <c r="L57" s="24">
        <v>2778.1</v>
      </c>
      <c r="M57" s="24">
        <v>2744.2</v>
      </c>
      <c r="N57" s="24">
        <v>2782.5</v>
      </c>
      <c r="O57" s="24">
        <v>2813.9</v>
      </c>
      <c r="P57" s="24">
        <v>2722.4</v>
      </c>
      <c r="Q57" s="24">
        <v>2651.3</v>
      </c>
      <c r="R57" s="24">
        <v>2900.4</v>
      </c>
      <c r="U57" s="24">
        <v>2965.2</v>
      </c>
      <c r="V57" s="24">
        <v>3040.4</v>
      </c>
      <c r="W57" s="24">
        <v>3028</v>
      </c>
      <c r="X57" s="24">
        <v>3048</v>
      </c>
    </row>
    <row r="58" spans="1:57">
      <c r="B58" s="21" t="s">
        <v>54</v>
      </c>
      <c r="J58" s="24">
        <v>3527.4</v>
      </c>
      <c r="K58" s="24">
        <v>3499.1</v>
      </c>
      <c r="L58" s="24">
        <v>3889.5</v>
      </c>
      <c r="M58" s="24">
        <v>4057.9</v>
      </c>
      <c r="N58" s="24">
        <v>4449.5</v>
      </c>
      <c r="O58" s="24">
        <v>4416.8999999999996</v>
      </c>
      <c r="P58" s="24">
        <v>4403.3999999999996</v>
      </c>
      <c r="Q58" s="24">
        <v>4254.6000000000004</v>
      </c>
      <c r="R58" s="24">
        <v>4707.2</v>
      </c>
      <c r="U58" s="24">
        <v>5062.6000000000004</v>
      </c>
      <c r="V58" s="24">
        <v>5617.8</v>
      </c>
      <c r="W58" s="24">
        <v>5586</v>
      </c>
      <c r="X58" s="24">
        <v>5627</v>
      </c>
    </row>
    <row r="59" spans="1:57">
      <c r="B59" s="21" t="s">
        <v>55</v>
      </c>
      <c r="J59" s="24">
        <v>13827.7</v>
      </c>
      <c r="K59" s="24">
        <v>13629.4</v>
      </c>
      <c r="L59" s="24">
        <v>13707.3</v>
      </c>
      <c r="M59" s="24">
        <v>13528.9</v>
      </c>
      <c r="N59" s="24">
        <v>13552</v>
      </c>
      <c r="O59" s="24">
        <v>13378.6</v>
      </c>
      <c r="P59" s="24">
        <v>12794.2</v>
      </c>
      <c r="Q59" s="24">
        <v>12192.8</v>
      </c>
      <c r="R59" s="24">
        <v>12565.7</v>
      </c>
      <c r="U59" s="24">
        <v>12249.5</v>
      </c>
      <c r="V59" s="24">
        <v>13514.4</v>
      </c>
      <c r="W59" s="24">
        <v>13277</v>
      </c>
      <c r="X59" s="24">
        <v>13234</v>
      </c>
    </row>
    <row r="60" spans="1:57">
      <c r="B60" s="21" t="s">
        <v>56</v>
      </c>
      <c r="J60" s="24">
        <v>24958.2</v>
      </c>
      <c r="K60" s="24">
        <v>24549.8</v>
      </c>
      <c r="L60" s="24">
        <v>24620.2</v>
      </c>
      <c r="M60" s="24">
        <v>24428.7</v>
      </c>
      <c r="N60" s="24">
        <v>24720.6</v>
      </c>
      <c r="O60" s="24">
        <v>24434.7</v>
      </c>
      <c r="P60" s="24">
        <v>23334.5</v>
      </c>
      <c r="Q60" s="24">
        <v>22698.3</v>
      </c>
      <c r="R60" s="24">
        <v>23773.599999999999</v>
      </c>
      <c r="U60" s="24">
        <v>23924.1</v>
      </c>
      <c r="V60" s="24">
        <v>24907.599999999999</v>
      </c>
      <c r="W60" s="24">
        <v>24682</v>
      </c>
      <c r="X60" s="24">
        <v>24811</v>
      </c>
    </row>
    <row r="61" spans="1:57" s="25" customFormat="1">
      <c r="A61" s="42"/>
      <c r="B61" s="26" t="s">
        <v>48</v>
      </c>
      <c r="J61" s="25">
        <f>SUM(J52:J60)</f>
        <v>52626.8</v>
      </c>
      <c r="K61" s="25">
        <f t="shared" ref="K61:Q61" si="112">SUM(K52:K60)</f>
        <v>51103.1</v>
      </c>
      <c r="L61" s="25">
        <f t="shared" si="112"/>
        <v>51893.100000000006</v>
      </c>
      <c r="M61" s="25">
        <f t="shared" si="112"/>
        <v>52727</v>
      </c>
      <c r="N61" s="25">
        <f t="shared" si="112"/>
        <v>53854.3</v>
      </c>
      <c r="O61" s="25">
        <f t="shared" si="112"/>
        <v>50877.7</v>
      </c>
      <c r="P61" s="25">
        <f t="shared" si="112"/>
        <v>49247.8</v>
      </c>
      <c r="Q61" s="25">
        <f t="shared" si="112"/>
        <v>48501.600000000006</v>
      </c>
      <c r="R61" s="25">
        <f t="shared" ref="R61" si="113">SUM(R52:R60)</f>
        <v>50435.6</v>
      </c>
      <c r="S61" s="25">
        <f t="shared" ref="S61" si="114">SUM(S52:S60)</f>
        <v>3708.1</v>
      </c>
      <c r="T61" s="25">
        <f t="shared" ref="T61" si="115">SUM(T52:T60)</f>
        <v>1625.6</v>
      </c>
      <c r="U61" s="25">
        <f t="shared" ref="U61:W61" si="116">SUM(U52:U60)</f>
        <v>52089.299999999996</v>
      </c>
      <c r="V61" s="25">
        <v>56146.8</v>
      </c>
      <c r="W61" s="25">
        <f t="shared" si="116"/>
        <v>53513</v>
      </c>
      <c r="X61" s="25">
        <f t="shared" ref="X61" si="117">SUM(X52:X60)</f>
        <v>53801</v>
      </c>
    </row>
    <row r="63" spans="1:57">
      <c r="B63" s="21" t="s">
        <v>57</v>
      </c>
      <c r="J63" s="24">
        <v>741.3</v>
      </c>
      <c r="K63" s="24">
        <v>670</v>
      </c>
      <c r="L63" s="24">
        <v>730.9</v>
      </c>
      <c r="M63" s="24">
        <v>772.6</v>
      </c>
      <c r="N63" s="24">
        <v>1006.8</v>
      </c>
      <c r="O63" s="24">
        <v>718.6</v>
      </c>
      <c r="P63" s="24">
        <v>739.4</v>
      </c>
      <c r="Q63" s="24">
        <v>794.8</v>
      </c>
      <c r="R63" s="24">
        <v>980.2</v>
      </c>
      <c r="U63" s="24">
        <v>862.4</v>
      </c>
      <c r="V63" s="24">
        <v>1102.9000000000001</v>
      </c>
      <c r="W63" s="24">
        <v>936</v>
      </c>
      <c r="X63" s="24">
        <v>949</v>
      </c>
    </row>
    <row r="64" spans="1:57">
      <c r="B64" s="21" t="s">
        <v>78</v>
      </c>
      <c r="J64" s="24">
        <v>0</v>
      </c>
      <c r="K64" s="24">
        <v>0</v>
      </c>
      <c r="M64" s="24">
        <v>1027.3</v>
      </c>
      <c r="P64" s="24">
        <v>0</v>
      </c>
      <c r="Q64" s="24">
        <v>0</v>
      </c>
      <c r="R64" s="24">
        <v>0</v>
      </c>
      <c r="U64" s="24">
        <v>0</v>
      </c>
      <c r="V64" s="24">
        <v>0</v>
      </c>
      <c r="W64" s="24">
        <v>0</v>
      </c>
      <c r="X64" s="24">
        <v>0</v>
      </c>
    </row>
    <row r="65" spans="1:24">
      <c r="B65" s="21" t="s">
        <v>58</v>
      </c>
      <c r="J65" s="24">
        <v>701.5</v>
      </c>
      <c r="K65" s="24">
        <v>718.4</v>
      </c>
      <c r="L65" s="24">
        <v>720.4</v>
      </c>
      <c r="M65" s="24">
        <v>701.5</v>
      </c>
      <c r="N65" s="24">
        <v>705.5</v>
      </c>
      <c r="O65" s="24">
        <v>691.9</v>
      </c>
      <c r="P65" s="24">
        <v>689.6</v>
      </c>
      <c r="Q65" s="24">
        <v>654.9</v>
      </c>
      <c r="R65" s="24">
        <v>661.1</v>
      </c>
      <c r="U65" s="24">
        <v>668.1</v>
      </c>
      <c r="V65" s="24">
        <v>688.1</v>
      </c>
      <c r="W65" s="24">
        <v>685</v>
      </c>
      <c r="X65" s="24">
        <v>655</v>
      </c>
    </row>
    <row r="66" spans="1:24">
      <c r="B66" s="21" t="s">
        <v>59</v>
      </c>
      <c r="J66" s="24">
        <v>741.1</v>
      </c>
      <c r="K66" s="24">
        <v>718.3</v>
      </c>
      <c r="L66" s="24">
        <v>281.39999999999998</v>
      </c>
      <c r="M66" s="24">
        <v>259.7</v>
      </c>
      <c r="N66" s="24">
        <v>360.7</v>
      </c>
      <c r="O66" s="24">
        <v>593.5</v>
      </c>
      <c r="P66" s="24">
        <v>503.8</v>
      </c>
      <c r="Q66" s="24">
        <v>386.3</v>
      </c>
      <c r="R66" s="24">
        <v>274.89999999999998</v>
      </c>
      <c r="U66" s="24">
        <v>535.29999999999995</v>
      </c>
      <c r="V66" s="24">
        <v>705.1</v>
      </c>
      <c r="W66" s="24">
        <v>873</v>
      </c>
      <c r="X66" s="24">
        <v>464</v>
      </c>
    </row>
    <row r="67" spans="1:24">
      <c r="B67" s="21" t="s">
        <v>60</v>
      </c>
      <c r="J67" s="24">
        <v>227</v>
      </c>
      <c r="K67" s="24">
        <v>192</v>
      </c>
      <c r="L67" s="24">
        <v>241.2</v>
      </c>
      <c r="M67" s="24">
        <v>253.5</v>
      </c>
      <c r="N67" s="24">
        <v>236.7</v>
      </c>
      <c r="O67" s="24">
        <v>270.7</v>
      </c>
      <c r="P67" s="24">
        <v>215.9</v>
      </c>
      <c r="Q67" s="24">
        <v>203.6</v>
      </c>
      <c r="R67" s="24">
        <v>255.1</v>
      </c>
      <c r="U67" s="24">
        <v>242.2</v>
      </c>
      <c r="V67" s="24">
        <v>268</v>
      </c>
      <c r="W67" s="24">
        <v>279</v>
      </c>
      <c r="X67" s="24">
        <v>279</v>
      </c>
    </row>
    <row r="68" spans="1:24">
      <c r="B68" s="21" t="s">
        <v>61</v>
      </c>
      <c r="J68" s="24">
        <v>388.4</v>
      </c>
      <c r="K68" s="24">
        <v>333.2</v>
      </c>
      <c r="L68" s="24">
        <v>323.8</v>
      </c>
      <c r="M68" s="24">
        <v>312.2</v>
      </c>
      <c r="N68" s="24">
        <v>363.3</v>
      </c>
      <c r="O68" s="24">
        <v>322.39999999999998</v>
      </c>
      <c r="P68" s="24">
        <v>312.8</v>
      </c>
      <c r="Q68" s="24">
        <v>318.39999999999998</v>
      </c>
      <c r="R68" s="24">
        <v>393.4</v>
      </c>
      <c r="U68" s="24">
        <v>346.4</v>
      </c>
      <c r="V68" s="24">
        <v>468.9</v>
      </c>
      <c r="W68" s="24">
        <v>372</v>
      </c>
      <c r="X68" s="24">
        <v>421</v>
      </c>
    </row>
    <row r="69" spans="1:24">
      <c r="B69" s="21" t="s">
        <v>62</v>
      </c>
      <c r="J69" s="24">
        <v>1138.3</v>
      </c>
      <c r="K69" s="24">
        <v>1047.9000000000001</v>
      </c>
      <c r="L69" s="24">
        <v>1137.0999999999999</v>
      </c>
      <c r="M69" s="24">
        <v>1268.8</v>
      </c>
      <c r="N69" s="24">
        <v>1347</v>
      </c>
      <c r="O69" s="24">
        <v>1637.5</v>
      </c>
      <c r="P69" s="24">
        <v>1018.6</v>
      </c>
      <c r="Q69" s="24">
        <v>1128.0999999999999</v>
      </c>
      <c r="R69" s="24">
        <v>1237.4000000000001</v>
      </c>
      <c r="U69" s="24">
        <v>1348.3</v>
      </c>
      <c r="V69" s="24">
        <v>1433.6</v>
      </c>
      <c r="W69" s="24">
        <v>1136</v>
      </c>
      <c r="X69" s="24">
        <v>1142</v>
      </c>
    </row>
    <row r="70" spans="1:24">
      <c r="B70" s="21" t="s">
        <v>63</v>
      </c>
      <c r="J70" s="24">
        <v>2243.6</v>
      </c>
      <c r="K70" s="24">
        <v>900</v>
      </c>
      <c r="L70" s="24">
        <v>500</v>
      </c>
      <c r="M70" s="24">
        <v>500</v>
      </c>
      <c r="N70" s="24">
        <v>0</v>
      </c>
      <c r="O70" s="24">
        <v>0</v>
      </c>
      <c r="U70" s="24">
        <v>0</v>
      </c>
      <c r="V70" s="24">
        <v>2192.4</v>
      </c>
      <c r="W70" s="24">
        <v>604</v>
      </c>
      <c r="X70" s="24">
        <v>0</v>
      </c>
    </row>
    <row r="71" spans="1:24">
      <c r="B71" s="21" t="s">
        <v>66</v>
      </c>
      <c r="J71" s="24">
        <v>35196.800000000003</v>
      </c>
      <c r="K71" s="24">
        <v>34823.199999999997</v>
      </c>
      <c r="L71" s="24">
        <v>34922.6</v>
      </c>
      <c r="M71" s="24">
        <v>34628</v>
      </c>
      <c r="N71" s="24">
        <v>35622.699999999997</v>
      </c>
      <c r="O71" s="24">
        <v>33988.800000000003</v>
      </c>
      <c r="P71" s="24">
        <v>34576.5</v>
      </c>
      <c r="Q71" s="24">
        <v>34866.199999999997</v>
      </c>
      <c r="R71" s="24">
        <v>35903.4</v>
      </c>
      <c r="T71" s="24">
        <v>35710.1</v>
      </c>
      <c r="U71" s="24">
        <v>37274.6</v>
      </c>
      <c r="V71" s="24">
        <v>37152.9</v>
      </c>
      <c r="W71" s="24">
        <v>36764</v>
      </c>
      <c r="X71" s="24">
        <v>38524</v>
      </c>
    </row>
    <row r="72" spans="1:24">
      <c r="B72" s="21" t="s">
        <v>67</v>
      </c>
      <c r="J72" s="24">
        <v>13321.3</v>
      </c>
      <c r="K72" s="24">
        <v>13111</v>
      </c>
      <c r="L72" s="24">
        <v>13119</v>
      </c>
      <c r="M72" s="24">
        <v>12986.6</v>
      </c>
      <c r="N72" s="24">
        <v>13020.9</v>
      </c>
      <c r="O72" s="24">
        <v>12871.8</v>
      </c>
      <c r="P72" s="24">
        <v>12319.4</v>
      </c>
      <c r="Q72" s="24">
        <v>11766.8</v>
      </c>
      <c r="R72" s="24">
        <v>12134.4</v>
      </c>
      <c r="U72" s="24">
        <v>11807.2</v>
      </c>
      <c r="V72" s="24">
        <v>13057.7</v>
      </c>
      <c r="W72" s="24">
        <v>12828</v>
      </c>
      <c r="X72" s="24">
        <v>12820</v>
      </c>
    </row>
    <row r="73" spans="1:24">
      <c r="B73" s="21" t="s">
        <v>111</v>
      </c>
      <c r="J73" s="24">
        <v>1970.7</v>
      </c>
      <c r="K73" s="24">
        <v>1963.4</v>
      </c>
      <c r="L73" s="24">
        <v>1865.2</v>
      </c>
      <c r="M73" s="24">
        <v>1878.9</v>
      </c>
      <c r="N73" s="24">
        <v>1896.8</v>
      </c>
      <c r="O73" s="24">
        <v>1889.8</v>
      </c>
      <c r="P73" s="24">
        <v>1236.0999999999999</v>
      </c>
      <c r="Q73" s="24">
        <v>1085</v>
      </c>
      <c r="R73" s="24">
        <v>791.9</v>
      </c>
      <c r="U73" s="24">
        <v>490.6</v>
      </c>
      <c r="V73" s="24">
        <v>363.2</v>
      </c>
      <c r="W73" s="24">
        <v>361</v>
      </c>
      <c r="X73" s="24">
        <v>85</v>
      </c>
    </row>
    <row r="74" spans="1:24">
      <c r="B74" s="21" t="s">
        <v>110</v>
      </c>
      <c r="J74" s="24">
        <v>702</v>
      </c>
      <c r="K74" s="24">
        <v>702.5</v>
      </c>
      <c r="L74" s="24">
        <v>714.9</v>
      </c>
      <c r="M74" s="24">
        <v>720.1</v>
      </c>
      <c r="N74" s="24">
        <v>738.3</v>
      </c>
      <c r="O74" s="24">
        <v>743</v>
      </c>
      <c r="P74" s="24">
        <v>733</v>
      </c>
      <c r="Q74" s="24">
        <v>727.8</v>
      </c>
      <c r="R74" s="24">
        <v>757.8</v>
      </c>
      <c r="U74" s="24">
        <v>767.6</v>
      </c>
      <c r="V74" s="24">
        <v>790.1</v>
      </c>
      <c r="W74" s="24">
        <v>784</v>
      </c>
      <c r="X74" s="24">
        <v>791</v>
      </c>
    </row>
    <row r="75" spans="1:24">
      <c r="B75" s="21" t="s">
        <v>112</v>
      </c>
      <c r="J75" s="24">
        <v>1054.0999999999999</v>
      </c>
      <c r="K75" s="24">
        <v>1056.8</v>
      </c>
      <c r="L75" s="24">
        <v>1077.2</v>
      </c>
      <c r="M75" s="24">
        <v>1046.5999999999999</v>
      </c>
      <c r="N75" s="24">
        <v>1081</v>
      </c>
      <c r="O75" s="24">
        <v>1092</v>
      </c>
      <c r="P75" s="24">
        <v>1022.8</v>
      </c>
      <c r="Q75" s="24">
        <v>990.8</v>
      </c>
      <c r="R75" s="24">
        <v>1051.8</v>
      </c>
      <c r="U75" s="24">
        <v>984.2</v>
      </c>
      <c r="V75" s="24">
        <v>949.7</v>
      </c>
      <c r="W75" s="24">
        <v>927</v>
      </c>
      <c r="X75" s="24">
        <v>885</v>
      </c>
    </row>
    <row r="76" spans="1:24">
      <c r="B76" s="21" t="s">
        <v>68</v>
      </c>
      <c r="J76" s="24">
        <v>2025.6</v>
      </c>
      <c r="K76" s="24">
        <v>2101.9</v>
      </c>
      <c r="L76" s="24">
        <v>2067.4</v>
      </c>
      <c r="M76" s="24">
        <v>2046.2</v>
      </c>
      <c r="N76" s="24">
        <v>2075.6</v>
      </c>
      <c r="O76" s="24">
        <v>2048.5</v>
      </c>
      <c r="P76" s="24">
        <v>2249.6999999999998</v>
      </c>
      <c r="Q76" s="24">
        <v>2145.1</v>
      </c>
      <c r="R76" s="24">
        <v>1997.5</v>
      </c>
      <c r="U76" s="24">
        <v>1617.2</v>
      </c>
      <c r="V76" s="24">
        <v>1680.9</v>
      </c>
      <c r="W76" s="24">
        <v>1796</v>
      </c>
      <c r="X76" s="24">
        <v>1610</v>
      </c>
    </row>
    <row r="77" spans="1:24">
      <c r="B77" s="21" t="s">
        <v>64</v>
      </c>
      <c r="J77" s="24">
        <v>-7824.9</v>
      </c>
      <c r="K77" s="24">
        <v>-7235.5</v>
      </c>
      <c r="L77" s="24">
        <v>-5808</v>
      </c>
      <c r="M77" s="24">
        <v>-5675</v>
      </c>
      <c r="N77" s="24">
        <v>-4601</v>
      </c>
      <c r="O77" s="24">
        <v>-5990.8</v>
      </c>
      <c r="P77" s="24">
        <v>-6369.8</v>
      </c>
      <c r="Q77" s="24">
        <v>-6566.2</v>
      </c>
      <c r="R77" s="24">
        <v>-6003.4</v>
      </c>
      <c r="U77" s="24">
        <v>-4854.8</v>
      </c>
      <c r="V77" s="24">
        <v>-4706.7</v>
      </c>
      <c r="W77" s="24">
        <v>-4833</v>
      </c>
      <c r="X77" s="24">
        <v>-4824</v>
      </c>
    </row>
    <row r="78" spans="1:24" s="25" customFormat="1">
      <c r="A78" s="42"/>
      <c r="B78" s="26" t="s">
        <v>65</v>
      </c>
      <c r="J78" s="25">
        <f>SUM(J63:J77)</f>
        <v>52626.799999999996</v>
      </c>
      <c r="K78" s="25">
        <f t="shared" ref="K78:Q78" si="118">SUM(K63:K77)</f>
        <v>51103.100000000006</v>
      </c>
      <c r="L78" s="25">
        <f t="shared" si="118"/>
        <v>51893.1</v>
      </c>
      <c r="M78" s="25">
        <f t="shared" si="118"/>
        <v>52726.999999999993</v>
      </c>
      <c r="N78" s="25">
        <f t="shared" si="118"/>
        <v>53854.3</v>
      </c>
      <c r="O78" s="25">
        <f t="shared" si="118"/>
        <v>50877.7</v>
      </c>
      <c r="P78" s="25">
        <f t="shared" si="118"/>
        <v>49247.799999999996</v>
      </c>
      <c r="Q78" s="25">
        <f t="shared" si="118"/>
        <v>48501.599999999999</v>
      </c>
      <c r="R78" s="25">
        <f t="shared" ref="R78" si="119">SUM(R63:R77)</f>
        <v>50435.500000000007</v>
      </c>
      <c r="S78" s="25">
        <f t="shared" ref="S78" si="120">SUM(S63:S77)</f>
        <v>0</v>
      </c>
      <c r="T78" s="25">
        <f t="shared" ref="T78" si="121">SUM(T63:T77)</f>
        <v>35710.1</v>
      </c>
      <c r="U78" s="25">
        <f t="shared" ref="U78:W78" si="122">SUM(U63:U77)</f>
        <v>52089.299999999988</v>
      </c>
      <c r="V78" s="25">
        <v>56146.8</v>
      </c>
      <c r="W78" s="25">
        <f t="shared" si="122"/>
        <v>53512</v>
      </c>
      <c r="X78" s="25">
        <f t="shared" ref="X78" si="123">SUM(X63:X77)</f>
        <v>53801</v>
      </c>
    </row>
    <row r="79" spans="1:24">
      <c r="A79" s="44"/>
    </row>
    <row r="81" spans="1:45">
      <c r="B81" s="21" t="s">
        <v>3</v>
      </c>
      <c r="C81" s="24">
        <f>+C52</f>
        <v>0</v>
      </c>
      <c r="D81" s="24">
        <f t="shared" ref="D81:W81" si="124">+D52</f>
        <v>0</v>
      </c>
      <c r="E81" s="24">
        <f t="shared" si="124"/>
        <v>0</v>
      </c>
      <c r="F81" s="24">
        <f t="shared" si="124"/>
        <v>0</v>
      </c>
      <c r="G81" s="24">
        <f t="shared" si="124"/>
        <v>0</v>
      </c>
      <c r="H81" s="24">
        <f t="shared" si="124"/>
        <v>0</v>
      </c>
      <c r="I81" s="24">
        <f t="shared" si="124"/>
        <v>0</v>
      </c>
      <c r="J81" s="24">
        <f t="shared" si="124"/>
        <v>3449.1</v>
      </c>
      <c r="K81" s="24">
        <f t="shared" si="124"/>
        <v>3019.7</v>
      </c>
      <c r="L81" s="24">
        <f t="shared" si="124"/>
        <v>3049.4</v>
      </c>
      <c r="M81" s="24">
        <f t="shared" si="124"/>
        <v>4305.8</v>
      </c>
      <c r="N81" s="24">
        <f t="shared" si="124"/>
        <v>4709.2</v>
      </c>
      <c r="O81" s="24">
        <f t="shared" si="124"/>
        <v>2335.6999999999998</v>
      </c>
      <c r="P81" s="24">
        <f t="shared" si="124"/>
        <v>1872.5</v>
      </c>
      <c r="Q81" s="24">
        <f t="shared" si="124"/>
        <v>2828.3</v>
      </c>
      <c r="R81" s="24">
        <f t="shared" si="124"/>
        <v>2583.8000000000002</v>
      </c>
      <c r="S81" s="24">
        <f t="shared" si="124"/>
        <v>3708.1</v>
      </c>
      <c r="T81" s="24">
        <f t="shared" si="124"/>
        <v>1625.6</v>
      </c>
      <c r="U81" s="24">
        <f t="shared" si="124"/>
        <v>3496.3</v>
      </c>
      <c r="V81" s="24">
        <f t="shared" si="124"/>
        <v>4579.3</v>
      </c>
      <c r="W81" s="24">
        <f t="shared" si="124"/>
        <v>838</v>
      </c>
      <c r="X81" s="24">
        <f t="shared" ref="X81" si="125">+X52</f>
        <v>792</v>
      </c>
    </row>
    <row r="82" spans="1:45">
      <c r="B82" s="21" t="s">
        <v>157</v>
      </c>
      <c r="C82" s="24">
        <f>+C70+C71</f>
        <v>0</v>
      </c>
      <c r="D82" s="24">
        <f t="shared" ref="D82:W82" si="126">+D70+D71</f>
        <v>0</v>
      </c>
      <c r="E82" s="24">
        <f t="shared" si="126"/>
        <v>0</v>
      </c>
      <c r="F82" s="24">
        <f t="shared" si="126"/>
        <v>0</v>
      </c>
      <c r="G82" s="24">
        <f t="shared" si="126"/>
        <v>0</v>
      </c>
      <c r="H82" s="24">
        <f t="shared" si="126"/>
        <v>0</v>
      </c>
      <c r="I82" s="24">
        <f t="shared" si="126"/>
        <v>0</v>
      </c>
      <c r="J82" s="24">
        <f t="shared" si="126"/>
        <v>37440.400000000001</v>
      </c>
      <c r="K82" s="24">
        <f t="shared" si="126"/>
        <v>35723.199999999997</v>
      </c>
      <c r="L82" s="24">
        <f t="shared" si="126"/>
        <v>35422.6</v>
      </c>
      <c r="M82" s="24">
        <f t="shared" si="126"/>
        <v>35128</v>
      </c>
      <c r="N82" s="24">
        <f t="shared" si="126"/>
        <v>35622.699999999997</v>
      </c>
      <c r="O82" s="24">
        <f t="shared" si="126"/>
        <v>33988.800000000003</v>
      </c>
      <c r="P82" s="24">
        <f t="shared" si="126"/>
        <v>34576.5</v>
      </c>
      <c r="Q82" s="24">
        <f t="shared" si="126"/>
        <v>34866.199999999997</v>
      </c>
      <c r="R82" s="24">
        <f t="shared" si="126"/>
        <v>35903.4</v>
      </c>
      <c r="S82" s="24">
        <f t="shared" si="126"/>
        <v>0</v>
      </c>
      <c r="T82" s="24">
        <f t="shared" si="126"/>
        <v>35710.1</v>
      </c>
      <c r="U82" s="24">
        <f t="shared" si="126"/>
        <v>37274.6</v>
      </c>
      <c r="V82" s="24">
        <f t="shared" si="126"/>
        <v>39345.300000000003</v>
      </c>
      <c r="W82" s="24">
        <f t="shared" si="126"/>
        <v>37368</v>
      </c>
      <c r="X82" s="24">
        <f t="shared" ref="X82" si="127">+X70+X71</f>
        <v>38524</v>
      </c>
    </row>
    <row r="83" spans="1:45" s="25" customFormat="1">
      <c r="A83" s="42"/>
      <c r="B83" s="26" t="s">
        <v>158</v>
      </c>
      <c r="C83" s="25">
        <f>+C82-C81</f>
        <v>0</v>
      </c>
      <c r="D83" s="25">
        <f t="shared" ref="D83:W83" si="128">+D82-D81</f>
        <v>0</v>
      </c>
      <c r="E83" s="25">
        <f t="shared" si="128"/>
        <v>0</v>
      </c>
      <c r="F83" s="25">
        <f t="shared" si="128"/>
        <v>0</v>
      </c>
      <c r="G83" s="25">
        <f t="shared" si="128"/>
        <v>0</v>
      </c>
      <c r="H83" s="25">
        <f t="shared" si="128"/>
        <v>0</v>
      </c>
      <c r="I83" s="25">
        <f t="shared" si="128"/>
        <v>0</v>
      </c>
      <c r="J83" s="25">
        <f t="shared" si="128"/>
        <v>33991.300000000003</v>
      </c>
      <c r="K83" s="25">
        <f t="shared" si="128"/>
        <v>32703.499999999996</v>
      </c>
      <c r="L83" s="25">
        <f t="shared" si="128"/>
        <v>32373.199999999997</v>
      </c>
      <c r="M83" s="25">
        <f t="shared" si="128"/>
        <v>30822.2</v>
      </c>
      <c r="N83" s="25">
        <f t="shared" si="128"/>
        <v>30913.499999999996</v>
      </c>
      <c r="O83" s="25">
        <f t="shared" si="128"/>
        <v>31653.100000000002</v>
      </c>
      <c r="P83" s="25">
        <f t="shared" si="128"/>
        <v>32704</v>
      </c>
      <c r="Q83" s="25">
        <f t="shared" si="128"/>
        <v>32037.899999999998</v>
      </c>
      <c r="R83" s="25">
        <f t="shared" si="128"/>
        <v>33319.599999999999</v>
      </c>
      <c r="S83" s="25">
        <f t="shared" si="128"/>
        <v>-3708.1</v>
      </c>
      <c r="T83" s="25">
        <f t="shared" si="128"/>
        <v>34084.5</v>
      </c>
      <c r="U83" s="25">
        <f t="shared" si="128"/>
        <v>33778.299999999996</v>
      </c>
      <c r="V83" s="25">
        <f t="shared" si="128"/>
        <v>34766</v>
      </c>
      <c r="W83" s="25">
        <f t="shared" si="128"/>
        <v>36530</v>
      </c>
      <c r="X83" s="25">
        <f t="shared" ref="X83" si="129">+X82-X81</f>
        <v>37732</v>
      </c>
    </row>
    <row r="86" spans="1:45">
      <c r="B86" s="21" t="s">
        <v>79</v>
      </c>
      <c r="K86" s="24">
        <v>1537.2</v>
      </c>
      <c r="L86" s="24">
        <v>2219.3000000000002</v>
      </c>
      <c r="M86" s="24">
        <v>2149.9</v>
      </c>
      <c r="N86" s="24">
        <f>+AQ86-SUM(K86:M86)</f>
        <v>1638.8000000000002</v>
      </c>
      <c r="O86" s="24">
        <v>1104.4000000000001</v>
      </c>
      <c r="P86" s="24">
        <v>1188</v>
      </c>
      <c r="Q86" s="24">
        <f t="shared" ref="Q86:W86" si="130">+Q32</f>
        <v>2074.9000000000005</v>
      </c>
      <c r="R86" s="24">
        <f t="shared" si="130"/>
        <v>1903.3999999999996</v>
      </c>
      <c r="S86" s="24">
        <f t="shared" si="130"/>
        <v>1802.3</v>
      </c>
      <c r="T86" s="24">
        <f t="shared" si="130"/>
        <v>2310.4</v>
      </c>
      <c r="U86" s="24">
        <f t="shared" si="130"/>
        <v>2317.099999999999</v>
      </c>
      <c r="V86" s="24">
        <f t="shared" si="130"/>
        <v>2039</v>
      </c>
      <c r="W86" s="24">
        <f t="shared" si="130"/>
        <v>1929</v>
      </c>
      <c r="AQ86" s="24">
        <v>7545.2</v>
      </c>
    </row>
    <row r="87" spans="1:45">
      <c r="B87" s="21" t="s">
        <v>25</v>
      </c>
      <c r="S87" s="24">
        <v>490</v>
      </c>
      <c r="V87" s="24">
        <f>1978.2-SUM(S87:U87)</f>
        <v>1488.2</v>
      </c>
      <c r="W87" s="24">
        <v>510</v>
      </c>
    </row>
    <row r="88" spans="1:45">
      <c r="B88" s="21" t="s">
        <v>194</v>
      </c>
      <c r="S88" s="24">
        <v>-86</v>
      </c>
      <c r="V88" s="24">
        <f>+-686.4-SUM(S88:U88)</f>
        <v>-600.4</v>
      </c>
      <c r="W88" s="24">
        <v>-138</v>
      </c>
    </row>
    <row r="89" spans="1:45">
      <c r="B89" s="21" t="s">
        <v>195</v>
      </c>
      <c r="S89" s="24">
        <v>50</v>
      </c>
      <c r="V89" s="24">
        <f>+-175.2-SUM(S89:U89)</f>
        <v>-225.2</v>
      </c>
      <c r="W89" s="24">
        <v>50</v>
      </c>
    </row>
    <row r="90" spans="1:45">
      <c r="B90" s="21" t="s">
        <v>120</v>
      </c>
      <c r="N90" s="24">
        <f t="shared" ref="N90:N110" si="131">+AQ90-SUM(K90:M90)</f>
        <v>-97.8</v>
      </c>
      <c r="W90" s="24">
        <v>0</v>
      </c>
      <c r="AQ90" s="24">
        <v>-97.8</v>
      </c>
    </row>
    <row r="91" spans="1:45">
      <c r="B91" s="21" t="s">
        <v>26</v>
      </c>
      <c r="K91" s="24">
        <v>-130</v>
      </c>
      <c r="L91" s="24">
        <v>-71.2</v>
      </c>
      <c r="M91" s="24">
        <v>-163.6</v>
      </c>
      <c r="N91" s="24">
        <f t="shared" si="131"/>
        <v>25.699999999999932</v>
      </c>
      <c r="O91" s="24">
        <v>72</v>
      </c>
      <c r="P91" s="24">
        <v>234.2</v>
      </c>
      <c r="Q91" s="24">
        <v>-45.6</v>
      </c>
      <c r="S91" s="24">
        <v>-31</v>
      </c>
      <c r="W91" s="24">
        <v>-31</v>
      </c>
      <c r="AQ91" s="24">
        <v>-339.1</v>
      </c>
    </row>
    <row r="92" spans="1:45">
      <c r="B92" s="21" t="s">
        <v>80</v>
      </c>
      <c r="K92" s="24">
        <v>237.1</v>
      </c>
      <c r="L92" s="24">
        <v>-545.9</v>
      </c>
      <c r="M92" s="24">
        <v>174</v>
      </c>
      <c r="N92" s="24">
        <f t="shared" si="131"/>
        <v>589</v>
      </c>
      <c r="O92" s="24">
        <v>473.4</v>
      </c>
      <c r="P92" s="24">
        <v>-1168.3</v>
      </c>
      <c r="Q92" s="24">
        <v>190.3</v>
      </c>
      <c r="S92" s="24">
        <v>195</v>
      </c>
      <c r="W92" s="24">
        <v>70</v>
      </c>
      <c r="AQ92" s="24">
        <f>309.9-62.2+225-302.5+284</f>
        <v>454.2</v>
      </c>
    </row>
    <row r="93" spans="1:45" s="25" customFormat="1">
      <c r="A93" s="42"/>
      <c r="B93" s="26" t="s">
        <v>81</v>
      </c>
      <c r="K93" s="25">
        <f>+SUM(K86:K92)</f>
        <v>1644.3</v>
      </c>
      <c r="L93" s="25">
        <f t="shared" ref="L93" si="132">+SUM(L86:L92)</f>
        <v>1602.2000000000003</v>
      </c>
      <c r="M93" s="25">
        <f t="shared" ref="M93" si="133">+SUM(M86:M92)</f>
        <v>2160.3000000000002</v>
      </c>
      <c r="N93" s="25">
        <f t="shared" si="131"/>
        <v>2155.6999999999989</v>
      </c>
      <c r="O93" s="25">
        <f>+SUM(O86:O92)</f>
        <v>1649.8000000000002</v>
      </c>
      <c r="P93" s="25">
        <f t="shared" ref="P93:V93" si="134">+SUM(P86:P92)</f>
        <v>253.90000000000009</v>
      </c>
      <c r="Q93" s="25">
        <f>+SUM(Q86:Q92)</f>
        <v>2219.6000000000008</v>
      </c>
      <c r="R93" s="25">
        <f t="shared" si="134"/>
        <v>1903.3999999999996</v>
      </c>
      <c r="S93" s="25">
        <f t="shared" si="134"/>
        <v>2420.3000000000002</v>
      </c>
      <c r="T93" s="25">
        <f t="shared" si="134"/>
        <v>2310.4</v>
      </c>
      <c r="U93" s="25">
        <f t="shared" si="134"/>
        <v>2317.099999999999</v>
      </c>
      <c r="V93" s="25">
        <f t="shared" si="134"/>
        <v>2701.6</v>
      </c>
      <c r="W93" s="25">
        <f>+SUM(W86:W92)</f>
        <v>2390</v>
      </c>
      <c r="X93" s="25">
        <f>1689-W93</f>
        <v>-701</v>
      </c>
      <c r="AN93" s="25">
        <v>6966.7</v>
      </c>
      <c r="AO93" s="25">
        <v>8122.1</v>
      </c>
      <c r="AP93" s="25">
        <v>6265.2</v>
      </c>
      <c r="AQ93" s="25">
        <f>+SUM(AQ86:AQ92)</f>
        <v>7562.4999999999991</v>
      </c>
      <c r="AR93" s="25">
        <v>7386.7</v>
      </c>
      <c r="AS93" s="25">
        <v>9611.9</v>
      </c>
    </row>
    <row r="94" spans="1:45">
      <c r="B94" s="21" t="s">
        <v>82</v>
      </c>
      <c r="K94" s="24">
        <v>-368.7</v>
      </c>
      <c r="L94" s="24">
        <v>-482.6</v>
      </c>
      <c r="M94" s="24">
        <v>-501.5</v>
      </c>
      <c r="N94" s="24">
        <f t="shared" si="131"/>
        <v>-687.2</v>
      </c>
      <c r="O94" s="24">
        <v>-401.2</v>
      </c>
      <c r="P94" s="24">
        <v>-437.9</v>
      </c>
      <c r="Q94" s="24">
        <v>-531.20000000000005</v>
      </c>
      <c r="S94" s="24">
        <v>-503</v>
      </c>
      <c r="W94" s="24">
        <v>-547</v>
      </c>
      <c r="X94" s="24">
        <f>+-628-W94</f>
        <v>-81</v>
      </c>
      <c r="AN94" s="24">
        <v>-2741.7</v>
      </c>
      <c r="AO94" s="24">
        <v>-2393.6999999999998</v>
      </c>
      <c r="AP94" s="24">
        <v>-1640.8</v>
      </c>
      <c r="AQ94" s="24">
        <f>+-2040</f>
        <v>-2040</v>
      </c>
    </row>
    <row r="95" spans="1:45">
      <c r="B95" s="21" t="s">
        <v>83</v>
      </c>
      <c r="K95" s="24">
        <v>-38.700000000000003</v>
      </c>
      <c r="L95" s="24">
        <v>-49.4</v>
      </c>
      <c r="M95" s="24">
        <v>-28.6</v>
      </c>
      <c r="N95" s="24">
        <f t="shared" si="131"/>
        <v>-257.5</v>
      </c>
      <c r="O95" s="24">
        <v>-86.7</v>
      </c>
      <c r="P95" s="24">
        <v>-110.5</v>
      </c>
      <c r="Q95" s="24">
        <v>-152.30000000000001</v>
      </c>
      <c r="S95" s="24">
        <v>-98</v>
      </c>
      <c r="W95" s="24">
        <v>-52</v>
      </c>
      <c r="AQ95" s="24">
        <v>-374.2</v>
      </c>
    </row>
    <row r="96" spans="1:45">
      <c r="B96" s="21" t="s">
        <v>196</v>
      </c>
      <c r="S96" s="24">
        <v>0</v>
      </c>
      <c r="W96" s="24">
        <v>-1820</v>
      </c>
    </row>
    <row r="97" spans="1:45">
      <c r="B97" s="21" t="s">
        <v>84</v>
      </c>
      <c r="K97" s="24">
        <v>29.6</v>
      </c>
      <c r="L97" s="24">
        <v>52.2</v>
      </c>
      <c r="M97" s="24">
        <v>60.1</v>
      </c>
      <c r="N97" s="24">
        <f t="shared" si="131"/>
        <v>54.299999999999983</v>
      </c>
      <c r="O97" s="24">
        <v>16.5</v>
      </c>
      <c r="P97" s="24">
        <v>351.7</v>
      </c>
      <c r="Q97" s="24">
        <v>33.21</v>
      </c>
      <c r="S97" s="24">
        <v>21</v>
      </c>
      <c r="W97" s="24">
        <v>42</v>
      </c>
      <c r="AQ97" s="24">
        <v>196.2</v>
      </c>
    </row>
    <row r="98" spans="1:45">
      <c r="B98" s="21" t="s">
        <v>85</v>
      </c>
      <c r="K98" s="24">
        <v>32.799999999999997</v>
      </c>
      <c r="L98" s="24">
        <v>23.8</v>
      </c>
      <c r="M98" s="24">
        <v>41.3</v>
      </c>
      <c r="N98" s="24">
        <f t="shared" si="131"/>
        <v>8.3000000000000114</v>
      </c>
      <c r="O98" s="24">
        <v>4.9000000000000004</v>
      </c>
      <c r="P98" s="24">
        <v>6.3</v>
      </c>
      <c r="Q98" s="24">
        <v>11.1</v>
      </c>
      <c r="S98" s="24">
        <v>18</v>
      </c>
      <c r="W98" s="24">
        <v>8</v>
      </c>
      <c r="AQ98" s="24">
        <v>106.2</v>
      </c>
    </row>
    <row r="99" spans="1:45">
      <c r="B99" s="21" t="s">
        <v>26</v>
      </c>
      <c r="K99" s="24">
        <v>100.4</v>
      </c>
      <c r="L99" s="24">
        <v>42.5</v>
      </c>
      <c r="M99" s="24">
        <v>43.8</v>
      </c>
      <c r="N99" s="24">
        <f t="shared" si="131"/>
        <v>-240.6</v>
      </c>
      <c r="O99" s="24">
        <v>-88</v>
      </c>
      <c r="P99" s="24">
        <v>-128.80000000000001</v>
      </c>
      <c r="Q99" s="24">
        <v>-93.8</v>
      </c>
      <c r="S99" s="24">
        <v>-179</v>
      </c>
      <c r="W99" s="24">
        <v>-124</v>
      </c>
      <c r="AQ99" s="24">
        <v>-53.9</v>
      </c>
    </row>
    <row r="100" spans="1:45" s="25" customFormat="1">
      <c r="A100" s="42"/>
      <c r="B100" s="26" t="s">
        <v>86</v>
      </c>
      <c r="K100" s="25">
        <f>+SUM(K94:K99)</f>
        <v>-244.59999999999994</v>
      </c>
      <c r="L100" s="25">
        <f>+SUM(L94:L99)</f>
        <v>-413.5</v>
      </c>
      <c r="M100" s="25">
        <f>+SUM(M94:M99)</f>
        <v>-384.9</v>
      </c>
      <c r="N100" s="25">
        <f t="shared" si="131"/>
        <v>-1122.7000000000003</v>
      </c>
      <c r="O100" s="25">
        <f>+SUM(O94:O99)</f>
        <v>-554.5</v>
      </c>
      <c r="P100" s="25">
        <f>+SUM(P94:P99)</f>
        <v>-319.2</v>
      </c>
      <c r="Q100" s="25">
        <f>+SUM(Q94:Q99)</f>
        <v>-732.9899999999999</v>
      </c>
      <c r="R100" s="25">
        <f t="shared" ref="R100:V100" si="135">+SUM(R94:R99)</f>
        <v>0</v>
      </c>
      <c r="S100" s="25">
        <f t="shared" si="135"/>
        <v>-741</v>
      </c>
      <c r="T100" s="25">
        <f t="shared" si="135"/>
        <v>0</v>
      </c>
      <c r="U100" s="25">
        <f t="shared" si="135"/>
        <v>0</v>
      </c>
      <c r="V100" s="25">
        <f t="shared" si="135"/>
        <v>0</v>
      </c>
      <c r="W100" s="25">
        <f>+SUM(W94:W99)</f>
        <v>-2493</v>
      </c>
      <c r="X100" s="25">
        <f>+-846-W100</f>
        <v>1647</v>
      </c>
      <c r="AQ100" s="25">
        <f>+SUM(AQ94:AQ99)</f>
        <v>-2165.7000000000003</v>
      </c>
      <c r="AR100" s="25">
        <v>-2678.1</v>
      </c>
      <c r="AS100" s="25">
        <v>-3184.5</v>
      </c>
    </row>
    <row r="101" spans="1:45">
      <c r="B101" s="21" t="s">
        <v>87</v>
      </c>
      <c r="K101" s="24">
        <v>6.5</v>
      </c>
      <c r="L101" s="24">
        <v>1.4</v>
      </c>
      <c r="M101" s="24">
        <v>-0.3</v>
      </c>
      <c r="N101" s="24">
        <f t="shared" si="131"/>
        <v>7.4999999999999991</v>
      </c>
      <c r="O101" s="24">
        <v>6</v>
      </c>
      <c r="P101" s="24">
        <v>310.10000000000002</v>
      </c>
      <c r="Q101" s="24">
        <v>-305.39999999999998</v>
      </c>
      <c r="S101" s="24">
        <v>13</v>
      </c>
      <c r="W101" s="24">
        <v>-339</v>
      </c>
      <c r="AQ101" s="24">
        <v>15.1</v>
      </c>
    </row>
    <row r="102" spans="1:45">
      <c r="B102" s="21" t="s">
        <v>88</v>
      </c>
      <c r="K102" s="24">
        <v>0</v>
      </c>
      <c r="L102" s="24">
        <v>0</v>
      </c>
      <c r="M102" s="24">
        <v>0</v>
      </c>
      <c r="N102" s="24">
        <f t="shared" si="131"/>
        <v>1154.4000000000001</v>
      </c>
      <c r="O102" s="24">
        <v>0</v>
      </c>
      <c r="P102" s="24">
        <v>1874.5</v>
      </c>
      <c r="Q102" s="24">
        <v>1500</v>
      </c>
      <c r="S102" s="24">
        <v>1054</v>
      </c>
      <c r="W102" s="24">
        <v>0</v>
      </c>
      <c r="AQ102" s="24">
        <v>1154.4000000000001</v>
      </c>
    </row>
    <row r="103" spans="1:45">
      <c r="B103" s="21" t="s">
        <v>89</v>
      </c>
      <c r="K103" s="24">
        <v>-1337.8</v>
      </c>
      <c r="L103" s="24">
        <v>-401.2</v>
      </c>
      <c r="M103" s="24">
        <v>-0.4</v>
      </c>
      <c r="N103" s="24">
        <f t="shared" si="131"/>
        <v>-500.59999999999991</v>
      </c>
      <c r="O103" s="24">
        <v>-1350.6</v>
      </c>
      <c r="P103" s="24">
        <v>-850.8</v>
      </c>
      <c r="Q103" s="24">
        <v>-0.4</v>
      </c>
      <c r="S103" s="24">
        <v>0</v>
      </c>
      <c r="W103" s="24">
        <v>-1285</v>
      </c>
      <c r="AQ103" s="24">
        <v>-2240</v>
      </c>
    </row>
    <row r="104" spans="1:45">
      <c r="B104" s="21" t="s">
        <v>90</v>
      </c>
      <c r="K104" s="24">
        <v>-21.5</v>
      </c>
      <c r="L104" s="24">
        <v>-3</v>
      </c>
      <c r="M104" s="24">
        <v>-17.7</v>
      </c>
      <c r="N104" s="24">
        <f t="shared" si="131"/>
        <v>-803.3</v>
      </c>
      <c r="O104" s="24">
        <v>-1506.5</v>
      </c>
      <c r="P104" s="24">
        <v>-1031.2</v>
      </c>
      <c r="Q104" s="24">
        <v>-869.2</v>
      </c>
      <c r="S104" s="24">
        <v>-578</v>
      </c>
      <c r="W104" s="24">
        <v>-918</v>
      </c>
      <c r="AQ104" s="24">
        <v>-845.5</v>
      </c>
    </row>
    <row r="105" spans="1:45">
      <c r="B105" s="21" t="s">
        <v>91</v>
      </c>
      <c r="K105" s="24">
        <v>-962.3</v>
      </c>
      <c r="L105" s="24">
        <v>-963.3</v>
      </c>
      <c r="M105" s="24">
        <v>-963.9</v>
      </c>
      <c r="N105" s="24">
        <f t="shared" si="131"/>
        <v>-1029.0999999999999</v>
      </c>
      <c r="O105" s="24">
        <v>-1025.0999999999999</v>
      </c>
      <c r="P105" s="24">
        <v>-1016.9</v>
      </c>
      <c r="Q105" s="24">
        <v>-1014.7</v>
      </c>
      <c r="S105" s="24">
        <v>-1111</v>
      </c>
      <c r="W105" s="24">
        <v>-1206</v>
      </c>
      <c r="AQ105" s="24">
        <v>-3918.6</v>
      </c>
    </row>
    <row r="106" spans="1:45">
      <c r="B106" s="21" t="s">
        <v>92</v>
      </c>
      <c r="K106" s="24">
        <v>59.1</v>
      </c>
      <c r="L106" s="24">
        <v>72.900000000000006</v>
      </c>
      <c r="M106" s="24">
        <v>66.599999999999994</v>
      </c>
      <c r="N106" s="24">
        <f t="shared" si="131"/>
        <v>87.1</v>
      </c>
      <c r="O106" s="24">
        <v>58.7</v>
      </c>
      <c r="P106" s="24">
        <v>47.2</v>
      </c>
      <c r="Q106" s="24">
        <v>62.4</v>
      </c>
      <c r="S106" s="24">
        <v>74</v>
      </c>
      <c r="W106" s="24">
        <v>99</v>
      </c>
      <c r="AQ106" s="24">
        <v>285.7</v>
      </c>
    </row>
    <row r="107" spans="1:45">
      <c r="B107" s="21" t="s">
        <v>26</v>
      </c>
      <c r="K107" s="24">
        <v>-7.9</v>
      </c>
      <c r="L107" s="24">
        <v>-13.1</v>
      </c>
      <c r="M107" s="24">
        <v>-11.7</v>
      </c>
      <c r="N107" s="24">
        <f t="shared" si="131"/>
        <v>-14</v>
      </c>
      <c r="O107" s="24">
        <v>-12.6</v>
      </c>
      <c r="P107" s="24">
        <v>-19.600000000000001</v>
      </c>
      <c r="Q107" s="24">
        <v>80.900000000000006</v>
      </c>
      <c r="S107" s="24">
        <v>-10</v>
      </c>
      <c r="W107" s="24">
        <v>-12</v>
      </c>
      <c r="AQ107" s="24">
        <v>-46.7</v>
      </c>
    </row>
    <row r="108" spans="1:45" s="25" customFormat="1">
      <c r="A108" s="42"/>
      <c r="B108" s="26" t="s">
        <v>86</v>
      </c>
      <c r="K108" s="25">
        <f>+SUM(K101:K107)</f>
        <v>-2263.9</v>
      </c>
      <c r="L108" s="25">
        <f t="shared" ref="L108" si="136">+SUM(L101:L107)</f>
        <v>-1306.2999999999997</v>
      </c>
      <c r="M108" s="25">
        <f t="shared" ref="M108" si="137">+SUM(M101:M107)</f>
        <v>-927.4</v>
      </c>
      <c r="N108" s="25">
        <f t="shared" si="131"/>
        <v>-1098.0000000000009</v>
      </c>
      <c r="O108" s="25">
        <f>+SUM(O101:O107)</f>
        <v>-3830.1</v>
      </c>
      <c r="P108" s="25">
        <f t="shared" ref="P108:V108" si="138">+SUM(P101:P107)</f>
        <v>-686.7</v>
      </c>
      <c r="Q108" s="25">
        <f t="shared" si="138"/>
        <v>-546.40000000000032</v>
      </c>
      <c r="R108" s="25">
        <f t="shared" si="138"/>
        <v>0</v>
      </c>
      <c r="S108" s="25">
        <f t="shared" si="138"/>
        <v>-558</v>
      </c>
      <c r="T108" s="25">
        <f t="shared" si="138"/>
        <v>0</v>
      </c>
      <c r="U108" s="25">
        <f t="shared" si="138"/>
        <v>0</v>
      </c>
      <c r="V108" s="25">
        <f t="shared" si="138"/>
        <v>0</v>
      </c>
      <c r="W108" s="25">
        <f>+SUM(W101:W107)</f>
        <v>-3661</v>
      </c>
      <c r="X108" s="25">
        <f>+-869-W108</f>
        <v>2792</v>
      </c>
      <c r="AQ108" s="25">
        <f>+SUM(AQ101:AQ107)</f>
        <v>-5595.6</v>
      </c>
      <c r="AR108" s="25">
        <v>-6580.2</v>
      </c>
      <c r="AS108" s="25">
        <v>-4374.1000000000004</v>
      </c>
    </row>
    <row r="109" spans="1:45">
      <c r="B109" s="21" t="s">
        <v>93</v>
      </c>
      <c r="K109" s="24">
        <v>-44.9</v>
      </c>
      <c r="L109" s="24">
        <v>16.3</v>
      </c>
      <c r="M109" s="24">
        <v>-49.1</v>
      </c>
      <c r="N109" s="24">
        <f t="shared" si="131"/>
        <v>-42.399999999999991</v>
      </c>
      <c r="O109" s="24">
        <v>-122.2</v>
      </c>
      <c r="P109" s="24">
        <v>-75.400000000000006</v>
      </c>
      <c r="Q109" s="24">
        <v>-198.6</v>
      </c>
      <c r="S109" s="24">
        <v>3</v>
      </c>
      <c r="W109" s="24">
        <v>21</v>
      </c>
      <c r="AQ109" s="24">
        <v>-120.1</v>
      </c>
      <c r="AR109" s="24">
        <v>-253.8</v>
      </c>
      <c r="AS109" s="24">
        <v>-57.8</v>
      </c>
    </row>
    <row r="110" spans="1:45">
      <c r="B110" s="21" t="s">
        <v>94</v>
      </c>
      <c r="K110" s="24">
        <f>+K93+K100+K108+K109</f>
        <v>-909.1</v>
      </c>
      <c r="L110" s="24">
        <f>+L93+L100+L108+L109</f>
        <v>-101.29999999999946</v>
      </c>
      <c r="M110" s="24">
        <f>+M93+M100+M108+M109</f>
        <v>798.90000000000009</v>
      </c>
      <c r="N110" s="24">
        <f t="shared" si="131"/>
        <v>-107.40000000000168</v>
      </c>
      <c r="O110" s="24">
        <f>+O93+O100+O108+O109</f>
        <v>-2856.9999999999995</v>
      </c>
      <c r="P110" s="24">
        <f>+P93+P100+P108+P109</f>
        <v>-827.4</v>
      </c>
      <c r="Q110" s="24">
        <f>+Q93+Q100+Q108+Q109</f>
        <v>741.6100000000007</v>
      </c>
      <c r="S110" s="24">
        <f>+S93+S100+S108+S109</f>
        <v>1124.3000000000002</v>
      </c>
      <c r="W110" s="24">
        <f>+W93+W100+W108+W109</f>
        <v>-3743</v>
      </c>
      <c r="AQ110" s="24">
        <f>+AQ93+AQ100+AQ108+AQ109</f>
        <v>-318.90000000000111</v>
      </c>
      <c r="AR110" s="24">
        <f>+AR93+AR100+AR108+AR109</f>
        <v>-2125.3999999999996</v>
      </c>
      <c r="AS110" s="24">
        <f>+AS93+AS100+AS108+AS109</f>
        <v>1995.4999999999993</v>
      </c>
    </row>
    <row r="111" spans="1:45">
      <c r="B111" s="21" t="s">
        <v>118</v>
      </c>
      <c r="K111" s="24">
        <f>+J52</f>
        <v>3449.1</v>
      </c>
      <c r="L111" s="24">
        <f>+K52</f>
        <v>3019.7</v>
      </c>
      <c r="M111" s="24">
        <f>+L52</f>
        <v>3049.4</v>
      </c>
      <c r="N111" s="24">
        <f>+M112</f>
        <v>3848.3</v>
      </c>
      <c r="O111" s="24">
        <f>+N52</f>
        <v>4709.2</v>
      </c>
      <c r="P111" s="24">
        <f>+O52</f>
        <v>2335.6999999999998</v>
      </c>
      <c r="Q111" s="24">
        <f>+P52</f>
        <v>1872.5</v>
      </c>
      <c r="S111" s="24">
        <f>+R52</f>
        <v>2583.8000000000002</v>
      </c>
      <c r="W111" s="24">
        <f>+V52</f>
        <v>4579.3</v>
      </c>
      <c r="AQ111" s="24">
        <f>+J52</f>
        <v>3449.1</v>
      </c>
      <c r="AR111" s="24">
        <v>4709.2</v>
      </c>
      <c r="AS111" s="24">
        <v>2583.8000000000002</v>
      </c>
    </row>
    <row r="112" spans="1:45" s="25" customFormat="1">
      <c r="A112" s="42"/>
      <c r="B112" s="26" t="s">
        <v>119</v>
      </c>
      <c r="K112" s="25">
        <f t="shared" ref="K112:Q112" si="139">+SUM(K110:K111)</f>
        <v>2540</v>
      </c>
      <c r="L112" s="25">
        <f t="shared" si="139"/>
        <v>2918.4000000000005</v>
      </c>
      <c r="M112" s="25">
        <f t="shared" si="139"/>
        <v>3848.3</v>
      </c>
      <c r="N112" s="25">
        <f t="shared" si="139"/>
        <v>3740.8999999999987</v>
      </c>
      <c r="O112" s="25">
        <f t="shared" si="139"/>
        <v>1852.2000000000003</v>
      </c>
      <c r="P112" s="25">
        <f t="shared" si="139"/>
        <v>1508.2999999999997</v>
      </c>
      <c r="Q112" s="25">
        <f t="shared" si="139"/>
        <v>2614.1100000000006</v>
      </c>
      <c r="S112" s="25">
        <f t="shared" ref="S112" si="140">+SUM(S110:S111)</f>
        <v>3708.1000000000004</v>
      </c>
      <c r="W112" s="25">
        <f t="shared" ref="W112" si="141">+SUM(W110:W111)</f>
        <v>836.30000000000018</v>
      </c>
      <c r="AQ112" s="25">
        <f>+SUM(AQ110:AQ111)</f>
        <v>3130.1999999999989</v>
      </c>
      <c r="AR112" s="25">
        <f>+SUM(AR110:AR111)</f>
        <v>2583.8000000000002</v>
      </c>
      <c r="AS112" s="25">
        <f>+SUM(AS110:AS111)</f>
        <v>4579.2999999999993</v>
      </c>
    </row>
    <row r="113" spans="1:45">
      <c r="N113" s="24" t="s">
        <v>121</v>
      </c>
    </row>
    <row r="114" spans="1:45">
      <c r="B114" s="21" t="s">
        <v>95</v>
      </c>
      <c r="K114" s="24">
        <f t="shared" ref="K114:Q114" si="142">+K93+K94</f>
        <v>1275.5999999999999</v>
      </c>
      <c r="L114" s="24">
        <f t="shared" si="142"/>
        <v>1119.6000000000004</v>
      </c>
      <c r="M114" s="24">
        <f t="shared" si="142"/>
        <v>1658.8000000000002</v>
      </c>
      <c r="N114" s="24">
        <f t="shared" si="142"/>
        <v>1468.4999999999989</v>
      </c>
      <c r="O114" s="24">
        <f t="shared" si="142"/>
        <v>1248.6000000000001</v>
      </c>
      <c r="P114" s="24">
        <f t="shared" si="142"/>
        <v>-183.99999999999989</v>
      </c>
      <c r="Q114" s="24">
        <f t="shared" si="142"/>
        <v>1688.4000000000008</v>
      </c>
      <c r="S114" s="24">
        <f>+S93+S94</f>
        <v>1917.3000000000002</v>
      </c>
      <c r="W114" s="24">
        <f>+W93+W94</f>
        <v>1843</v>
      </c>
      <c r="X114" s="24">
        <f>+X93+X94</f>
        <v>-782</v>
      </c>
      <c r="AN114" s="24">
        <f t="shared" ref="AN114:AS114" si="143">+SUM(AN93:AN94)</f>
        <v>4225</v>
      </c>
      <c r="AO114" s="24">
        <f t="shared" si="143"/>
        <v>5728.4000000000005</v>
      </c>
      <c r="AP114" s="24">
        <f t="shared" si="143"/>
        <v>4624.3999999999996</v>
      </c>
      <c r="AQ114" s="24">
        <f t="shared" si="143"/>
        <v>5522.4999999999991</v>
      </c>
      <c r="AR114" s="24">
        <f t="shared" si="143"/>
        <v>7386.7</v>
      </c>
      <c r="AS114" s="24">
        <f t="shared" si="143"/>
        <v>9611.9</v>
      </c>
    </row>
    <row r="115" spans="1:45">
      <c r="B115" s="21" t="s">
        <v>79</v>
      </c>
      <c r="K115" s="24">
        <f t="shared" ref="K115:W115" si="144">+K32</f>
        <v>1613.1</v>
      </c>
      <c r="L115" s="24">
        <f t="shared" si="144"/>
        <v>2302.3999999999996</v>
      </c>
      <c r="M115" s="24">
        <f t="shared" si="144"/>
        <v>2234.0000000000005</v>
      </c>
      <c r="N115" s="24">
        <f t="shared" si="144"/>
        <v>1725.2999999999988</v>
      </c>
      <c r="O115" s="24">
        <f t="shared" si="144"/>
        <v>1197.1000000000001</v>
      </c>
      <c r="P115" s="24">
        <f t="shared" si="144"/>
        <v>1281.0000000000007</v>
      </c>
      <c r="Q115" s="24">
        <f t="shared" si="144"/>
        <v>2074.9000000000005</v>
      </c>
      <c r="R115" s="24">
        <f t="shared" si="144"/>
        <v>1903.3999999999996</v>
      </c>
      <c r="S115" s="24">
        <f t="shared" si="144"/>
        <v>1802.3</v>
      </c>
      <c r="T115" s="24">
        <f t="shared" si="144"/>
        <v>2310.4</v>
      </c>
      <c r="U115" s="24">
        <f t="shared" si="144"/>
        <v>2317.099999999999</v>
      </c>
      <c r="V115" s="24">
        <f t="shared" si="144"/>
        <v>2039</v>
      </c>
      <c r="W115" s="24">
        <f t="shared" si="144"/>
        <v>1929</v>
      </c>
      <c r="X115" s="24">
        <f t="shared" ref="X115" si="145">+X32</f>
        <v>2023</v>
      </c>
      <c r="AN115" s="24">
        <f t="shared" ref="AN115:AS115" si="146">+AN32</f>
        <v>8130.5999999999976</v>
      </c>
      <c r="AO115" s="24">
        <f t="shared" si="146"/>
        <v>6287.9000000000015</v>
      </c>
      <c r="AP115" s="24">
        <f t="shared" si="146"/>
        <v>5031.1000000000013</v>
      </c>
      <c r="AQ115" s="24">
        <f t="shared" si="146"/>
        <v>7874.7999999999993</v>
      </c>
      <c r="AR115" s="24">
        <f t="shared" si="146"/>
        <v>6456.4000000000015</v>
      </c>
      <c r="AS115" s="24">
        <f t="shared" si="146"/>
        <v>8468.7999999999993</v>
      </c>
    </row>
    <row r="116" spans="1:45">
      <c r="O116" s="32"/>
    </row>
    <row r="117" spans="1:45" s="25" customFormat="1">
      <c r="A117" s="42"/>
      <c r="B117" s="21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</row>
    <row r="118" spans="1:45">
      <c r="N118" s="25">
        <f t="shared" ref="N118" si="147">SUM(K115:N115)</f>
        <v>7874.7999999999993</v>
      </c>
      <c r="O118" s="25">
        <f t="shared" ref="O118" si="148">SUM(L115:O115)</f>
        <v>7458.7999999999993</v>
      </c>
      <c r="P118" s="25">
        <f t="shared" ref="P118" si="149">SUM(M115:P115)</f>
        <v>6437.4000000000005</v>
      </c>
      <c r="Q118" s="25">
        <f>SUM(N115:Q115)</f>
        <v>6278.3</v>
      </c>
      <c r="R118" s="25">
        <f t="shared" ref="R118:V118" si="150">SUM(O115:R115)</f>
        <v>6456.4000000000015</v>
      </c>
      <c r="S118" s="25">
        <f t="shared" si="150"/>
        <v>7061.6000000000013</v>
      </c>
      <c r="T118" s="25">
        <f t="shared" si="150"/>
        <v>8091</v>
      </c>
      <c r="U118" s="25">
        <f t="shared" si="150"/>
        <v>8333.1999999999989</v>
      </c>
      <c r="V118" s="25">
        <f t="shared" si="150"/>
        <v>8468.7999999999993</v>
      </c>
      <c r="W118" s="25">
        <f>SUM(T115:W115)</f>
        <v>8595.5</v>
      </c>
      <c r="X118" s="25">
        <f>SUM(U115:X115)</f>
        <v>8308.0999999999985</v>
      </c>
    </row>
    <row r="120" spans="1:45">
      <c r="B120" s="21" t="s">
        <v>99</v>
      </c>
      <c r="K120" s="36">
        <v>1.29</v>
      </c>
      <c r="L120" s="36">
        <v>1.29</v>
      </c>
      <c r="M120" s="36">
        <v>1.29</v>
      </c>
      <c r="N120" s="36">
        <v>1.38</v>
      </c>
      <c r="O120" s="36">
        <v>1.38</v>
      </c>
      <c r="P120" s="36">
        <v>1.38</v>
      </c>
      <c r="Q120" s="36">
        <v>1.52</v>
      </c>
    </row>
  </sheetData>
  <pageMargins left="0.7" right="0.7" top="0.75" bottom="0.75" header="0.3" footer="0.3"/>
  <ignoredErrors>
    <ignoredError sqref="AM16:AS32 AM34:AS34 AM33:AP33 AS33 J17:W19" formulaRange="1"/>
    <ignoredError sqref="AQ33:AR33" formula="1" formulaRange="1"/>
    <ignoredError sqref="N26 N98:N111 V6 R6 N6 F12:W12 N97 N92:N95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766-D9B8-FB40-B5C7-D36C974DF243}">
  <dimension ref="B2:L40"/>
  <sheetViews>
    <sheetView zoomScale="180" zoomScaleNormal="180" workbookViewId="0">
      <selection activeCell="J14" sqref="J14"/>
    </sheetView>
  </sheetViews>
  <sheetFormatPr baseColWidth="10" defaultRowHeight="13"/>
  <cols>
    <col min="1" max="1" width="2.83203125" style="1" customWidth="1"/>
    <col min="2" max="2" width="10.83203125" style="1"/>
    <col min="3" max="3" width="19" style="1" bestFit="1" customWidth="1"/>
    <col min="4" max="4" width="10.83203125" style="1"/>
    <col min="5" max="5" width="12.33203125" style="1" customWidth="1"/>
    <col min="6" max="8" width="10.83203125" style="1"/>
    <col min="9" max="9" width="8.1640625" style="1" bestFit="1" customWidth="1"/>
    <col min="10" max="10" width="15" style="1" bestFit="1" customWidth="1"/>
    <col min="11" max="11" width="5.83203125" style="2" bestFit="1" customWidth="1"/>
    <col min="12" max="16384" width="10.83203125" style="1"/>
  </cols>
  <sheetData>
    <row r="2" spans="3:12">
      <c r="C2" s="1" t="s">
        <v>198</v>
      </c>
      <c r="D2" s="1" t="s">
        <v>123</v>
      </c>
    </row>
    <row r="3" spans="3:12">
      <c r="C3" s="1" t="s">
        <v>197</v>
      </c>
      <c r="D3" s="82">
        <v>1940</v>
      </c>
    </row>
    <row r="4" spans="3:12">
      <c r="C4" s="1" t="s">
        <v>124</v>
      </c>
      <c r="D4" s="6" t="s">
        <v>125</v>
      </c>
    </row>
    <row r="5" spans="3:12">
      <c r="C5" s="5" t="s">
        <v>114</v>
      </c>
      <c r="D5" s="6" t="s">
        <v>115</v>
      </c>
    </row>
    <row r="6" spans="3:12">
      <c r="C6" s="5" t="s">
        <v>128</v>
      </c>
      <c r="D6" s="6" t="s">
        <v>129</v>
      </c>
    </row>
    <row r="7" spans="3:12">
      <c r="C7" s="3"/>
      <c r="D7" s="6"/>
    </row>
    <row r="8" spans="3:12">
      <c r="C8" s="1" t="s">
        <v>122</v>
      </c>
      <c r="D8" s="1" t="s">
        <v>98</v>
      </c>
    </row>
    <row r="9" spans="3:12">
      <c r="C9" s="5" t="s">
        <v>126</v>
      </c>
      <c r="D9" s="1" t="s">
        <v>127</v>
      </c>
    </row>
    <row r="10" spans="3:12">
      <c r="I10" s="7" t="s">
        <v>156</v>
      </c>
      <c r="J10" s="8"/>
      <c r="K10" s="16"/>
    </row>
    <row r="11" spans="3:12">
      <c r="I11" s="10" t="s">
        <v>97</v>
      </c>
      <c r="J11" s="1" t="s">
        <v>98</v>
      </c>
      <c r="K11" s="17"/>
    </row>
    <row r="12" spans="3:12">
      <c r="C12" s="3" t="s">
        <v>101</v>
      </c>
      <c r="I12" s="10" t="s">
        <v>96</v>
      </c>
      <c r="J12" s="1">
        <v>1955</v>
      </c>
      <c r="K12" s="17"/>
      <c r="L12" s="4"/>
    </row>
    <row r="13" spans="3:12">
      <c r="C13" s="7" t="s">
        <v>104</v>
      </c>
      <c r="D13" s="8" t="s">
        <v>105</v>
      </c>
      <c r="E13" s="9"/>
      <c r="I13" s="10" t="s">
        <v>0</v>
      </c>
      <c r="J13" s="1">
        <v>304.33</v>
      </c>
      <c r="K13" s="17"/>
    </row>
    <row r="14" spans="3:12">
      <c r="C14" s="10" t="s">
        <v>102</v>
      </c>
      <c r="D14" s="1" t="s">
        <v>106</v>
      </c>
      <c r="E14" s="11"/>
      <c r="I14" s="10" t="s">
        <v>1</v>
      </c>
      <c r="J14" s="1">
        <v>717.34324700000002</v>
      </c>
      <c r="K14" s="17" t="s">
        <v>135</v>
      </c>
    </row>
    <row r="15" spans="3:12">
      <c r="C15" s="12" t="s">
        <v>103</v>
      </c>
      <c r="D15" s="13" t="s">
        <v>107</v>
      </c>
      <c r="E15" s="14"/>
      <c r="I15" s="10" t="s">
        <v>2</v>
      </c>
      <c r="J15" s="1">
        <f>+J13*J14</f>
        <v>218309.07035950999</v>
      </c>
      <c r="K15" s="17"/>
    </row>
    <row r="16" spans="3:12">
      <c r="I16" s="10" t="s">
        <v>3</v>
      </c>
      <c r="J16" s="1">
        <v>792</v>
      </c>
      <c r="K16" s="17" t="str">
        <f>+K14</f>
        <v>Q224</v>
      </c>
    </row>
    <row r="17" spans="2:11">
      <c r="I17" s="10" t="s">
        <v>4</v>
      </c>
      <c r="J17" s="1">
        <v>38.524000000000001</v>
      </c>
      <c r="K17" s="17" t="str">
        <f>+K16</f>
        <v>Q224</v>
      </c>
    </row>
    <row r="18" spans="2:11">
      <c r="I18" s="10" t="s">
        <v>5</v>
      </c>
      <c r="J18" s="1">
        <f>+J15-J16+J17</f>
        <v>217555.59435951</v>
      </c>
      <c r="K18" s="17"/>
    </row>
    <row r="19" spans="2:11">
      <c r="I19" s="10"/>
      <c r="K19" s="17"/>
    </row>
    <row r="20" spans="2:11">
      <c r="I20" s="12" t="s">
        <v>113</v>
      </c>
      <c r="J20" s="18">
        <f>(1.52*4)/J13</f>
        <v>1.9978313015476621E-2</v>
      </c>
      <c r="K20" s="19"/>
    </row>
    <row r="22" spans="2:11">
      <c r="B22" s="81" t="s">
        <v>139</v>
      </c>
      <c r="C22" s="81" t="s">
        <v>7</v>
      </c>
      <c r="D22" s="81" t="s">
        <v>69</v>
      </c>
      <c r="E22" s="81" t="s">
        <v>150</v>
      </c>
    </row>
    <row r="23" spans="2:11">
      <c r="B23" s="6" t="s">
        <v>134</v>
      </c>
    </row>
    <row r="24" spans="2:11">
      <c r="B24" s="6" t="s">
        <v>140</v>
      </c>
      <c r="C24" s="15">
        <v>45327</v>
      </c>
      <c r="D24" s="1" t="s">
        <v>146</v>
      </c>
      <c r="E24" s="6" t="s">
        <v>151</v>
      </c>
    </row>
    <row r="25" spans="2:11">
      <c r="B25" s="6"/>
      <c r="C25" s="15" t="s">
        <v>148</v>
      </c>
      <c r="D25" s="1" t="s">
        <v>149</v>
      </c>
    </row>
    <row r="26" spans="2:11">
      <c r="B26" s="6"/>
      <c r="C26" s="15">
        <v>45250</v>
      </c>
      <c r="D26" s="1" t="s">
        <v>147</v>
      </c>
      <c r="H26" s="6"/>
    </row>
    <row r="27" spans="2:11">
      <c r="C27" s="6" t="s">
        <v>141</v>
      </c>
      <c r="D27" s="3"/>
      <c r="H27" s="6"/>
    </row>
    <row r="28" spans="2:11">
      <c r="C28" s="6" t="s">
        <v>142</v>
      </c>
      <c r="D28" s="1" t="s">
        <v>70</v>
      </c>
    </row>
    <row r="29" spans="2:11">
      <c r="C29" s="6" t="s">
        <v>143</v>
      </c>
      <c r="D29" s="1" t="s">
        <v>71</v>
      </c>
    </row>
    <row r="30" spans="2:11">
      <c r="C30" s="6" t="s">
        <v>144</v>
      </c>
      <c r="D30" s="1" t="s">
        <v>72</v>
      </c>
    </row>
    <row r="31" spans="2:11">
      <c r="C31" s="6" t="s">
        <v>145</v>
      </c>
      <c r="D31" s="1" t="s">
        <v>73</v>
      </c>
    </row>
    <row r="32" spans="2:11">
      <c r="J32" s="83">
        <v>26278</v>
      </c>
    </row>
    <row r="33" spans="2:10">
      <c r="C33" s="3" t="s">
        <v>116</v>
      </c>
      <c r="J33" s="83">
        <v>1061</v>
      </c>
    </row>
    <row r="34" spans="2:10">
      <c r="C34" s="6" t="s">
        <v>117</v>
      </c>
      <c r="J34" s="82">
        <f>(J32-J33)/365</f>
        <v>69.087671232876716</v>
      </c>
    </row>
    <row r="38" spans="2:10">
      <c r="B38" s="3" t="s">
        <v>152</v>
      </c>
    </row>
    <row r="39" spans="2:10">
      <c r="B39" s="6" t="s">
        <v>153</v>
      </c>
      <c r="C39" s="1" t="s">
        <v>154</v>
      </c>
    </row>
    <row r="40" spans="2:10">
      <c r="B40" s="1" t="s">
        <v>155</v>
      </c>
    </row>
  </sheetData>
  <hyperlinks>
    <hyperlink ref="C28" r:id="rId1" display="Press Release 8/24/21" xr:uid="{D72FFBBB-8C7F-794F-AE1A-440F5563FA9E}"/>
    <hyperlink ref="C29" r:id="rId2" display="Press Release 8/23/21" xr:uid="{BAB8D9DC-EEB5-7640-A71C-970EFDCC76E3}"/>
    <hyperlink ref="C30" r:id="rId3" display="Press Release 8/17/21" xr:uid="{EA0D4B25-29FB-0D4A-BA96-AB5FE06B663F}"/>
    <hyperlink ref="C31" r:id="rId4" display="Press Release 5/13/21" xr:uid="{2E7BD89E-83BF-724E-A075-085ED0D197EF}"/>
    <hyperlink ref="C27" r:id="rId5" display="Press Release 11/1/22" xr:uid="{7C6DD1EA-9EF8-3446-B52B-F8D7AABA2447}"/>
    <hyperlink ref="D5" r:id="rId6" xr:uid="{76C3B4E3-0B2D-B740-9CCC-3C0402955EDE}"/>
    <hyperlink ref="C34" r:id="rId7" xr:uid="{9357CE5F-ECA1-3744-92A2-6E2A6DE58C3B}"/>
    <hyperlink ref="D4" r:id="rId8" xr:uid="{0D1D7A66-C79F-B547-B4AB-19B1C3F947AF}"/>
    <hyperlink ref="D6" r:id="rId9" xr:uid="{393E2B7B-16A0-0C47-BFB4-C2D8AE1C2775}"/>
    <hyperlink ref="B24" r:id="rId10" xr:uid="{E33EDE6D-980A-CF4F-A59D-3FAC9727221E}"/>
    <hyperlink ref="C24" r:id="rId11" display="https://corporate.mcdonalds.com/content/dam/sites/corp/nfl/pdf/Exhibit 99.1 - Q4-23.pdf" xr:uid="{FE4A4FCE-1A34-DB43-B810-2B0D9DCCE5E8}"/>
    <hyperlink ref="C26" r:id="rId12" display="https://corporate.mcdonalds.com/corpmcd/our-stories/article/mcd-to-acquire-carlyles-stake-mcdonalds-china.html" xr:uid="{C8823DD8-447E-BE40-9E8D-BDFF9493FCFA}"/>
    <hyperlink ref="C25" r:id="rId13" xr:uid="{1A961DB5-B1F3-E34C-B7B0-6FE87CFEFC47}"/>
    <hyperlink ref="E24" r:id="rId14" xr:uid="{EF1BE2F8-FF37-1B43-B81E-62A2C48722BF}"/>
    <hyperlink ref="B39" r:id="rId15" xr:uid="{A021232C-1DBA-8844-82BC-C4927AF9B50D}"/>
    <hyperlink ref="B23" r:id="rId16" xr:uid="{76593BB3-D6F1-6B45-A9D7-AB0AD1B56F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1CF7B-F278-C142-8024-D858932DB4BC}">
  <dimension ref="A1"/>
  <sheetViews>
    <sheetView zoomScale="247" workbookViewId="0">
      <selection activeCell="B2" sqref="B2"/>
    </sheetView>
  </sheetViews>
  <sheetFormatPr baseColWidth="10" defaultRowHeight="13"/>
  <cols>
    <col min="1" max="1" width="2.832031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4959-3240-CB47-B8D3-3B5F532B5BC3}">
  <dimension ref="B3:C20"/>
  <sheetViews>
    <sheetView showGridLines="0" zoomScale="264" workbookViewId="0">
      <selection activeCell="C3" sqref="C3"/>
    </sheetView>
  </sheetViews>
  <sheetFormatPr baseColWidth="10" defaultRowHeight="13"/>
  <cols>
    <col min="1" max="1" width="4.6640625" style="1" customWidth="1"/>
    <col min="2" max="2" width="22.33203125" style="1" bestFit="1" customWidth="1"/>
    <col min="3" max="3" width="10.1640625" style="1" bestFit="1" customWidth="1"/>
    <col min="4" max="16384" width="10.83203125" style="1"/>
  </cols>
  <sheetData>
    <row r="3" spans="2:3">
      <c r="B3" s="53" t="s">
        <v>171</v>
      </c>
      <c r="C3" s="53" t="s">
        <v>1</v>
      </c>
    </row>
    <row r="4" spans="2:3">
      <c r="B4" s="1" t="s">
        <v>172</v>
      </c>
      <c r="C4" s="1">
        <v>69079218</v>
      </c>
    </row>
    <row r="5" spans="2:3">
      <c r="B5" s="1" t="s">
        <v>173</v>
      </c>
      <c r="C5" s="1">
        <v>50787194</v>
      </c>
    </row>
    <row r="6" spans="2:3">
      <c r="B6" s="1" t="s">
        <v>174</v>
      </c>
      <c r="C6" s="1">
        <v>34598464</v>
      </c>
    </row>
    <row r="7" spans="2:3">
      <c r="B7" s="1" t="s">
        <v>175</v>
      </c>
      <c r="C7" s="1">
        <v>17079383</v>
      </c>
    </row>
    <row r="8" spans="2:3">
      <c r="B8" s="1" t="s">
        <v>176</v>
      </c>
      <c r="C8" s="1">
        <v>15406452</v>
      </c>
    </row>
    <row r="9" spans="2:3">
      <c r="B9" s="1" t="s">
        <v>177</v>
      </c>
      <c r="C9" s="1">
        <v>13332151</v>
      </c>
    </row>
    <row r="10" spans="2:3">
      <c r="B10" s="1" t="s">
        <v>178</v>
      </c>
      <c r="C10" s="1">
        <v>10933051</v>
      </c>
    </row>
    <row r="11" spans="2:3">
      <c r="B11" s="1" t="s">
        <v>179</v>
      </c>
      <c r="C11" s="1">
        <v>8521887</v>
      </c>
    </row>
    <row r="12" spans="2:3">
      <c r="B12" s="1" t="s">
        <v>180</v>
      </c>
      <c r="C12" s="1">
        <v>8146386</v>
      </c>
    </row>
    <row r="13" spans="2:3">
      <c r="B13" s="1" t="s">
        <v>181</v>
      </c>
      <c r="C13" s="1">
        <v>7635873</v>
      </c>
    </row>
    <row r="14" spans="2:3">
      <c r="B14" s="1" t="s">
        <v>182</v>
      </c>
      <c r="C14" s="1">
        <v>7235270</v>
      </c>
    </row>
    <row r="15" spans="2:3">
      <c r="B15" s="1" t="s">
        <v>183</v>
      </c>
      <c r="C15" s="1">
        <v>6057571</v>
      </c>
    </row>
    <row r="16" spans="2:3">
      <c r="B16" s="1" t="s">
        <v>184</v>
      </c>
      <c r="C16" s="1">
        <v>5919759</v>
      </c>
    </row>
    <row r="17" spans="2:3">
      <c r="B17" s="1" t="s">
        <v>185</v>
      </c>
      <c r="C17" s="1">
        <v>5858980</v>
      </c>
    </row>
    <row r="18" spans="2:3">
      <c r="B18" s="1" t="s">
        <v>186</v>
      </c>
      <c r="C18" s="1">
        <v>5497778</v>
      </c>
    </row>
    <row r="19" spans="2:3">
      <c r="B19" s="1" t="s">
        <v>187</v>
      </c>
      <c r="C19" s="1">
        <v>5471007</v>
      </c>
    </row>
    <row r="20" spans="2:3">
      <c r="B20" s="1" t="s">
        <v>188</v>
      </c>
      <c r="C20" s="1">
        <v>5465251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</vt:lpstr>
      <vt:lpstr>O</vt:lpstr>
      <vt:lpstr>Releases</vt:lpstr>
      <vt:lpstr>Institutional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2021-09-14T03:21:58Z</dcterms:created>
  <dcterms:modified xsi:type="dcterms:W3CDTF">2024-10-11T02:01:10Z</dcterms:modified>
</cp:coreProperties>
</file>