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meelbrannon/Dropbox/Models/"/>
    </mc:Choice>
  </mc:AlternateContent>
  <xr:revisionPtr revIDLastSave="0" documentId="13_ncr:1_{D1E775E1-2939-C442-BEE1-708624B62443}" xr6:coauthVersionLast="47" xr6:coauthVersionMax="47" xr10:uidLastSave="{00000000-0000-0000-0000-000000000000}"/>
  <bookViews>
    <workbookView xWindow="11460" yWindow="640" windowWidth="33160" windowHeight="24560" xr2:uid="{44218B88-EE94-F24F-A1AF-6B2803047FC3}"/>
  </bookViews>
  <sheets>
    <sheet name="Model" sheetId="1" r:id="rId1"/>
    <sheet name="Main" sheetId="2" r:id="rId2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197" i="1" l="1"/>
  <c r="AA113" i="1" l="1"/>
  <c r="Z113" i="1"/>
  <c r="Y113" i="1"/>
  <c r="W113" i="1"/>
  <c r="AB113" i="1"/>
  <c r="AC113" i="1" s="1"/>
  <c r="AD113" i="1" s="1"/>
  <c r="AE113" i="1" s="1"/>
  <c r="AF113" i="1" s="1"/>
  <c r="X113" i="1"/>
  <c r="X93" i="1"/>
  <c r="X95" i="1" s="1"/>
  <c r="V113" i="1"/>
  <c r="R78" i="1"/>
  <c r="Q78" i="1"/>
  <c r="P78" i="1"/>
  <c r="R77" i="1"/>
  <c r="Q77" i="1"/>
  <c r="P77" i="1"/>
  <c r="R75" i="1"/>
  <c r="Q75" i="1"/>
  <c r="P75" i="1"/>
  <c r="R35" i="1"/>
  <c r="Q35" i="1"/>
  <c r="P35" i="1"/>
  <c r="R33" i="1"/>
  <c r="Q33" i="1"/>
  <c r="P33" i="1"/>
  <c r="R32" i="1"/>
  <c r="Q32" i="1"/>
  <c r="P32" i="1"/>
  <c r="R30" i="1"/>
  <c r="Q30" i="1"/>
  <c r="P30" i="1"/>
  <c r="P24" i="1"/>
  <c r="Q18" i="1"/>
  <c r="P18" i="1"/>
  <c r="Q16" i="1"/>
  <c r="P16" i="1"/>
  <c r="Q15" i="1"/>
  <c r="P15" i="1"/>
  <c r="P13" i="1"/>
  <c r="P7" i="1"/>
  <c r="R24" i="1"/>
  <c r="Q24" i="1"/>
  <c r="Q13" i="1"/>
  <c r="R13" i="1"/>
  <c r="Q7" i="1"/>
  <c r="R18" i="1"/>
  <c r="R16" i="1"/>
  <c r="R15" i="1"/>
  <c r="R7" i="1"/>
  <c r="S78" i="1"/>
  <c r="S77" i="1" s="1"/>
  <c r="S75" i="1"/>
  <c r="S52" i="1"/>
  <c r="S51" i="1"/>
  <c r="S50" i="1"/>
  <c r="S49" i="1"/>
  <c r="S47" i="1"/>
  <c r="S30" i="1"/>
  <c r="S35" i="1" s="1"/>
  <c r="S41" i="1"/>
  <c r="S34" i="1"/>
  <c r="S33" i="1"/>
  <c r="S32" i="1"/>
  <c r="S24" i="1"/>
  <c r="S16" i="1"/>
  <c r="S15" i="1"/>
  <c r="S7" i="1"/>
  <c r="S13" i="1" s="1"/>
  <c r="S18" i="1" s="1"/>
  <c r="U106" i="1"/>
  <c r="V106" i="1"/>
  <c r="U105" i="1"/>
  <c r="V105" i="1"/>
  <c r="U104" i="1"/>
  <c r="V104" i="1"/>
  <c r="S107" i="1"/>
  <c r="R107" i="1"/>
  <c r="Q107" i="1"/>
  <c r="Q103" i="1"/>
  <c r="S103" i="1"/>
  <c r="R103" i="1"/>
  <c r="S109" i="1"/>
  <c r="R109" i="1"/>
  <c r="Q109" i="1"/>
  <c r="R84" i="1"/>
  <c r="Q84" i="1"/>
  <c r="U109" i="1"/>
  <c r="L113" i="1"/>
  <c r="W98" i="1"/>
  <c r="X98" i="1" s="1"/>
  <c r="Y98" i="1" s="1"/>
  <c r="Z98" i="1" s="1"/>
  <c r="AA98" i="1" s="1"/>
  <c r="AB98" i="1" s="1"/>
  <c r="AC98" i="1" s="1"/>
  <c r="AD98" i="1" s="1"/>
  <c r="AE98" i="1" s="1"/>
  <c r="AF98" i="1" s="1"/>
  <c r="T178" i="1"/>
  <c r="T167" i="1"/>
  <c r="T160" i="1"/>
  <c r="T186" i="1" s="1"/>
  <c r="U178" i="1"/>
  <c r="U167" i="1"/>
  <c r="U160" i="1"/>
  <c r="U186" i="1" s="1"/>
  <c r="J183" i="1"/>
  <c r="J173" i="1"/>
  <c r="J147" i="1"/>
  <c r="V183" i="1"/>
  <c r="V178" i="1"/>
  <c r="V167" i="1"/>
  <c r="V160" i="1"/>
  <c r="G183" i="1"/>
  <c r="G178" i="1"/>
  <c r="G167" i="1"/>
  <c r="G160" i="1"/>
  <c r="G186" i="1" s="1"/>
  <c r="K183" i="1"/>
  <c r="K178" i="1"/>
  <c r="K167" i="1"/>
  <c r="K160" i="1"/>
  <c r="K186" i="1" s="1"/>
  <c r="H183" i="1"/>
  <c r="H179" i="1"/>
  <c r="I179" i="1" s="1"/>
  <c r="H177" i="1"/>
  <c r="I177" i="1" s="1"/>
  <c r="H176" i="1"/>
  <c r="I176" i="1" s="1"/>
  <c r="J176" i="1" s="1"/>
  <c r="H175" i="1"/>
  <c r="I175" i="1" s="1"/>
  <c r="H174" i="1"/>
  <c r="I174" i="1" s="1"/>
  <c r="H172" i="1"/>
  <c r="I172" i="1" s="1"/>
  <c r="J172" i="1" s="1"/>
  <c r="H170" i="1"/>
  <c r="I170" i="1" s="1"/>
  <c r="H169" i="1"/>
  <c r="I169" i="1" s="1"/>
  <c r="H166" i="1"/>
  <c r="I166" i="1" s="1"/>
  <c r="H165" i="1"/>
  <c r="I165" i="1" s="1"/>
  <c r="H164" i="1"/>
  <c r="I164" i="1" s="1"/>
  <c r="H163" i="1"/>
  <c r="H162" i="1"/>
  <c r="I163" i="1"/>
  <c r="J163" i="1" s="1"/>
  <c r="H158" i="1"/>
  <c r="H157" i="1"/>
  <c r="I157" i="1" s="1"/>
  <c r="H156" i="1"/>
  <c r="I156" i="1" s="1"/>
  <c r="H155" i="1"/>
  <c r="I155" i="1" s="1"/>
  <c r="H154" i="1"/>
  <c r="I154" i="1" s="1"/>
  <c r="H153" i="1"/>
  <c r="I153" i="1" s="1"/>
  <c r="H152" i="1"/>
  <c r="I152" i="1" s="1"/>
  <c r="H151" i="1"/>
  <c r="I151" i="1" s="1"/>
  <c r="H150" i="1"/>
  <c r="I150" i="1" s="1"/>
  <c r="H149" i="1"/>
  <c r="I149" i="1" s="1"/>
  <c r="H148" i="1"/>
  <c r="I148" i="1" s="1"/>
  <c r="H147" i="1"/>
  <c r="I147" i="1" s="1"/>
  <c r="H145" i="1"/>
  <c r="I145" i="1" s="1"/>
  <c r="H144" i="1"/>
  <c r="I144" i="1" s="1"/>
  <c r="H159" i="1"/>
  <c r="I159" i="1" s="1"/>
  <c r="L183" i="1"/>
  <c r="L179" i="1"/>
  <c r="M179" i="1" s="1"/>
  <c r="L177" i="1"/>
  <c r="M177" i="1" s="1"/>
  <c r="L176" i="1"/>
  <c r="M176" i="1" s="1"/>
  <c r="L175" i="1"/>
  <c r="M175" i="1" s="1"/>
  <c r="L174" i="1"/>
  <c r="M174" i="1" s="1"/>
  <c r="L172" i="1"/>
  <c r="M172" i="1" s="1"/>
  <c r="L170" i="1"/>
  <c r="M170" i="1" s="1"/>
  <c r="L169" i="1"/>
  <c r="M169" i="1" s="1"/>
  <c r="L166" i="1"/>
  <c r="M166" i="1" s="1"/>
  <c r="L165" i="1"/>
  <c r="M165" i="1" s="1"/>
  <c r="L164" i="1"/>
  <c r="M164" i="1" s="1"/>
  <c r="L163" i="1"/>
  <c r="M163" i="1" s="1"/>
  <c r="L162" i="1"/>
  <c r="M162" i="1" s="1"/>
  <c r="L159" i="1"/>
  <c r="M159" i="1" s="1"/>
  <c r="L158" i="1"/>
  <c r="M158" i="1" s="1"/>
  <c r="L157" i="1"/>
  <c r="M157" i="1" s="1"/>
  <c r="L156" i="1"/>
  <c r="M156" i="1" s="1"/>
  <c r="L155" i="1"/>
  <c r="M155" i="1" s="1"/>
  <c r="L154" i="1"/>
  <c r="M154" i="1" s="1"/>
  <c r="L153" i="1"/>
  <c r="M153" i="1" s="1"/>
  <c r="L152" i="1"/>
  <c r="M152" i="1" s="1"/>
  <c r="L151" i="1"/>
  <c r="L150" i="1"/>
  <c r="M150" i="1" s="1"/>
  <c r="L149" i="1"/>
  <c r="M149" i="1" s="1"/>
  <c r="L148" i="1"/>
  <c r="M148" i="1" s="1"/>
  <c r="L147" i="1"/>
  <c r="M147" i="1" s="1"/>
  <c r="L145" i="1"/>
  <c r="M145" i="1" s="1"/>
  <c r="L144" i="1"/>
  <c r="M144" i="1" s="1"/>
  <c r="I183" i="1"/>
  <c r="I171" i="1"/>
  <c r="J171" i="1" s="1"/>
  <c r="I146" i="1"/>
  <c r="J146" i="1" s="1"/>
  <c r="M183" i="1"/>
  <c r="M171" i="1"/>
  <c r="M151" i="1"/>
  <c r="M146" i="1"/>
  <c r="C131" i="1"/>
  <c r="C137" i="1" s="1"/>
  <c r="C139" i="1" s="1"/>
  <c r="C118" i="1"/>
  <c r="C125" i="1" s="1"/>
  <c r="D131" i="1"/>
  <c r="D137" i="1" s="1"/>
  <c r="D139" i="1" s="1"/>
  <c r="D118" i="1"/>
  <c r="D125" i="1" s="1"/>
  <c r="E131" i="1"/>
  <c r="E137" i="1" s="1"/>
  <c r="E139" i="1" s="1"/>
  <c r="E118" i="1"/>
  <c r="E125" i="1" s="1"/>
  <c r="G131" i="1"/>
  <c r="G137" i="1" s="1"/>
  <c r="G139" i="1" s="1"/>
  <c r="G118" i="1"/>
  <c r="G125" i="1" s="1"/>
  <c r="H131" i="1"/>
  <c r="H137" i="1" s="1"/>
  <c r="H139" i="1" s="1"/>
  <c r="H118" i="1"/>
  <c r="H125" i="1" s="1"/>
  <c r="J131" i="1"/>
  <c r="J137" i="1" s="1"/>
  <c r="J139" i="1" s="1"/>
  <c r="J118" i="1"/>
  <c r="J125" i="1" s="1"/>
  <c r="F131" i="1"/>
  <c r="F137" i="1" s="1"/>
  <c r="F139" i="1" s="1"/>
  <c r="F118" i="1"/>
  <c r="F125" i="1" s="1"/>
  <c r="F113" i="1"/>
  <c r="I131" i="1"/>
  <c r="I137" i="1" s="1"/>
  <c r="I139" i="1" s="1"/>
  <c r="I118" i="1"/>
  <c r="I125" i="1" s="1"/>
  <c r="C113" i="1"/>
  <c r="D113" i="1"/>
  <c r="E113" i="1"/>
  <c r="G113" i="1"/>
  <c r="H113" i="1"/>
  <c r="I113" i="1"/>
  <c r="J113" i="1"/>
  <c r="M131" i="1"/>
  <c r="M137" i="1" s="1"/>
  <c r="M139" i="1" s="1"/>
  <c r="M118" i="1"/>
  <c r="M125" i="1" s="1"/>
  <c r="M113" i="1"/>
  <c r="N113" i="1"/>
  <c r="F46" i="1"/>
  <c r="F45" i="1"/>
  <c r="F44" i="1"/>
  <c r="F43" i="1"/>
  <c r="F42" i="1"/>
  <c r="F40" i="1"/>
  <c r="F39" i="1"/>
  <c r="F38" i="1"/>
  <c r="J46" i="1"/>
  <c r="J45" i="1"/>
  <c r="J44" i="1"/>
  <c r="J43" i="1"/>
  <c r="J42" i="1"/>
  <c r="J40" i="1"/>
  <c r="J39" i="1"/>
  <c r="J38" i="1"/>
  <c r="V51" i="1"/>
  <c r="U51" i="1"/>
  <c r="V50" i="1"/>
  <c r="U50" i="1"/>
  <c r="V49" i="1"/>
  <c r="U49" i="1"/>
  <c r="T51" i="1"/>
  <c r="T50" i="1"/>
  <c r="T49" i="1"/>
  <c r="V41" i="1"/>
  <c r="V47" i="1" s="1"/>
  <c r="V52" i="1" s="1"/>
  <c r="U41" i="1"/>
  <c r="U47" i="1" s="1"/>
  <c r="U52" i="1" s="1"/>
  <c r="T41" i="1"/>
  <c r="T47" i="1" s="1"/>
  <c r="T52" i="1" s="1"/>
  <c r="F29" i="1"/>
  <c r="F28" i="1"/>
  <c r="F27" i="1"/>
  <c r="F26" i="1"/>
  <c r="F25" i="1"/>
  <c r="F23" i="1"/>
  <c r="F22" i="1"/>
  <c r="F33" i="1" s="1"/>
  <c r="F21" i="1"/>
  <c r="J29" i="1"/>
  <c r="J28" i="1"/>
  <c r="J27" i="1"/>
  <c r="J26" i="1"/>
  <c r="J25" i="1"/>
  <c r="J23" i="1"/>
  <c r="J22" i="1"/>
  <c r="J21" i="1"/>
  <c r="U34" i="1"/>
  <c r="T34" i="1"/>
  <c r="U33" i="1"/>
  <c r="T33" i="1"/>
  <c r="U32" i="1"/>
  <c r="T32" i="1"/>
  <c r="V34" i="1"/>
  <c r="V33" i="1"/>
  <c r="V32" i="1"/>
  <c r="V24" i="1"/>
  <c r="V30" i="1" s="1"/>
  <c r="V35" i="1" s="1"/>
  <c r="U24" i="1"/>
  <c r="U30" i="1" s="1"/>
  <c r="U35" i="1" s="1"/>
  <c r="T24" i="1"/>
  <c r="T30" i="1" s="1"/>
  <c r="T35" i="1" s="1"/>
  <c r="F12" i="1"/>
  <c r="F11" i="1"/>
  <c r="F10" i="1"/>
  <c r="F9" i="1"/>
  <c r="F8" i="1"/>
  <c r="F6" i="1"/>
  <c r="F5" i="1"/>
  <c r="F4" i="1"/>
  <c r="J12" i="1"/>
  <c r="J11" i="1"/>
  <c r="J10" i="1"/>
  <c r="J9" i="1"/>
  <c r="J8" i="1"/>
  <c r="J6" i="1"/>
  <c r="J5" i="1"/>
  <c r="J4" i="1"/>
  <c r="C41" i="1"/>
  <c r="C47" i="1" s="1"/>
  <c r="C52" i="1" s="1"/>
  <c r="G41" i="1"/>
  <c r="G47" i="1" s="1"/>
  <c r="G52" i="1" s="1"/>
  <c r="C24" i="1"/>
  <c r="C30" i="1" s="1"/>
  <c r="C35" i="1" s="1"/>
  <c r="G24" i="1"/>
  <c r="G30" i="1" s="1"/>
  <c r="G35" i="1" s="1"/>
  <c r="D83" i="1"/>
  <c r="D82" i="1"/>
  <c r="D81" i="1"/>
  <c r="H83" i="1"/>
  <c r="H82" i="1"/>
  <c r="H81" i="1"/>
  <c r="D41" i="1"/>
  <c r="D47" i="1" s="1"/>
  <c r="D52" i="1" s="1"/>
  <c r="H41" i="1"/>
  <c r="H47" i="1" s="1"/>
  <c r="H52" i="1" s="1"/>
  <c r="D24" i="1"/>
  <c r="D30" i="1" s="1"/>
  <c r="D35" i="1" s="1"/>
  <c r="H24" i="1"/>
  <c r="H30" i="1" s="1"/>
  <c r="E83" i="1"/>
  <c r="E82" i="1"/>
  <c r="E81" i="1"/>
  <c r="E41" i="1"/>
  <c r="E47" i="1" s="1"/>
  <c r="E52" i="1" s="1"/>
  <c r="E24" i="1"/>
  <c r="E30" i="1" s="1"/>
  <c r="I83" i="1"/>
  <c r="I82" i="1"/>
  <c r="I81" i="1"/>
  <c r="I51" i="1"/>
  <c r="H51" i="1"/>
  <c r="G51" i="1"/>
  <c r="E51" i="1"/>
  <c r="D51" i="1"/>
  <c r="C51" i="1"/>
  <c r="I50" i="1"/>
  <c r="H50" i="1"/>
  <c r="G50" i="1"/>
  <c r="E50" i="1"/>
  <c r="D50" i="1"/>
  <c r="C50" i="1"/>
  <c r="I49" i="1"/>
  <c r="H49" i="1"/>
  <c r="G49" i="1"/>
  <c r="E49" i="1"/>
  <c r="D49" i="1"/>
  <c r="C49" i="1"/>
  <c r="I41" i="1"/>
  <c r="I47" i="1" s="1"/>
  <c r="I52" i="1" s="1"/>
  <c r="I34" i="1"/>
  <c r="H34" i="1"/>
  <c r="G34" i="1"/>
  <c r="E34" i="1"/>
  <c r="D34" i="1"/>
  <c r="C34" i="1"/>
  <c r="I33" i="1"/>
  <c r="H33" i="1"/>
  <c r="G33" i="1"/>
  <c r="E33" i="1"/>
  <c r="D33" i="1"/>
  <c r="C33" i="1"/>
  <c r="I32" i="1"/>
  <c r="H32" i="1"/>
  <c r="G32" i="1"/>
  <c r="E32" i="1"/>
  <c r="D32" i="1"/>
  <c r="C32" i="1"/>
  <c r="I24" i="1"/>
  <c r="I30" i="1" s="1"/>
  <c r="I35" i="1" s="1"/>
  <c r="I17" i="1"/>
  <c r="H17" i="1"/>
  <c r="G17" i="1"/>
  <c r="E17" i="1"/>
  <c r="D17" i="1"/>
  <c r="C17" i="1"/>
  <c r="I16" i="1"/>
  <c r="H16" i="1"/>
  <c r="G16" i="1"/>
  <c r="E16" i="1"/>
  <c r="D16" i="1"/>
  <c r="C16" i="1"/>
  <c r="I15" i="1"/>
  <c r="H15" i="1"/>
  <c r="G15" i="1"/>
  <c r="E15" i="1"/>
  <c r="D15" i="1"/>
  <c r="C15" i="1"/>
  <c r="L83" i="1"/>
  <c r="M83" i="1"/>
  <c r="L82" i="1"/>
  <c r="L81" i="1"/>
  <c r="M68" i="1"/>
  <c r="M67" i="1"/>
  <c r="M66" i="1"/>
  <c r="L68" i="1"/>
  <c r="L67" i="1"/>
  <c r="L66" i="1"/>
  <c r="L58" i="1"/>
  <c r="L64" i="1" s="1"/>
  <c r="L69" i="1" s="1"/>
  <c r="L51" i="1"/>
  <c r="L50" i="1"/>
  <c r="L49" i="1"/>
  <c r="L41" i="1"/>
  <c r="L47" i="1" s="1"/>
  <c r="L52" i="1" s="1"/>
  <c r="L34" i="1"/>
  <c r="L33" i="1"/>
  <c r="L32" i="1"/>
  <c r="L24" i="1"/>
  <c r="L30" i="1" s="1"/>
  <c r="L35" i="1" s="1"/>
  <c r="L17" i="1"/>
  <c r="L16" i="1"/>
  <c r="L15" i="1"/>
  <c r="M82" i="1"/>
  <c r="M81" i="1"/>
  <c r="M103" i="1" s="1"/>
  <c r="M58" i="1"/>
  <c r="M64" i="1" s="1"/>
  <c r="M69" i="1" s="1"/>
  <c r="M51" i="1"/>
  <c r="M50" i="1"/>
  <c r="M49" i="1"/>
  <c r="M41" i="1"/>
  <c r="M47" i="1" s="1"/>
  <c r="M52" i="1" s="1"/>
  <c r="M34" i="1"/>
  <c r="M33" i="1"/>
  <c r="M32" i="1"/>
  <c r="M24" i="1"/>
  <c r="M30" i="1" s="1"/>
  <c r="M35" i="1" s="1"/>
  <c r="M17" i="1"/>
  <c r="M16" i="1"/>
  <c r="M15" i="1"/>
  <c r="K15" i="1"/>
  <c r="I7" i="1"/>
  <c r="I13" i="1" s="1"/>
  <c r="I18" i="1" s="1"/>
  <c r="H7" i="1"/>
  <c r="H13" i="1" s="1"/>
  <c r="G7" i="1"/>
  <c r="G13" i="1" s="1"/>
  <c r="E7" i="1"/>
  <c r="E13" i="1" s="1"/>
  <c r="D7" i="1"/>
  <c r="C7" i="1"/>
  <c r="C13" i="1" s="1"/>
  <c r="M7" i="1"/>
  <c r="M13" i="1" s="1"/>
  <c r="M18" i="1" s="1"/>
  <c r="L7" i="1"/>
  <c r="L13" i="1" s="1"/>
  <c r="L18" i="1" s="1"/>
  <c r="H11" i="2"/>
  <c r="H13" i="2" s="1"/>
  <c r="K113" i="1"/>
  <c r="L131" i="1"/>
  <c r="L137" i="1" s="1"/>
  <c r="L139" i="1" s="1"/>
  <c r="L118" i="1"/>
  <c r="L125" i="1" s="1"/>
  <c r="L91" i="1"/>
  <c r="K131" i="1"/>
  <c r="K137" i="1" s="1"/>
  <c r="K139" i="1" s="1"/>
  <c r="K118" i="1"/>
  <c r="K125" i="1" s="1"/>
  <c r="AJ108" i="1"/>
  <c r="AJ106" i="1"/>
  <c r="T107" i="1"/>
  <c r="T103" i="1"/>
  <c r="S91" i="1"/>
  <c r="S84" i="1"/>
  <c r="M71" i="1"/>
  <c r="N71" i="1" s="1"/>
  <c r="W100" i="1"/>
  <c r="X100" i="1" s="1"/>
  <c r="W94" i="1"/>
  <c r="M74" i="1"/>
  <c r="N74" i="1" s="1"/>
  <c r="M73" i="1"/>
  <c r="N73" i="1" s="1"/>
  <c r="M72" i="1"/>
  <c r="N72" i="1" s="1"/>
  <c r="H75" i="1"/>
  <c r="G75" i="1"/>
  <c r="E75" i="1"/>
  <c r="D75" i="1"/>
  <c r="I75" i="1"/>
  <c r="F74" i="1"/>
  <c r="F73" i="1"/>
  <c r="F72" i="1"/>
  <c r="F71" i="1"/>
  <c r="J74" i="1"/>
  <c r="J73" i="1"/>
  <c r="J72" i="1"/>
  <c r="J71" i="1"/>
  <c r="V75" i="1"/>
  <c r="J75" i="1" s="1"/>
  <c r="U75" i="1"/>
  <c r="T75" i="1"/>
  <c r="U15" i="1"/>
  <c r="V15" i="1"/>
  <c r="U16" i="1"/>
  <c r="V16" i="1"/>
  <c r="U17" i="1"/>
  <c r="V17" i="1"/>
  <c r="T17" i="1"/>
  <c r="T16" i="1"/>
  <c r="T15" i="1"/>
  <c r="V7" i="1"/>
  <c r="V13" i="1" s="1"/>
  <c r="V18" i="1" s="1"/>
  <c r="U7" i="1"/>
  <c r="U13" i="1" s="1"/>
  <c r="U18" i="1" s="1"/>
  <c r="T7" i="1"/>
  <c r="T13" i="1" s="1"/>
  <c r="T18" i="1" s="1"/>
  <c r="K75" i="1"/>
  <c r="K87" i="1"/>
  <c r="K86" i="1"/>
  <c r="K85" i="1"/>
  <c r="K82" i="1"/>
  <c r="K107" i="1" s="1"/>
  <c r="K83" i="1"/>
  <c r="K108" i="1" s="1"/>
  <c r="K81" i="1"/>
  <c r="K103" i="1" s="1"/>
  <c r="K68" i="1"/>
  <c r="K67" i="1"/>
  <c r="K66" i="1"/>
  <c r="K58" i="1"/>
  <c r="K64" i="1" s="1"/>
  <c r="K69" i="1" s="1"/>
  <c r="E9" i="2" s="1"/>
  <c r="K51" i="1"/>
  <c r="K50" i="1"/>
  <c r="K49" i="1"/>
  <c r="K41" i="1"/>
  <c r="K47" i="1" s="1"/>
  <c r="K52" i="1" s="1"/>
  <c r="K33" i="1"/>
  <c r="K34" i="1"/>
  <c r="K32" i="1"/>
  <c r="K24" i="1"/>
  <c r="K30" i="1" s="1"/>
  <c r="K35" i="1" s="1"/>
  <c r="E8" i="2" s="1"/>
  <c r="K17" i="1"/>
  <c r="K16" i="1"/>
  <c r="K7" i="1"/>
  <c r="K13" i="1" s="1"/>
  <c r="K18" i="1" s="1"/>
  <c r="E11" i="2" s="1"/>
  <c r="C91" i="1"/>
  <c r="C84" i="1"/>
  <c r="D91" i="1"/>
  <c r="H91" i="1"/>
  <c r="F85" i="1"/>
  <c r="F86" i="1"/>
  <c r="F87" i="1"/>
  <c r="F88" i="1"/>
  <c r="F89" i="1"/>
  <c r="F90" i="1"/>
  <c r="F93" i="1"/>
  <c r="F94" i="1"/>
  <c r="F96" i="1"/>
  <c r="F98" i="1"/>
  <c r="J85" i="1"/>
  <c r="J86" i="1"/>
  <c r="J87" i="1"/>
  <c r="J88" i="1"/>
  <c r="J89" i="1"/>
  <c r="J90" i="1"/>
  <c r="J93" i="1"/>
  <c r="J94" i="1"/>
  <c r="J96" i="1"/>
  <c r="J98" i="1"/>
  <c r="E91" i="1"/>
  <c r="I91" i="1"/>
  <c r="U108" i="1"/>
  <c r="U107" i="1"/>
  <c r="U103" i="1"/>
  <c r="V108" i="1"/>
  <c r="V107" i="1"/>
  <c r="V103" i="1"/>
  <c r="V91" i="1"/>
  <c r="V84" i="1"/>
  <c r="T91" i="1"/>
  <c r="T84" i="1"/>
  <c r="U91" i="1"/>
  <c r="U84" i="1"/>
  <c r="Q2" i="1"/>
  <c r="R2" i="1" s="1"/>
  <c r="S2" i="1" s="1"/>
  <c r="T2" i="1" s="1"/>
  <c r="U2" i="1" s="1"/>
  <c r="V2" i="1" s="1"/>
  <c r="W2" i="1" s="1"/>
  <c r="X2" i="1" s="1"/>
  <c r="Y2" i="1" s="1"/>
  <c r="Z2" i="1" s="1"/>
  <c r="AA2" i="1" s="1"/>
  <c r="AB2" i="1" s="1"/>
  <c r="AC2" i="1" s="1"/>
  <c r="AD2" i="1" s="1"/>
  <c r="AE2" i="1" s="1"/>
  <c r="AF2" i="1" s="1"/>
  <c r="G91" i="1"/>
  <c r="G84" i="1"/>
  <c r="I10" i="2"/>
  <c r="I11" i="2" s="1"/>
  <c r="H9" i="2"/>
  <c r="F51" i="1" l="1"/>
  <c r="H107" i="1"/>
  <c r="J7" i="1"/>
  <c r="F7" i="1"/>
  <c r="H105" i="1"/>
  <c r="M105" i="1"/>
  <c r="H106" i="1"/>
  <c r="L105" i="1"/>
  <c r="V182" i="1"/>
  <c r="V184" i="1" s="1"/>
  <c r="K104" i="1"/>
  <c r="M106" i="1"/>
  <c r="L104" i="1"/>
  <c r="M104" i="1"/>
  <c r="I105" i="1"/>
  <c r="K106" i="1"/>
  <c r="I106" i="1"/>
  <c r="J154" i="1"/>
  <c r="H104" i="1"/>
  <c r="L106" i="1"/>
  <c r="J155" i="1"/>
  <c r="I104" i="1"/>
  <c r="K105" i="1"/>
  <c r="J156" i="1"/>
  <c r="J49" i="1"/>
  <c r="F16" i="1"/>
  <c r="J24" i="1"/>
  <c r="F32" i="1"/>
  <c r="G182" i="1"/>
  <c r="G184" i="1" s="1"/>
  <c r="J148" i="1"/>
  <c r="J174" i="1"/>
  <c r="V186" i="1"/>
  <c r="J164" i="1"/>
  <c r="J165" i="1"/>
  <c r="J149" i="1"/>
  <c r="J157" i="1"/>
  <c r="J166" i="1"/>
  <c r="J175" i="1"/>
  <c r="I158" i="1"/>
  <c r="J158" i="1" s="1"/>
  <c r="J150" i="1"/>
  <c r="I107" i="1"/>
  <c r="J151" i="1"/>
  <c r="J159" i="1"/>
  <c r="J169" i="1"/>
  <c r="J177" i="1"/>
  <c r="Y100" i="1"/>
  <c r="Z100" i="1" s="1"/>
  <c r="AA100" i="1" s="1"/>
  <c r="AB100" i="1" s="1"/>
  <c r="AC100" i="1" s="1"/>
  <c r="AD100" i="1" s="1"/>
  <c r="AE100" i="1" s="1"/>
  <c r="AF100" i="1" s="1"/>
  <c r="J32" i="1"/>
  <c r="F41" i="1"/>
  <c r="F47" i="1" s="1"/>
  <c r="F52" i="1" s="1"/>
  <c r="J144" i="1"/>
  <c r="J152" i="1"/>
  <c r="J170" i="1"/>
  <c r="F17" i="1"/>
  <c r="F50" i="1"/>
  <c r="J145" i="1"/>
  <c r="J153" i="1"/>
  <c r="J179" i="1"/>
  <c r="T182" i="1"/>
  <c r="T184" i="1" s="1"/>
  <c r="U182" i="1"/>
  <c r="U184" i="1" s="1"/>
  <c r="H108" i="1"/>
  <c r="J15" i="1"/>
  <c r="F15" i="1"/>
  <c r="J34" i="1"/>
  <c r="F34" i="1"/>
  <c r="F49" i="1"/>
  <c r="J41" i="1"/>
  <c r="L103" i="1"/>
  <c r="F83" i="1"/>
  <c r="D84" i="1"/>
  <c r="D92" i="1" s="1"/>
  <c r="F24" i="1"/>
  <c r="F30" i="1" s="1"/>
  <c r="F35" i="1" s="1"/>
  <c r="L107" i="1"/>
  <c r="J81" i="1"/>
  <c r="F82" i="1"/>
  <c r="J17" i="1"/>
  <c r="J51" i="1"/>
  <c r="K182" i="1"/>
  <c r="K184" i="1" s="1"/>
  <c r="J33" i="1"/>
  <c r="J16" i="1"/>
  <c r="H167" i="1"/>
  <c r="F13" i="1"/>
  <c r="F18" i="1" s="1"/>
  <c r="F81" i="1"/>
  <c r="J50" i="1"/>
  <c r="E84" i="1"/>
  <c r="E92" i="1" s="1"/>
  <c r="H84" i="1"/>
  <c r="H92" i="1" s="1"/>
  <c r="H160" i="1"/>
  <c r="H186" i="1" s="1"/>
  <c r="L178" i="1"/>
  <c r="L167" i="1"/>
  <c r="M167" i="1"/>
  <c r="L160" i="1"/>
  <c r="L186" i="1" s="1"/>
  <c r="I178" i="1"/>
  <c r="H178" i="1"/>
  <c r="I162" i="1"/>
  <c r="I167" i="1" s="1"/>
  <c r="M178" i="1"/>
  <c r="M160" i="1"/>
  <c r="M186" i="1" s="1"/>
  <c r="H103" i="1"/>
  <c r="J13" i="1"/>
  <c r="J18" i="1" s="1"/>
  <c r="C18" i="1"/>
  <c r="I108" i="1"/>
  <c r="D13" i="1"/>
  <c r="D18" i="1" s="1"/>
  <c r="G18" i="1"/>
  <c r="H18" i="1"/>
  <c r="H35" i="1"/>
  <c r="I84" i="1"/>
  <c r="J83" i="1"/>
  <c r="J82" i="1"/>
  <c r="M108" i="1"/>
  <c r="M107" i="1"/>
  <c r="E18" i="1"/>
  <c r="I103" i="1"/>
  <c r="M84" i="1"/>
  <c r="E35" i="1"/>
  <c r="L84" i="1"/>
  <c r="L108" i="1"/>
  <c r="K84" i="1"/>
  <c r="K77" i="1" s="1"/>
  <c r="G77" i="1"/>
  <c r="G78" i="1" s="1"/>
  <c r="V109" i="1"/>
  <c r="T78" i="1"/>
  <c r="T77" i="1" s="1"/>
  <c r="F75" i="1"/>
  <c r="T109" i="1"/>
  <c r="U78" i="1"/>
  <c r="U77" i="1" s="1"/>
  <c r="S92" i="1"/>
  <c r="V78" i="1"/>
  <c r="V77" i="1" s="1"/>
  <c r="K91" i="1"/>
  <c r="L75" i="1"/>
  <c r="M75" i="1"/>
  <c r="N75" i="1"/>
  <c r="H12" i="2"/>
  <c r="E10" i="2"/>
  <c r="J91" i="1"/>
  <c r="C92" i="1"/>
  <c r="F91" i="1"/>
  <c r="V92" i="1"/>
  <c r="V111" i="1" s="1"/>
  <c r="T92" i="1"/>
  <c r="U92" i="1"/>
  <c r="U111" i="1" s="1"/>
  <c r="G92" i="1"/>
  <c r="J104" i="1" l="1"/>
  <c r="J30" i="1"/>
  <c r="J35" i="1" s="1"/>
  <c r="J105" i="1"/>
  <c r="I160" i="1"/>
  <c r="J103" i="1"/>
  <c r="J47" i="1"/>
  <c r="J52" i="1" s="1"/>
  <c r="J106" i="1"/>
  <c r="I186" i="1"/>
  <c r="J162" i="1"/>
  <c r="J167" i="1" s="1"/>
  <c r="J160" i="1"/>
  <c r="J108" i="1"/>
  <c r="L109" i="1"/>
  <c r="H109" i="1"/>
  <c r="H77" i="1"/>
  <c r="H78" i="1" s="1"/>
  <c r="J178" i="1"/>
  <c r="J107" i="1"/>
  <c r="I109" i="1"/>
  <c r="F84" i="1"/>
  <c r="E77" i="1"/>
  <c r="E78" i="1" s="1"/>
  <c r="H182" i="1"/>
  <c r="H184" i="1" s="1"/>
  <c r="L182" i="1"/>
  <c r="L184" i="1" s="1"/>
  <c r="I182" i="1"/>
  <c r="I184" i="1" s="1"/>
  <c r="M182" i="1"/>
  <c r="M184" i="1" s="1"/>
  <c r="I92" i="1"/>
  <c r="I95" i="1" s="1"/>
  <c r="I97" i="1" s="1"/>
  <c r="I77" i="1"/>
  <c r="M77" i="1" s="1"/>
  <c r="M78" i="1" s="1"/>
  <c r="J84" i="1"/>
  <c r="J109" i="1" s="1"/>
  <c r="L92" i="1"/>
  <c r="L95" i="1" s="1"/>
  <c r="L97" i="1" s="1"/>
  <c r="L77" i="1"/>
  <c r="L78" i="1" s="1"/>
  <c r="F77" i="1"/>
  <c r="F78" i="1" s="1"/>
  <c r="S95" i="1"/>
  <c r="S97" i="1" s="1"/>
  <c r="S99" i="1" s="1"/>
  <c r="S101" i="1" s="1"/>
  <c r="S111" i="1"/>
  <c r="K92" i="1"/>
  <c r="K111" i="1" s="1"/>
  <c r="K109" i="1"/>
  <c r="K78" i="1"/>
  <c r="W75" i="1"/>
  <c r="X75" i="1" s="1"/>
  <c r="J92" i="1"/>
  <c r="J111" i="1" s="1"/>
  <c r="T95" i="1"/>
  <c r="T97" i="1" s="1"/>
  <c r="T111" i="1"/>
  <c r="V95" i="1"/>
  <c r="V97" i="1" s="1"/>
  <c r="C95" i="1"/>
  <c r="C97" i="1" s="1"/>
  <c r="C99" i="1" s="1"/>
  <c r="C111" i="1"/>
  <c r="G111" i="1"/>
  <c r="G95" i="1"/>
  <c r="G97" i="1" s="1"/>
  <c r="E95" i="1"/>
  <c r="E97" i="1" s="1"/>
  <c r="E99" i="1" s="1"/>
  <c r="E111" i="1"/>
  <c r="D95" i="1"/>
  <c r="D111" i="1"/>
  <c r="F92" i="1"/>
  <c r="H111" i="1"/>
  <c r="H95" i="1"/>
  <c r="U95" i="1"/>
  <c r="U97" i="1" s="1"/>
  <c r="F111" i="1" l="1"/>
  <c r="T99" i="1"/>
  <c r="T101" i="1" s="1"/>
  <c r="T187" i="1"/>
  <c r="T188" i="1" s="1"/>
  <c r="G99" i="1"/>
  <c r="G101" i="1" s="1"/>
  <c r="G187" i="1"/>
  <c r="J182" i="1"/>
  <c r="J184" i="1" s="1"/>
  <c r="J186" i="1"/>
  <c r="U99" i="1"/>
  <c r="U101" i="1" s="1"/>
  <c r="U187" i="1"/>
  <c r="U188" i="1" s="1"/>
  <c r="L99" i="1"/>
  <c r="L101" i="1" s="1"/>
  <c r="L187" i="1"/>
  <c r="L188" i="1" s="1"/>
  <c r="V99" i="1"/>
  <c r="V101" i="1" s="1"/>
  <c r="V187" i="1"/>
  <c r="V188" i="1" s="1"/>
  <c r="I99" i="1"/>
  <c r="I101" i="1" s="1"/>
  <c r="I187" i="1"/>
  <c r="I111" i="1"/>
  <c r="E101" i="1"/>
  <c r="C101" i="1"/>
  <c r="J77" i="1"/>
  <c r="I78" i="1"/>
  <c r="M109" i="1"/>
  <c r="K95" i="1"/>
  <c r="K97" i="1" s="1"/>
  <c r="Y75" i="1"/>
  <c r="F95" i="1"/>
  <c r="D97" i="1"/>
  <c r="J95" i="1"/>
  <c r="H97" i="1"/>
  <c r="H187" i="1" s="1"/>
  <c r="M190" i="1" l="1"/>
  <c r="K190" i="1"/>
  <c r="L190" i="1"/>
  <c r="J190" i="1"/>
  <c r="K99" i="1"/>
  <c r="K187" i="1"/>
  <c r="K188" i="1" s="1"/>
  <c r="H188" i="1"/>
  <c r="I188" i="1"/>
  <c r="N77" i="1"/>
  <c r="N78" i="1" s="1"/>
  <c r="G188" i="1"/>
  <c r="J78" i="1"/>
  <c r="M91" i="1"/>
  <c r="M92" i="1" s="1"/>
  <c r="M111" i="1" s="1"/>
  <c r="Z75" i="1"/>
  <c r="D99" i="1"/>
  <c r="F97" i="1"/>
  <c r="J97" i="1"/>
  <c r="J187" i="1" s="1"/>
  <c r="H99" i="1"/>
  <c r="N84" i="1" l="1"/>
  <c r="N90" i="1" s="1"/>
  <c r="W90" i="1" s="1"/>
  <c r="J191" i="1"/>
  <c r="J192" i="1" s="1"/>
  <c r="L191" i="1"/>
  <c r="L192" i="1" s="1"/>
  <c r="J188" i="1"/>
  <c r="K191" i="1"/>
  <c r="K192" i="1" s="1"/>
  <c r="N109" i="1"/>
  <c r="W84" i="1"/>
  <c r="AA75" i="1"/>
  <c r="N86" i="1"/>
  <c r="W86" i="1" s="1"/>
  <c r="N87" i="1"/>
  <c r="W87" i="1" s="1"/>
  <c r="N89" i="1"/>
  <c r="N85" i="1"/>
  <c r="K101" i="1"/>
  <c r="D101" i="1"/>
  <c r="F101" i="1" s="1"/>
  <c r="F99" i="1"/>
  <c r="F141" i="1" s="1"/>
  <c r="H101" i="1"/>
  <c r="J101" i="1" s="1"/>
  <c r="J99" i="1"/>
  <c r="N88" i="1" l="1"/>
  <c r="W88" i="1" s="1"/>
  <c r="I141" i="1"/>
  <c r="H141" i="1"/>
  <c r="G141" i="1"/>
  <c r="J141" i="1"/>
  <c r="L111" i="1"/>
  <c r="W109" i="1"/>
  <c r="W78" i="1"/>
  <c r="X78" i="1" s="1"/>
  <c r="X84" i="1" s="1"/>
  <c r="N91" i="1"/>
  <c r="W85" i="1"/>
  <c r="AB75" i="1"/>
  <c r="F100" i="1"/>
  <c r="J100" i="1"/>
  <c r="L141" i="1" s="1"/>
  <c r="X87" i="1" l="1"/>
  <c r="X90" i="1"/>
  <c r="X88" i="1"/>
  <c r="X86" i="1"/>
  <c r="X85" i="1"/>
  <c r="X91" i="1" s="1"/>
  <c r="X92" i="1" s="1"/>
  <c r="K141" i="1"/>
  <c r="Y78" i="1"/>
  <c r="Y84" i="1" s="1"/>
  <c r="N92" i="1"/>
  <c r="N93" i="1" s="1"/>
  <c r="W93" i="1" s="1"/>
  <c r="W91" i="1"/>
  <c r="M95" i="1"/>
  <c r="AC75" i="1"/>
  <c r="Y90" i="1" l="1"/>
  <c r="Y88" i="1"/>
  <c r="Y86" i="1"/>
  <c r="Y87" i="1"/>
  <c r="Y85" i="1"/>
  <c r="Y91" i="1" s="1"/>
  <c r="Y92" i="1" s="1"/>
  <c r="N111" i="1"/>
  <c r="N95" i="1"/>
  <c r="N96" i="1" s="1"/>
  <c r="W92" i="1"/>
  <c r="W111" i="1" s="1"/>
  <c r="AD75" i="1"/>
  <c r="X109" i="1"/>
  <c r="Z78" i="1"/>
  <c r="M97" i="1" l="1"/>
  <c r="AE75" i="1"/>
  <c r="W96" i="1"/>
  <c r="Y109" i="1"/>
  <c r="N97" i="1"/>
  <c r="N99" i="1" s="1"/>
  <c r="N101" i="1" s="1"/>
  <c r="W95" i="1"/>
  <c r="AA78" i="1"/>
  <c r="Z84" i="1"/>
  <c r="M99" i="1" l="1"/>
  <c r="M187" i="1"/>
  <c r="X96" i="1"/>
  <c r="X97" i="1" s="1"/>
  <c r="X99" i="1" s="1"/>
  <c r="M101" i="1"/>
  <c r="W101" i="1" s="1"/>
  <c r="M141" i="1"/>
  <c r="Z86" i="1"/>
  <c r="Z87" i="1"/>
  <c r="Z88" i="1"/>
  <c r="Z109" i="1"/>
  <c r="X111" i="1"/>
  <c r="W97" i="1"/>
  <c r="Z90" i="1"/>
  <c r="W99" i="1"/>
  <c r="AB78" i="1"/>
  <c r="AA84" i="1"/>
  <c r="AA109" i="1" s="1"/>
  <c r="Z85" i="1"/>
  <c r="AF75" i="1"/>
  <c r="X101" i="1" l="1"/>
  <c r="Y93" i="1"/>
  <c r="Y95" i="1" s="1"/>
  <c r="M188" i="1"/>
  <c r="M191" i="1"/>
  <c r="M192" i="1" s="1"/>
  <c r="AA87" i="1"/>
  <c r="AC78" i="1"/>
  <c r="AB84" i="1"/>
  <c r="AB109" i="1" s="1"/>
  <c r="AA86" i="1"/>
  <c r="AA90" i="1"/>
  <c r="Y111" i="1"/>
  <c r="AA85" i="1"/>
  <c r="Z91" i="1"/>
  <c r="Z92" i="1" s="1"/>
  <c r="AA88" i="1"/>
  <c r="AB86" i="1" l="1"/>
  <c r="Y96" i="1"/>
  <c r="Y97" i="1" s="1"/>
  <c r="AB88" i="1"/>
  <c r="AB90" i="1"/>
  <c r="Z111" i="1"/>
  <c r="AB85" i="1"/>
  <c r="AA91" i="1"/>
  <c r="AA92" i="1" s="1"/>
  <c r="AD78" i="1"/>
  <c r="AC84" i="1"/>
  <c r="AC109" i="1" s="1"/>
  <c r="AB87" i="1"/>
  <c r="AC87" i="1" l="1"/>
  <c r="Y99" i="1"/>
  <c r="AC90" i="1"/>
  <c r="AC88" i="1"/>
  <c r="AA111" i="1"/>
  <c r="AC85" i="1"/>
  <c r="AB91" i="1"/>
  <c r="AB92" i="1" s="1"/>
  <c r="AE78" i="1"/>
  <c r="AD84" i="1"/>
  <c r="AC86" i="1"/>
  <c r="Y101" i="1" l="1"/>
  <c r="Z93" i="1"/>
  <c r="Z95" i="1" s="1"/>
  <c r="AD86" i="1"/>
  <c r="AD85" i="1"/>
  <c r="AC91" i="1"/>
  <c r="AC92" i="1" s="1"/>
  <c r="AB111" i="1"/>
  <c r="AD109" i="1"/>
  <c r="AD87" i="1"/>
  <c r="AF78" i="1"/>
  <c r="AF84" i="1" s="1"/>
  <c r="AE84" i="1"/>
  <c r="AE109" i="1" s="1"/>
  <c r="AD88" i="1"/>
  <c r="AD90" i="1"/>
  <c r="Z96" i="1" l="1"/>
  <c r="Z97" i="1" s="1"/>
  <c r="Z99" i="1" s="1"/>
  <c r="Z101" i="1" s="1"/>
  <c r="AE90" i="1"/>
  <c r="AF90" i="1" s="1"/>
  <c r="AE88" i="1"/>
  <c r="AF88" i="1" s="1"/>
  <c r="AE87" i="1"/>
  <c r="AF87" i="1" s="1"/>
  <c r="AE86" i="1"/>
  <c r="AF86" i="1" s="1"/>
  <c r="AC111" i="1"/>
  <c r="AF109" i="1"/>
  <c r="AE85" i="1"/>
  <c r="AD91" i="1"/>
  <c r="AD92" i="1" s="1"/>
  <c r="AA93" i="1" l="1"/>
  <c r="AD111" i="1"/>
  <c r="AF85" i="1"/>
  <c r="AF91" i="1" s="1"/>
  <c r="AF92" i="1" s="1"/>
  <c r="AE91" i="1"/>
  <c r="AE92" i="1" s="1"/>
  <c r="AA95" i="1" l="1"/>
  <c r="AA96" i="1" s="1"/>
  <c r="AA97" i="1" s="1"/>
  <c r="AA99" i="1" s="1"/>
  <c r="AF111" i="1"/>
  <c r="AE111" i="1"/>
  <c r="AA101" i="1" l="1"/>
  <c r="AB93" i="1"/>
  <c r="AB95" i="1" l="1"/>
  <c r="AB96" i="1" s="1"/>
  <c r="AB97" i="1" s="1"/>
  <c r="AB99" i="1" s="1"/>
  <c r="AB101" i="1" l="1"/>
  <c r="AC93" i="1" l="1"/>
  <c r="AC95" i="1" l="1"/>
  <c r="AC96" i="1" s="1"/>
  <c r="AC97" i="1" s="1"/>
  <c r="AC99" i="1" s="1"/>
  <c r="AC101" i="1" l="1"/>
  <c r="AD93" i="1" l="1"/>
  <c r="AD95" i="1" l="1"/>
  <c r="AD96" i="1" s="1"/>
  <c r="AD97" i="1" s="1"/>
  <c r="AD99" i="1" s="1"/>
  <c r="AD101" i="1" l="1"/>
  <c r="AE93" i="1" l="1"/>
  <c r="AE95" i="1" s="1"/>
  <c r="AE96" i="1" s="1"/>
  <c r="AE97" i="1" s="1"/>
  <c r="AE99" i="1" s="1"/>
  <c r="AE101" i="1" s="1"/>
  <c r="AF93" i="1" l="1"/>
  <c r="AF95" i="1" s="1"/>
  <c r="AF96" i="1" s="1"/>
  <c r="AF97" i="1" s="1"/>
  <c r="AF99" i="1" s="1"/>
  <c r="AF101" i="1" l="1"/>
  <c r="AG99" i="1"/>
  <c r="AH99" i="1" s="1"/>
  <c r="AI99" i="1" s="1"/>
  <c r="AJ99" i="1" s="1"/>
  <c r="AK99" i="1" s="1"/>
  <c r="AL99" i="1" s="1"/>
  <c r="AM99" i="1" s="1"/>
  <c r="AN99" i="1" s="1"/>
  <c r="AO99" i="1" s="1"/>
  <c r="AP99" i="1" s="1"/>
  <c r="AQ99" i="1" s="1"/>
  <c r="AR99" i="1" s="1"/>
  <c r="AS99" i="1" s="1"/>
  <c r="AT99" i="1" s="1"/>
  <c r="AU99" i="1" s="1"/>
  <c r="AV99" i="1" s="1"/>
  <c r="AW99" i="1" s="1"/>
  <c r="AX99" i="1" s="1"/>
  <c r="AY99" i="1" s="1"/>
  <c r="AZ99" i="1" s="1"/>
  <c r="BA99" i="1" s="1"/>
  <c r="BB99" i="1" s="1"/>
  <c r="BC99" i="1" s="1"/>
  <c r="BD99" i="1" s="1"/>
  <c r="BE99" i="1" s="1"/>
  <c r="BF99" i="1" s="1"/>
  <c r="BG99" i="1" s="1"/>
  <c r="BH99" i="1" s="1"/>
  <c r="BI99" i="1" s="1"/>
  <c r="BJ99" i="1" s="1"/>
  <c r="BK99" i="1" s="1"/>
  <c r="BL99" i="1" s="1"/>
  <c r="BM99" i="1" s="1"/>
  <c r="BN99" i="1" s="1"/>
  <c r="BO99" i="1" s="1"/>
  <c r="BP99" i="1" s="1"/>
  <c r="BQ99" i="1" s="1"/>
  <c r="BR99" i="1" s="1"/>
  <c r="BS99" i="1" s="1"/>
  <c r="BT99" i="1" s="1"/>
  <c r="BU99" i="1" s="1"/>
  <c r="BV99" i="1" s="1"/>
  <c r="BW99" i="1" s="1"/>
  <c r="BX99" i="1" s="1"/>
  <c r="BY99" i="1" s="1"/>
  <c r="BZ99" i="1" s="1"/>
  <c r="CA99" i="1" s="1"/>
  <c r="CB99" i="1" s="1"/>
  <c r="CC99" i="1" s="1"/>
  <c r="CD99" i="1" s="1"/>
  <c r="CE99" i="1" s="1"/>
  <c r="CF99" i="1" s="1"/>
  <c r="CG99" i="1" s="1"/>
  <c r="CH99" i="1" s="1"/>
  <c r="CI99" i="1" s="1"/>
  <c r="CJ99" i="1" s="1"/>
  <c r="CK99" i="1" s="1"/>
  <c r="CL99" i="1" s="1"/>
  <c r="CM99" i="1" s="1"/>
  <c r="CN99" i="1" s="1"/>
  <c r="AJ105" i="1" s="1"/>
  <c r="AJ107" i="1" s="1"/>
  <c r="AJ109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Brannon, Jameel A.</author>
  </authors>
  <commentList>
    <comment ref="C13" authorId="0" shapeId="0" xr:uid="{6006B5BA-A07A-AB45-B5ED-B7C2571FCCFA}">
      <text>
        <r>
          <rPr>
            <b/>
            <sz val="10"/>
            <color rgb="FF000000"/>
            <rFont val="Tahoma"/>
            <family val="2"/>
          </rPr>
          <t>Brannon, Jameel A.: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includes $2M of cash form equity investments
</t>
        </r>
      </text>
    </comment>
    <comment ref="D13" authorId="0" shapeId="0" xr:uid="{6A0D96A7-3D67-C842-8EAF-808164EDFE1F}">
      <text>
        <r>
          <rPr>
            <b/>
            <sz val="10"/>
            <color rgb="FF000000"/>
            <rFont val="Tahoma"/>
            <family val="2"/>
          </rPr>
          <t>Brannon, Jameel A.: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includes $2M of cash form equity investments
</t>
        </r>
      </text>
    </comment>
    <comment ref="E13" authorId="0" shapeId="0" xr:uid="{E4C99C41-DE99-8245-97CB-54260DD7F17F}">
      <text>
        <r>
          <rPr>
            <b/>
            <sz val="10"/>
            <color rgb="FF000000"/>
            <rFont val="Tahoma"/>
            <family val="2"/>
          </rPr>
          <t>Brannon, Jameel A.: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includes $2M of cash form equity investments
</t>
        </r>
      </text>
    </comment>
    <comment ref="G13" authorId="0" shapeId="0" xr:uid="{C65E1C09-2F0F-F042-8DDD-85057BEDB921}">
      <text>
        <r>
          <rPr>
            <b/>
            <sz val="10"/>
            <color rgb="FF000000"/>
            <rFont val="Tahoma"/>
            <family val="2"/>
          </rPr>
          <t>Brannon, Jameel A.: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includes $3M of cash form equity investments
</t>
        </r>
      </text>
    </comment>
    <comment ref="H13" authorId="0" shapeId="0" xr:uid="{486B1F48-F612-9341-BFBB-E015C2BB3E87}">
      <text>
        <r>
          <rPr>
            <b/>
            <sz val="10"/>
            <color rgb="FF000000"/>
            <rFont val="Tahoma"/>
            <family val="2"/>
          </rPr>
          <t>Brannon, Jameel A.: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includes $3M of cash form equity investments
</t>
        </r>
      </text>
    </comment>
    <comment ref="I13" authorId="0" shapeId="0" xr:uid="{FA5CD388-C6B2-4842-BCCD-64C8F267532B}">
      <text>
        <r>
          <rPr>
            <b/>
            <sz val="10"/>
            <color rgb="FF000000"/>
            <rFont val="Tahoma"/>
            <family val="2"/>
          </rPr>
          <t>Brannon, Jameel A.: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includes $3M of cash form equity investments
</t>
        </r>
      </text>
    </comment>
    <comment ref="K13" authorId="0" shapeId="0" xr:uid="{708ECFBF-5A10-8D4B-951D-BA35EDC94AE6}">
      <text>
        <r>
          <rPr>
            <b/>
            <sz val="10"/>
            <color rgb="FF000000"/>
            <rFont val="Tahoma"/>
            <family val="2"/>
          </rPr>
          <t>Brannon, Jameel A.: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includes $3M of cash form equity investments
</t>
        </r>
      </text>
    </comment>
    <comment ref="L13" authorId="0" shapeId="0" xr:uid="{57BBEA20-2BB0-6749-9C8C-F3E82D3C738E}">
      <text>
        <r>
          <rPr>
            <b/>
            <sz val="10"/>
            <color rgb="FF000000"/>
            <rFont val="Tahoma"/>
            <family val="2"/>
          </rPr>
          <t>Brannon, Jameel A.: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includes $3M of cash form equity investments
</t>
        </r>
      </text>
    </comment>
    <comment ref="M13" authorId="0" shapeId="0" xr:uid="{A8007C28-92B5-7D4D-A1F7-6774850CB9EA}">
      <text>
        <r>
          <rPr>
            <b/>
            <sz val="10"/>
            <color rgb="FF000000"/>
            <rFont val="Tahoma"/>
            <family val="2"/>
          </rPr>
          <t>Brannon, Jameel A.: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includes $5M of cash from equity investment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Brannon, Jameel A.</author>
  </authors>
  <commentList>
    <comment ref="B4" authorId="0" shapeId="0" xr:uid="{B0D64271-3D89-BB47-9316-67BECAB956D4}">
      <text>
        <r>
          <rPr>
            <b/>
            <sz val="10"/>
            <color rgb="FF000000"/>
            <rFont val="Tahoma"/>
            <family val="2"/>
          </rPr>
          <t>Brannon, Jameel A.: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1. $400M BK investment program to accelerate growth [$150M for advertising &amp; $250M for technology enhancements, remodels/upgrades]  
</t>
        </r>
        <r>
          <rPr>
            <sz val="10"/>
            <color rgb="FF000000"/>
            <rFont val="Tahoma"/>
            <family val="2"/>
          </rPr>
          <t>2. Consistent y/y ..  current forecast growing q4 @ 3% y/y (low pessimistic call)</t>
        </r>
      </text>
    </comment>
    <comment ref="C11" authorId="0" shapeId="0" xr:uid="{FCEF2055-2585-D14C-AA46-5F5E76ACF128}">
      <text>
        <r>
          <rPr>
            <b/>
            <sz val="10"/>
            <color rgb="FF000000"/>
            <rFont val="Tahoma"/>
            <family val="2"/>
          </rPr>
          <t>Brannon, Jameel A.: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Culinary Innovation - Tallis Voakes
</t>
        </r>
        <r>
          <rPr>
            <sz val="10"/>
            <color rgb="FF000000"/>
            <rFont val="Tahoma"/>
            <family val="2"/>
          </rPr>
          <t xml:space="preserve">Beverage Innovation - Victoria Stewart
</t>
        </r>
        <r>
          <rPr>
            <sz val="10"/>
            <color rgb="FF000000"/>
            <rFont val="Tahoma"/>
            <family val="2"/>
          </rPr>
          <t xml:space="preserve">Coffee Ops - Kevin West 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b/>
            <sz val="10"/>
            <color rgb="FF000000"/>
            <rFont val="Tahoma"/>
            <family val="2"/>
          </rPr>
          <t xml:space="preserve">Notes
</t>
        </r>
        <r>
          <rPr>
            <sz val="10"/>
            <color rgb="FF000000"/>
            <rFont val="Tahoma"/>
            <family val="2"/>
          </rPr>
          <t xml:space="preserve">Fresh coffee every 20 mins, coffee share up y/y
</t>
        </r>
        <r>
          <rPr>
            <sz val="10"/>
            <color rgb="FF000000"/>
            <rFont val="Tahoma"/>
            <family val="2"/>
          </rPr>
          <t>Breakfast market share up y/y</t>
        </r>
      </text>
    </comment>
    <comment ref="C16" authorId="0" shapeId="0" xr:uid="{BAA26C27-5CEE-B34B-8F8E-F50309779C16}">
      <text>
        <r>
          <rPr>
            <b/>
            <sz val="10"/>
            <color rgb="FF000000"/>
            <rFont val="Tahoma"/>
            <family val="2"/>
          </rPr>
          <t>Brannon, Jameel A.: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Appointment of former Dominoes CEO as Executive Chairment to accelerate growth.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b/>
            <sz val="10"/>
            <color rgb="FF000000"/>
            <rFont val="Tahoma"/>
            <family val="2"/>
          </rPr>
          <t xml:space="preserve">Highlights @ DPZ
</t>
        </r>
        <r>
          <rPr>
            <b/>
            <sz val="10"/>
            <color rgb="FF000000"/>
            <rFont val="Tahoma"/>
            <family val="2"/>
          </rPr>
          <t xml:space="preserve">1. </t>
        </r>
        <r>
          <rPr>
            <sz val="10"/>
            <color rgb="FF000000"/>
            <rFont val="Tahoma"/>
            <family val="2"/>
          </rPr>
          <t xml:space="preserve"> 29 consecutive q's of SSS
</t>
        </r>
        <r>
          <rPr>
            <sz val="10"/>
            <color rgb="FF000000"/>
            <rFont val="Tahoma"/>
            <family val="2"/>
          </rPr>
          <t xml:space="preserve">2. System wife sales growth from $5.6B to $13B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b/>
            <sz val="10"/>
            <color rgb="FF000000"/>
            <rFont val="Tahoma"/>
            <family val="2"/>
          </rPr>
          <t xml:space="preserve">Personal Investment
</t>
        </r>
        <r>
          <rPr>
            <sz val="10"/>
            <color rgb="FF000000"/>
            <rFont val="Tahoma"/>
            <family val="2"/>
          </rPr>
          <t>Investing $30M and has agreed to hold the shares 5 years</t>
        </r>
      </text>
    </comment>
    <comment ref="C18" authorId="0" shapeId="0" xr:uid="{5587AA54-9CF7-FB4D-84DD-D194A3A110EF}">
      <text>
        <r>
          <rPr>
            <b/>
            <sz val="10"/>
            <color rgb="FF000000"/>
            <rFont val="Tahoma"/>
            <family val="2"/>
          </rPr>
          <t>Brannon, Jameel A.: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Reclaim to fame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1. BK plan to spend $400M over the next two years comprised of $150M of advertising &amp; digital investments 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2. $250M for a reset in technology, kitchen equipment,  building enhancements, &amp; high quality remodels</t>
        </r>
      </text>
    </comment>
  </commentList>
</comments>
</file>

<file path=xl/sharedStrings.xml><?xml version="1.0" encoding="utf-8"?>
<sst xmlns="http://schemas.openxmlformats.org/spreadsheetml/2006/main" count="214" uniqueCount="162">
  <si>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</si>
  <si>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</si>
  <si>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</si>
  <si>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</si>
  <si>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</si>
  <si>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</si>
  <si>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</si>
  <si>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</si>
  <si>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</si>
  <si>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</si>
  <si>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Q322</t>
  </si>
  <si>
    <t>Q422</t>
  </si>
  <si>
    <t>Price</t>
  </si>
  <si>
    <t>Shares</t>
  </si>
  <si>
    <t>MC</t>
  </si>
  <si>
    <t>Cash</t>
  </si>
  <si>
    <t>Debt</t>
  </si>
  <si>
    <t>EV</t>
  </si>
  <si>
    <t>Brands</t>
  </si>
  <si>
    <t>Tim Hortons</t>
  </si>
  <si>
    <t>Burger King</t>
  </si>
  <si>
    <t>Popeyes</t>
  </si>
  <si>
    <t>Firehouse Subs</t>
  </si>
  <si>
    <t>Contains</t>
  </si>
  <si>
    <t>Burger, chicken, fries</t>
  </si>
  <si>
    <t>Chicken, fries</t>
  </si>
  <si>
    <t>Subs (variety)</t>
  </si>
  <si>
    <t>Sales</t>
  </si>
  <si>
    <t xml:space="preserve">Franchise &amp; ppty </t>
  </si>
  <si>
    <t>AD revenue</t>
  </si>
  <si>
    <t>Total Revenue</t>
  </si>
  <si>
    <t>Costs</t>
  </si>
  <si>
    <t>Franchise &amp; ppty exp</t>
  </si>
  <si>
    <t>Ad expenses</t>
  </si>
  <si>
    <t>G&amp;A</t>
  </si>
  <si>
    <t>Loss from equity</t>
  </si>
  <si>
    <t>Other op expenses</t>
  </si>
  <si>
    <t>Total op costs + E</t>
  </si>
  <si>
    <t>Operating Income</t>
  </si>
  <si>
    <t>Interest expense</t>
  </si>
  <si>
    <t>Income Before Taxes</t>
  </si>
  <si>
    <t>Taxes</t>
  </si>
  <si>
    <t>Net Income</t>
  </si>
  <si>
    <t xml:space="preserve">Net Income </t>
  </si>
  <si>
    <t>Noncoontrolling</t>
  </si>
  <si>
    <t>Diluted</t>
  </si>
  <si>
    <t>Eps</t>
  </si>
  <si>
    <t>Sales y/y</t>
  </si>
  <si>
    <t>Franchise &amp; ppty y/y</t>
  </si>
  <si>
    <t>Ad Revenue y/y</t>
  </si>
  <si>
    <t>Total Revenue y/y</t>
  </si>
  <si>
    <t>Loss on Debt</t>
  </si>
  <si>
    <t>OM %</t>
  </si>
  <si>
    <t xml:space="preserve"> </t>
  </si>
  <si>
    <t>Franchise &amp; ppty</t>
  </si>
  <si>
    <t>Ad revenue</t>
  </si>
  <si>
    <t>TH Revenue</t>
  </si>
  <si>
    <t>TH Op Income</t>
  </si>
  <si>
    <t>BK Revenue</t>
  </si>
  <si>
    <t>D&amp;A</t>
  </si>
  <si>
    <t>OM%</t>
  </si>
  <si>
    <t>Tim Horton Segment</t>
  </si>
  <si>
    <t>Burger King Segment</t>
  </si>
  <si>
    <t>Popeyes Segment</t>
  </si>
  <si>
    <t>Popeyes Revenue</t>
  </si>
  <si>
    <t>BK Op Income</t>
  </si>
  <si>
    <t>Popeyes Op Income</t>
  </si>
  <si>
    <t>Sales margin</t>
  </si>
  <si>
    <t>Franchise Margin</t>
  </si>
  <si>
    <t>Ad margin</t>
  </si>
  <si>
    <t>Margins</t>
  </si>
  <si>
    <t>Firehouse Segment</t>
  </si>
  <si>
    <t>Firehouse Revenue</t>
  </si>
  <si>
    <t>Firehouse Op Income</t>
  </si>
  <si>
    <t>TH</t>
  </si>
  <si>
    <t>BK</t>
  </si>
  <si>
    <t>PLK</t>
  </si>
  <si>
    <t>FHS</t>
  </si>
  <si>
    <t>RPR (Q)</t>
  </si>
  <si>
    <t>RPR (Y)</t>
  </si>
  <si>
    <t>Discount</t>
  </si>
  <si>
    <t>NPV</t>
  </si>
  <si>
    <t>Estimate</t>
  </si>
  <si>
    <t>Current</t>
  </si>
  <si>
    <t>Delta</t>
  </si>
  <si>
    <t>A/R</t>
  </si>
  <si>
    <t>Inventories</t>
  </si>
  <si>
    <t>Prepaid &amp; other</t>
  </si>
  <si>
    <t xml:space="preserve">Current Assets </t>
  </si>
  <si>
    <t>PPE</t>
  </si>
  <si>
    <t>Op lease</t>
  </si>
  <si>
    <t>Intangible assets</t>
  </si>
  <si>
    <t>Goodwill</t>
  </si>
  <si>
    <t xml:space="preserve">Leased franchise </t>
  </si>
  <si>
    <t>Other assets</t>
  </si>
  <si>
    <t xml:space="preserve">Total Assets </t>
  </si>
  <si>
    <t>Total Liabilities</t>
  </si>
  <si>
    <t>Accounts/draft payable</t>
  </si>
  <si>
    <t>Other accrued</t>
  </si>
  <si>
    <t>Gift card liability</t>
  </si>
  <si>
    <t xml:space="preserve">Current debt </t>
  </si>
  <si>
    <t>Current Liabilities</t>
  </si>
  <si>
    <t>LTD</t>
  </si>
  <si>
    <t>Fin Lease</t>
  </si>
  <si>
    <t>other liabilities</t>
  </si>
  <si>
    <t>Deferred income tax</t>
  </si>
  <si>
    <t>Equity</t>
  </si>
  <si>
    <t>TL + E</t>
  </si>
  <si>
    <t>ROE</t>
  </si>
  <si>
    <t xml:space="preserve">Net Cash </t>
  </si>
  <si>
    <t>Total Units</t>
  </si>
  <si>
    <t>CFFO</t>
  </si>
  <si>
    <t>NI</t>
  </si>
  <si>
    <t>Premiums/loss on debt</t>
  </si>
  <si>
    <t>Amortization</t>
  </si>
  <si>
    <t>Equity Investments</t>
  </si>
  <si>
    <t>Foreign denom trans</t>
  </si>
  <si>
    <t>Derivatives</t>
  </si>
  <si>
    <t>SBC</t>
  </si>
  <si>
    <t>Other</t>
  </si>
  <si>
    <t>Inv</t>
  </si>
  <si>
    <t>Accts + drafts</t>
  </si>
  <si>
    <t>Tenant inducements</t>
  </si>
  <si>
    <t>Other LT</t>
  </si>
  <si>
    <t>CFFI</t>
  </si>
  <si>
    <t>Capex</t>
  </si>
  <si>
    <t>Proceeds from disp assets</t>
  </si>
  <si>
    <t>Payments w/ Firehouse</t>
  </si>
  <si>
    <t>Settlement/Sales Deriv</t>
  </si>
  <si>
    <t>Other Investments</t>
  </si>
  <si>
    <t>CFFF</t>
  </si>
  <si>
    <t>Proceeds from Debt</t>
  </si>
  <si>
    <t>Debt Payments</t>
  </si>
  <si>
    <t>Payment on Fin Costs</t>
  </si>
  <si>
    <t>Dividends</t>
  </si>
  <si>
    <t>Buybacks</t>
  </si>
  <si>
    <t>Proceeds from stock op</t>
  </si>
  <si>
    <t>Proceeds from Deriv</t>
  </si>
  <si>
    <t>Other Fin Activities</t>
  </si>
  <si>
    <t>Forex</t>
  </si>
  <si>
    <t>Cash Increase</t>
  </si>
  <si>
    <t>Starting Cash</t>
  </si>
  <si>
    <t>Partnership units</t>
  </si>
  <si>
    <t xml:space="preserve">Cash @ End </t>
  </si>
  <si>
    <t>FCF</t>
  </si>
  <si>
    <t>Diff</t>
  </si>
  <si>
    <t>4Q FCF</t>
  </si>
  <si>
    <t>4Q NI</t>
  </si>
  <si>
    <t>Terminal</t>
  </si>
  <si>
    <t>CEO</t>
  </si>
  <si>
    <t xml:space="preserve">Jose Cil </t>
  </si>
  <si>
    <t xml:space="preserve">5/3/22 TH Investor Day </t>
  </si>
  <si>
    <t>PR</t>
  </si>
  <si>
    <t xml:space="preserve">Videos </t>
  </si>
  <si>
    <t>$400M BK Investment</t>
  </si>
  <si>
    <t>Coffee, tea, expresso, baked goods</t>
  </si>
  <si>
    <t>Investment Catalyst</t>
  </si>
  <si>
    <t>TH sales y/y</t>
  </si>
  <si>
    <t>BK sales y/y</t>
  </si>
  <si>
    <t>PLK sales y/y</t>
  </si>
  <si>
    <t>ROIC</t>
  </si>
  <si>
    <t>QRTEA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</si>
</sst>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7">
    <font>
      <sz val="10"/>
      <color theme="1"/>
      <name val="IntelClear-Regular"/>
      <family val="2"/>
    </font>
    <font>
      <sz val="10"/>
      <color theme="1"/>
      <name val="IntelClear-Regular"/>
      <family val="2"/>
    </font>
    <font>
      <b/>
      <sz val="10"/>
      <color theme="1"/>
      <name val="IntelClear-Regula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0"/>
      <color theme="1"/>
      <name val="IntelClear-Regular"/>
    </font>
    <font>
      <u/>
      <sz val="10"/>
      <color theme="10"/>
      <name val="IntelClear-Regular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39">
    <xf numFmtId="0" fontId="0" fillId="0" borderId="0" xfId="0"/>
    <xf numFmtId="3" fontId="0" fillId="0" borderId="0" xfId="0" applyNumberFormat="1"/>
    <xf numFmtId="3" fontId="0" fillId="0" borderId="0" xfId="0" applyNumberFormat="1" applyAlignment="1">
      <alignment horizontal="right"/>
    </xf>
    <xf numFmtId="3" fontId="2" fillId="0" borderId="0" xfId="0" applyNumberFormat="1" applyFont="1"/>
    <xf numFmtId="4" fontId="0" fillId="0" borderId="0" xfId="0" applyNumberFormat="1"/>
    <xf numFmtId="9" fontId="0" fillId="0" borderId="0" xfId="0" applyNumberFormat="1"/>
    <xf numFmtId="9" fontId="2" fillId="0" borderId="0" xfId="0" applyNumberFormat="1" applyFont="1"/>
    <xf numFmtId="3" fontId="0" fillId="0" borderId="2" xfId="0" applyNumberFormat="1" applyBorder="1"/>
    <xf numFmtId="3" fontId="0" fillId="0" borderId="3" xfId="0" applyNumberFormat="1" applyBorder="1"/>
    <xf numFmtId="3" fontId="0" fillId="0" borderId="4" xfId="0" applyNumberFormat="1" applyBorder="1"/>
    <xf numFmtId="3" fontId="0" fillId="0" borderId="0" xfId="0" applyNumberFormat="1" applyBorder="1"/>
    <xf numFmtId="3" fontId="0" fillId="0" borderId="5" xfId="0" applyNumberFormat="1" applyBorder="1"/>
    <xf numFmtId="3" fontId="2" fillId="0" borderId="4" xfId="0" applyNumberFormat="1" applyFont="1" applyBorder="1"/>
    <xf numFmtId="3" fontId="2" fillId="0" borderId="0" xfId="0" applyNumberFormat="1" applyFont="1" applyBorder="1"/>
    <xf numFmtId="3" fontId="2" fillId="0" borderId="5" xfId="0" applyNumberFormat="1" applyFont="1" applyBorder="1"/>
    <xf numFmtId="3" fontId="2" fillId="0" borderId="6" xfId="0" applyNumberFormat="1" applyFont="1" applyBorder="1"/>
    <xf numFmtId="3" fontId="2" fillId="0" borderId="7" xfId="0" applyNumberFormat="1" applyFont="1" applyBorder="1"/>
    <xf numFmtId="3" fontId="2" fillId="0" borderId="8" xfId="0" applyNumberFormat="1" applyFont="1" applyBorder="1"/>
    <xf numFmtId="3" fontId="2" fillId="0" borderId="1" xfId="0" applyNumberFormat="1" applyFont="1" applyBorder="1"/>
    <xf numFmtId="1" fontId="0" fillId="0" borderId="2" xfId="0" applyNumberFormat="1" applyBorder="1"/>
    <xf numFmtId="1" fontId="0" fillId="0" borderId="3" xfId="0" applyNumberFormat="1" applyBorder="1"/>
    <xf numFmtId="9" fontId="0" fillId="0" borderId="4" xfId="0" applyNumberFormat="1" applyBorder="1"/>
    <xf numFmtId="9" fontId="0" fillId="0" borderId="0" xfId="0" applyNumberFormat="1" applyBorder="1"/>
    <xf numFmtId="9" fontId="0" fillId="0" borderId="5" xfId="0" applyNumberFormat="1" applyBorder="1"/>
    <xf numFmtId="9" fontId="2" fillId="0" borderId="7" xfId="0" applyNumberFormat="1" applyFont="1" applyBorder="1"/>
    <xf numFmtId="3" fontId="0" fillId="0" borderId="7" xfId="0" applyNumberFormat="1" applyBorder="1"/>
    <xf numFmtId="3" fontId="0" fillId="0" borderId="8" xfId="0" applyNumberFormat="1" applyBorder="1"/>
    <xf numFmtId="3" fontId="5" fillId="0" borderId="0" xfId="0" applyNumberFormat="1" applyFont="1"/>
    <xf numFmtId="3" fontId="2" fillId="0" borderId="9" xfId="0" applyNumberFormat="1" applyFont="1" applyBorder="1"/>
    <xf numFmtId="1" fontId="0" fillId="0" borderId="0" xfId="0" applyNumberFormat="1" applyAlignment="1">
      <alignment horizontal="right"/>
    </xf>
    <xf numFmtId="4" fontId="5" fillId="0" borderId="0" xfId="0" applyNumberFormat="1" applyFont="1"/>
    <xf numFmtId="164" fontId="0" fillId="0" borderId="0" xfId="0" applyNumberFormat="1"/>
    <xf numFmtId="14" fontId="6" fillId="0" borderId="0" xfId="2" applyNumberFormat="1"/>
    <xf numFmtId="9" fontId="0" fillId="0" borderId="0" xfId="1" applyFont="1" applyBorder="1" applyAlignment="1">
      <alignment horizontal="center"/>
    </xf>
    <xf numFmtId="14" fontId="0" fillId="0" borderId="0" xfId="0" applyNumberFormat="1" applyAlignment="1">
      <alignment horizontal="left"/>
    </xf>
    <xf numFmtId="14" fontId="6" fillId="0" borderId="0" xfId="2" applyNumberFormat="1" applyAlignment="1">
      <alignment horizontal="left"/>
    </xf>
    <xf numFmtId="14" fontId="2" fillId="0" borderId="0" xfId="0" applyNumberFormat="1" applyFont="1" applyAlignment="1">
      <alignment horizontal="left"/>
    </xf>
    <xf numFmtId="3" fontId="6" fillId="0" borderId="0" xfId="2" applyNumberFormat="1"/>
    <xf numFmtId="4" fontId="2" fillId="0" borderId="0" xfId="0" applyNumberFormat="1" applyFon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15593</xdr:colOff>
      <xdr:row>0</xdr:row>
      <xdr:rowOff>5901</xdr:rowOff>
    </xdr:from>
    <xdr:to>
      <xdr:col>13</xdr:col>
      <xdr:colOff>42333</xdr:colOff>
      <xdr:row>199</xdr:row>
      <xdr:rowOff>59267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BD5F1254-550D-A0AE-92A3-1C5B2CEA404D}"/>
            </a:ext>
          </a:extLst>
        </xdr:cNvPr>
        <xdr:cNvCxnSpPr/>
      </xdr:nvCxnSpPr>
      <xdr:spPr>
        <a:xfrm>
          <a:off x="7762593" y="5901"/>
          <a:ext cx="26740" cy="34724366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23090</xdr:colOff>
      <xdr:row>0</xdr:row>
      <xdr:rowOff>0</xdr:rowOff>
    </xdr:from>
    <xdr:to>
      <xdr:col>22</xdr:col>
      <xdr:colOff>26726</xdr:colOff>
      <xdr:row>197</xdr:row>
      <xdr:rowOff>92364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B7F7239A-34CE-6D4A-8CE3-E8B3EF850C87}"/>
            </a:ext>
          </a:extLst>
        </xdr:cNvPr>
        <xdr:cNvCxnSpPr/>
      </xdr:nvCxnSpPr>
      <xdr:spPr>
        <a:xfrm flipH="1">
          <a:off x="12584545" y="0"/>
          <a:ext cx="3636" cy="34209182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mments" Target="../comments2.xml"/><Relationship Id="rId3" Type="http://schemas.openxmlformats.org/officeDocument/2006/relationships/hyperlink" Target="https://www.rbi.com/English/news/news-details/2022/Restaurant-Brands-International-Inc.-Reports-Third-Quarter-2022-Results/default.aspx" TargetMode="External"/><Relationship Id="rId7" Type="http://schemas.openxmlformats.org/officeDocument/2006/relationships/vmlDrawing" Target="../drawings/vmlDrawing2.vml"/><Relationship Id="rId2" Type="http://schemas.openxmlformats.org/officeDocument/2006/relationships/hyperlink" Target="https://www.rbi.com/English/news/news-details/2022/Restaurant-Brands-International-Inc.-Appoints-Patrick-Doyle-as-Executive-Chairman-to-Accelerate-Growth/default.aspx" TargetMode="External"/><Relationship Id="rId1" Type="http://schemas.openxmlformats.org/officeDocument/2006/relationships/hyperlink" Target="https://s26.q4cdn.com/317237604/files/doc_presentations/2022/05/May-3-Tims-Investor-Day-2022.pdf" TargetMode="External"/><Relationship Id="rId6" Type="http://schemas.openxmlformats.org/officeDocument/2006/relationships/hyperlink" Target="https://www.rbi.com/English/news/default.aspx" TargetMode="External"/><Relationship Id="rId5" Type="http://schemas.openxmlformats.org/officeDocument/2006/relationships/hyperlink" Target="https://www.cnbc.com/video/2022/09/12/restaurant-brands-ceo-jose-cil-on-400-million-investment-into-burger-king.html" TargetMode="External"/><Relationship Id="rId4" Type="http://schemas.openxmlformats.org/officeDocument/2006/relationships/hyperlink" Target="https://www.rbi.com/English/news/news-details/2022/Burger-King-Announces-Reclaim-the-Flame-Plan-to-Accelerate-Growth-in-the-U.S/default.asp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91601-4208-1841-9B01-D757F757D885}">
  <dimension ref="A2:CN201"/>
  <sheetViews>
    <sheetView tabSelected="1" zoomScale="162" zoomScaleNormal="90" workbookViewId="0">
      <pane xSplit="2" ySplit="2" topLeftCell="Q81" activePane="bottomRight" state="frozen"/>
      <selection pane="topRight" activeCell="C1" sqref="C1"/>
      <selection pane="bottomLeft" activeCell="A3" sqref="A3"/>
      <selection pane="bottomRight" activeCell="M196" sqref="B196:M197"/>
    </sheetView>
  </sheetViews>
  <sheetFormatPr baseColWidth="10" defaultRowHeight="14"/>
  <cols>
    <col min="1" max="1" width="1.83203125" style="1" bestFit="1" customWidth="1"/>
    <col min="2" max="2" width="21.83203125" style="1" bestFit="1" customWidth="1"/>
    <col min="3" max="12" width="7.6640625" style="1" bestFit="1" customWidth="1"/>
    <col min="13" max="13" width="12.1640625" style="1" bestFit="1" customWidth="1"/>
    <col min="14" max="14" width="7" style="1" bestFit="1" customWidth="1"/>
    <col min="15" max="15" width="10.83203125" style="1"/>
    <col min="16" max="18" width="7" style="1" bestFit="1" customWidth="1"/>
    <col min="19" max="19" width="7.33203125" style="1" bestFit="1" customWidth="1"/>
    <col min="20" max="21" width="7" style="1" bestFit="1" customWidth="1"/>
    <col min="22" max="26" width="7.6640625" style="1" bestFit="1" customWidth="1"/>
    <col min="27" max="32" width="7" style="1" bestFit="1" customWidth="1"/>
    <col min="33" max="34" width="6" style="1" bestFit="1" customWidth="1"/>
    <col min="35" max="35" width="8.5" style="1" bestFit="1" customWidth="1"/>
    <col min="36" max="36" width="7" style="1" bestFit="1" customWidth="1"/>
    <col min="37" max="92" width="6" style="1" bestFit="1" customWidth="1"/>
    <col min="93" max="16384" width="10.83203125" style="1"/>
  </cols>
  <sheetData>
    <row r="2" spans="2:32" s="2" customFormat="1">
      <c r="C2" s="2" t="s">
        <v>0</v>
      </c>
      <c r="D2" s="2" t="s">
        <v>1</v>
      </c>
      <c r="E2" s="2" t="s">
        <v>2</v>
      </c>
      <c r="F2" s="2" t="s">
        <v>3</v>
      </c>
      <c r="G2" s="2" t="s">
        <v>4</v>
      </c>
      <c r="H2" s="2" t="s">
        <v>5</v>
      </c>
      <c r="I2" s="2" t="s">
        <v>6</v>
      </c>
      <c r="J2" s="2" t="s">
        <v>7</v>
      </c>
      <c r="K2" s="2" t="s">
        <v>8</v>
      </c>
      <c r="L2" s="2" t="s">
        <v>9</v>
      </c>
      <c r="M2" s="2" t="s">
        <v>10</v>
      </c>
      <c r="N2" s="2" t="s">
        <v>11</v>
      </c>
      <c r="P2" s="29">
        <v>2015</v>
      </c>
      <c r="Q2" s="29">
        <f>+P2+1</f>
        <v>2016</v>
      </c>
      <c r="R2" s="29">
        <f t="shared" ref="R2:AF2" si="0">+Q2+1</f>
        <v>2017</v>
      </c>
      <c r="S2" s="29">
        <f t="shared" si="0"/>
        <v>2018</v>
      </c>
      <c r="T2" s="29">
        <f t="shared" si="0"/>
        <v>2019</v>
      </c>
      <c r="U2" s="29">
        <f t="shared" si="0"/>
        <v>2020</v>
      </c>
      <c r="V2" s="29">
        <f t="shared" si="0"/>
        <v>2021</v>
      </c>
      <c r="W2" s="29">
        <f t="shared" si="0"/>
        <v>2022</v>
      </c>
      <c r="X2" s="29">
        <f t="shared" si="0"/>
        <v>2023</v>
      </c>
      <c r="Y2" s="29">
        <f t="shared" si="0"/>
        <v>2024</v>
      </c>
      <c r="Z2" s="29">
        <f t="shared" si="0"/>
        <v>2025</v>
      </c>
      <c r="AA2" s="29">
        <f t="shared" si="0"/>
        <v>2026</v>
      </c>
      <c r="AB2" s="29">
        <f t="shared" si="0"/>
        <v>2027</v>
      </c>
      <c r="AC2" s="29">
        <f t="shared" si="0"/>
        <v>2028</v>
      </c>
      <c r="AD2" s="29">
        <f t="shared" si="0"/>
        <v>2029</v>
      </c>
      <c r="AE2" s="29">
        <f t="shared" si="0"/>
        <v>2030</v>
      </c>
      <c r="AF2" s="29">
        <f t="shared" si="0"/>
        <v>2031</v>
      </c>
    </row>
    <row r="3" spans="2:32">
      <c r="B3" s="28" t="s">
        <v>61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20"/>
    </row>
    <row r="4" spans="2:32">
      <c r="B4" s="9" t="s">
        <v>27</v>
      </c>
      <c r="C4" s="10">
        <v>465</v>
      </c>
      <c r="D4" s="10">
        <v>374</v>
      </c>
      <c r="E4" s="10">
        <v>506</v>
      </c>
      <c r="F4" s="10">
        <f>+U4-SUM(C4:E4)</f>
        <v>531</v>
      </c>
      <c r="G4" s="10">
        <v>473</v>
      </c>
      <c r="H4" s="10">
        <v>556</v>
      </c>
      <c r="I4" s="10">
        <v>592</v>
      </c>
      <c r="J4" s="10">
        <f>+V4-SUM(G4:I4)</f>
        <v>628</v>
      </c>
      <c r="K4" s="10">
        <v>566</v>
      </c>
      <c r="L4" s="10">
        <v>661</v>
      </c>
      <c r="M4" s="10">
        <v>710</v>
      </c>
      <c r="N4" s="10"/>
      <c r="O4" s="10"/>
      <c r="P4" s="10">
        <v>2074.3000000000002</v>
      </c>
      <c r="Q4" s="10">
        <v>2112</v>
      </c>
      <c r="R4" s="10">
        <v>2229</v>
      </c>
      <c r="S4" s="10">
        <v>2201</v>
      </c>
      <c r="T4" s="10">
        <v>2204</v>
      </c>
      <c r="U4" s="10">
        <v>1876</v>
      </c>
      <c r="V4" s="10">
        <v>2249</v>
      </c>
      <c r="W4" s="10"/>
      <c r="X4" s="10"/>
      <c r="Y4" s="10"/>
      <c r="Z4" s="10"/>
      <c r="AA4" s="10"/>
      <c r="AB4" s="10"/>
      <c r="AC4" s="10"/>
      <c r="AD4" s="10"/>
      <c r="AE4" s="10"/>
      <c r="AF4" s="11"/>
    </row>
    <row r="5" spans="2:32">
      <c r="B5" s="9" t="s">
        <v>54</v>
      </c>
      <c r="C5" s="10">
        <v>188</v>
      </c>
      <c r="D5" s="10">
        <v>154</v>
      </c>
      <c r="E5" s="10">
        <v>205</v>
      </c>
      <c r="F5" s="10">
        <f t="shared" ref="F5:F6" si="1">+U5-SUM(C5:E5)</f>
        <v>198</v>
      </c>
      <c r="G5" s="10">
        <v>190</v>
      </c>
      <c r="H5" s="10">
        <v>219</v>
      </c>
      <c r="I5" s="10">
        <v>230</v>
      </c>
      <c r="J5" s="10">
        <f t="shared" ref="J5:J6" si="2">+V5-SUM(G5:I5)</f>
        <v>225</v>
      </c>
      <c r="K5" s="10">
        <v>206</v>
      </c>
      <c r="L5" s="10">
        <v>238</v>
      </c>
      <c r="M5" s="10">
        <v>250</v>
      </c>
      <c r="N5" s="10"/>
      <c r="O5" s="10"/>
      <c r="P5" s="10">
        <v>882.6</v>
      </c>
      <c r="Q5" s="10">
        <v>889</v>
      </c>
      <c r="R5" s="10">
        <v>926</v>
      </c>
      <c r="S5" s="10">
        <v>1091</v>
      </c>
      <c r="T5" s="10">
        <v>908</v>
      </c>
      <c r="U5" s="10">
        <v>745</v>
      </c>
      <c r="V5" s="10">
        <v>864</v>
      </c>
      <c r="W5" s="10"/>
      <c r="X5" s="10"/>
      <c r="Y5" s="10"/>
      <c r="Z5" s="10"/>
      <c r="AA5" s="10"/>
      <c r="AB5" s="10"/>
      <c r="AC5" s="10"/>
      <c r="AD5" s="10"/>
      <c r="AE5" s="10"/>
      <c r="AF5" s="11"/>
    </row>
    <row r="6" spans="2:32">
      <c r="B6" s="9" t="s">
        <v>55</v>
      </c>
      <c r="C6" s="10">
        <v>46</v>
      </c>
      <c r="D6" s="10">
        <v>39</v>
      </c>
      <c r="E6" s="10">
        <v>51</v>
      </c>
      <c r="F6" s="10">
        <f t="shared" si="1"/>
        <v>53</v>
      </c>
      <c r="G6" s="10">
        <v>47</v>
      </c>
      <c r="H6" s="10">
        <v>56</v>
      </c>
      <c r="I6" s="10">
        <v>63</v>
      </c>
      <c r="J6" s="10">
        <f t="shared" si="2"/>
        <v>63</v>
      </c>
      <c r="K6" s="10">
        <v>57</v>
      </c>
      <c r="L6" s="10">
        <v>69</v>
      </c>
      <c r="M6" s="10">
        <v>73</v>
      </c>
      <c r="N6" s="10"/>
      <c r="O6" s="10"/>
      <c r="P6" s="10"/>
      <c r="Q6" s="10"/>
      <c r="R6" s="10"/>
      <c r="S6" s="10">
        <v>0</v>
      </c>
      <c r="T6" s="10">
        <v>232</v>
      </c>
      <c r="U6" s="10">
        <v>189</v>
      </c>
      <c r="V6" s="10">
        <v>229</v>
      </c>
      <c r="W6" s="10"/>
      <c r="X6" s="10"/>
      <c r="Y6" s="10"/>
      <c r="Z6" s="10"/>
      <c r="AA6" s="10"/>
      <c r="AB6" s="10"/>
      <c r="AC6" s="10"/>
      <c r="AD6" s="10"/>
      <c r="AE6" s="10"/>
      <c r="AF6" s="11"/>
    </row>
    <row r="7" spans="2:32" s="3" customFormat="1">
      <c r="B7" s="12" t="s">
        <v>56</v>
      </c>
      <c r="C7" s="13">
        <f t="shared" ref="C7:J7" si="3">+SUM(C4:C6)</f>
        <v>699</v>
      </c>
      <c r="D7" s="13">
        <f t="shared" si="3"/>
        <v>567</v>
      </c>
      <c r="E7" s="13">
        <f t="shared" si="3"/>
        <v>762</v>
      </c>
      <c r="F7" s="13">
        <f t="shared" si="3"/>
        <v>782</v>
      </c>
      <c r="G7" s="13">
        <f t="shared" si="3"/>
        <v>710</v>
      </c>
      <c r="H7" s="13">
        <f t="shared" si="3"/>
        <v>831</v>
      </c>
      <c r="I7" s="13">
        <f t="shared" si="3"/>
        <v>885</v>
      </c>
      <c r="J7" s="13">
        <f t="shared" si="3"/>
        <v>916</v>
      </c>
      <c r="K7" s="13">
        <f>+SUM(K4:K6)</f>
        <v>829</v>
      </c>
      <c r="L7" s="13">
        <f t="shared" ref="L7:M7" si="4">+SUM(L4:L6)</f>
        <v>968</v>
      </c>
      <c r="M7" s="13">
        <f t="shared" si="4"/>
        <v>1033</v>
      </c>
      <c r="N7" s="13"/>
      <c r="O7" s="13"/>
      <c r="P7" s="13">
        <f>+SUM(P4:P6)</f>
        <v>2956.9</v>
      </c>
      <c r="Q7" s="13">
        <f>+SUM(Q4:Q6)</f>
        <v>3001</v>
      </c>
      <c r="R7" s="13">
        <f>+SUM(R4:R6)</f>
        <v>3155</v>
      </c>
      <c r="S7" s="13">
        <f>+SUM(S4:S6)</f>
        <v>3292</v>
      </c>
      <c r="T7" s="13">
        <f>+SUM(T4:T6)</f>
        <v>3344</v>
      </c>
      <c r="U7" s="13">
        <f t="shared" ref="U7:V7" si="5">+SUM(U4:U6)</f>
        <v>2810</v>
      </c>
      <c r="V7" s="13">
        <f t="shared" si="5"/>
        <v>3342</v>
      </c>
      <c r="W7" s="13"/>
      <c r="X7" s="13"/>
      <c r="Y7" s="13"/>
      <c r="Z7" s="13"/>
      <c r="AA7" s="13"/>
      <c r="AB7" s="13"/>
      <c r="AC7" s="13"/>
      <c r="AD7" s="13"/>
      <c r="AE7" s="13"/>
      <c r="AF7" s="14"/>
    </row>
    <row r="8" spans="2:32">
      <c r="B8" s="9" t="s">
        <v>31</v>
      </c>
      <c r="C8" s="10">
        <v>366</v>
      </c>
      <c r="D8" s="10">
        <v>307</v>
      </c>
      <c r="E8" s="10">
        <v>388</v>
      </c>
      <c r="F8" s="10">
        <f>+U8-SUM(C8:E8)</f>
        <v>423</v>
      </c>
      <c r="G8" s="10">
        <v>370</v>
      </c>
      <c r="H8" s="10">
        <v>434</v>
      </c>
      <c r="I8" s="10">
        <v>462</v>
      </c>
      <c r="J8" s="10">
        <f>+V8-SUM(G8:I8)</f>
        <v>499</v>
      </c>
      <c r="K8" s="10">
        <v>453</v>
      </c>
      <c r="L8" s="10">
        <v>537</v>
      </c>
      <c r="M8" s="10">
        <v>568</v>
      </c>
      <c r="N8" s="10"/>
      <c r="O8" s="10"/>
      <c r="P8" s="10">
        <v>1728.1</v>
      </c>
      <c r="Q8" s="10">
        <v>1647</v>
      </c>
      <c r="R8" s="10">
        <v>1707</v>
      </c>
      <c r="S8" s="10">
        <v>1688</v>
      </c>
      <c r="T8" s="10">
        <v>1677</v>
      </c>
      <c r="U8" s="10">
        <v>1484</v>
      </c>
      <c r="V8" s="10">
        <v>1765</v>
      </c>
      <c r="W8" s="10"/>
      <c r="X8" s="10"/>
      <c r="Y8" s="10"/>
      <c r="Z8" s="10"/>
      <c r="AA8" s="10"/>
      <c r="AB8" s="10"/>
      <c r="AC8" s="10"/>
      <c r="AD8" s="10"/>
      <c r="AE8" s="10"/>
      <c r="AF8" s="11"/>
    </row>
    <row r="9" spans="2:32">
      <c r="B9" s="9" t="s">
        <v>32</v>
      </c>
      <c r="C9" s="10">
        <v>81</v>
      </c>
      <c r="D9" s="10">
        <v>81</v>
      </c>
      <c r="E9" s="10">
        <v>80</v>
      </c>
      <c r="F9" s="10">
        <f t="shared" ref="F9:F12" si="6">+U9-SUM(C9:E9)</f>
        <v>86</v>
      </c>
      <c r="G9" s="10">
        <v>81</v>
      </c>
      <c r="H9" s="10">
        <v>86</v>
      </c>
      <c r="I9" s="10">
        <v>84</v>
      </c>
      <c r="J9" s="10">
        <f t="shared" ref="J9:J12" si="7">+V9-SUM(G9:I9)</f>
        <v>86</v>
      </c>
      <c r="K9" s="10">
        <v>81</v>
      </c>
      <c r="L9" s="10">
        <v>84</v>
      </c>
      <c r="M9" s="10">
        <v>87</v>
      </c>
      <c r="N9" s="10"/>
      <c r="O9" s="10"/>
      <c r="P9" s="10">
        <v>360.7</v>
      </c>
      <c r="Q9" s="10">
        <v>317</v>
      </c>
      <c r="R9" s="10">
        <v>336</v>
      </c>
      <c r="S9" s="10">
        <v>279</v>
      </c>
      <c r="T9" s="10">
        <v>351</v>
      </c>
      <c r="U9" s="10">
        <v>328</v>
      </c>
      <c r="V9" s="10">
        <v>337</v>
      </c>
      <c r="W9" s="10"/>
      <c r="X9" s="10"/>
      <c r="Y9" s="10"/>
      <c r="Z9" s="10"/>
      <c r="AA9" s="10"/>
      <c r="AB9" s="10"/>
      <c r="AC9" s="10"/>
      <c r="AD9" s="10"/>
      <c r="AE9" s="10"/>
      <c r="AF9" s="11"/>
    </row>
    <row r="10" spans="2:32">
      <c r="B10" s="9" t="s">
        <v>33</v>
      </c>
      <c r="C10" s="10">
        <v>65</v>
      </c>
      <c r="D10" s="10">
        <v>43</v>
      </c>
      <c r="E10" s="10">
        <v>46</v>
      </c>
      <c r="F10" s="10">
        <f t="shared" si="6"/>
        <v>50</v>
      </c>
      <c r="G10" s="10">
        <v>62</v>
      </c>
      <c r="H10" s="10">
        <v>68</v>
      </c>
      <c r="I10" s="10">
        <v>67</v>
      </c>
      <c r="J10" s="10">
        <f t="shared" si="7"/>
        <v>80</v>
      </c>
      <c r="K10" s="10">
        <v>67</v>
      </c>
      <c r="L10" s="10">
        <v>71</v>
      </c>
      <c r="M10" s="10">
        <v>73</v>
      </c>
      <c r="N10" s="10"/>
      <c r="O10" s="10"/>
      <c r="P10" s="10">
        <v>0</v>
      </c>
      <c r="Q10" s="10">
        <v>0</v>
      </c>
      <c r="R10" s="10">
        <v>0</v>
      </c>
      <c r="S10" s="10">
        <v>314</v>
      </c>
      <c r="T10" s="10">
        <v>232</v>
      </c>
      <c r="U10" s="10">
        <v>204</v>
      </c>
      <c r="V10" s="10">
        <v>277</v>
      </c>
      <c r="W10" s="10"/>
      <c r="X10" s="10"/>
      <c r="Y10" s="10"/>
      <c r="Z10" s="10"/>
      <c r="AA10" s="10"/>
      <c r="AB10" s="10"/>
      <c r="AC10" s="10"/>
      <c r="AD10" s="10"/>
      <c r="AE10" s="10"/>
      <c r="AF10" s="11"/>
    </row>
    <row r="11" spans="2:32">
      <c r="B11" s="9" t="s">
        <v>34</v>
      </c>
      <c r="C11" s="10">
        <v>25</v>
      </c>
      <c r="D11" s="10">
        <v>20</v>
      </c>
      <c r="E11" s="10">
        <v>20</v>
      </c>
      <c r="F11" s="10">
        <f t="shared" si="6"/>
        <v>28</v>
      </c>
      <c r="G11" s="10">
        <v>24</v>
      </c>
      <c r="H11" s="10">
        <v>26</v>
      </c>
      <c r="I11" s="10">
        <v>27</v>
      </c>
      <c r="J11" s="10">
        <f t="shared" si="7"/>
        <v>33</v>
      </c>
      <c r="K11" s="10">
        <v>29</v>
      </c>
      <c r="L11" s="10">
        <v>32</v>
      </c>
      <c r="M11" s="10">
        <v>31</v>
      </c>
      <c r="N11" s="10"/>
      <c r="O11" s="10"/>
      <c r="P11" s="10">
        <v>93.2</v>
      </c>
      <c r="Q11" s="10">
        <v>79</v>
      </c>
      <c r="R11" s="10">
        <v>91</v>
      </c>
      <c r="S11" s="10">
        <v>102</v>
      </c>
      <c r="T11" s="10">
        <v>84</v>
      </c>
      <c r="U11" s="10">
        <v>93</v>
      </c>
      <c r="V11" s="10">
        <v>110</v>
      </c>
      <c r="W11" s="10"/>
      <c r="X11" s="10"/>
      <c r="Y11" s="10"/>
      <c r="Z11" s="10"/>
      <c r="AA11" s="10"/>
      <c r="AB11" s="10"/>
      <c r="AC11" s="10"/>
      <c r="AD11" s="10"/>
      <c r="AE11" s="10"/>
      <c r="AF11" s="11"/>
    </row>
    <row r="12" spans="2:32">
      <c r="B12" s="9" t="s">
        <v>59</v>
      </c>
      <c r="C12" s="10">
        <v>26</v>
      </c>
      <c r="D12" s="10">
        <v>28</v>
      </c>
      <c r="E12" s="10">
        <v>28</v>
      </c>
      <c r="F12" s="10">
        <f t="shared" si="6"/>
        <v>31</v>
      </c>
      <c r="G12" s="10">
        <v>31</v>
      </c>
      <c r="H12" s="10">
        <v>32</v>
      </c>
      <c r="I12" s="10">
        <v>31</v>
      </c>
      <c r="J12" s="10">
        <f t="shared" si="7"/>
        <v>32</v>
      </c>
      <c r="K12" s="10">
        <v>29</v>
      </c>
      <c r="L12" s="10">
        <v>28</v>
      </c>
      <c r="M12" s="10">
        <v>26</v>
      </c>
      <c r="N12" s="10"/>
      <c r="O12" s="10"/>
      <c r="P12" s="10">
        <v>117.7</v>
      </c>
      <c r="Q12" s="10">
        <v>102</v>
      </c>
      <c r="R12" s="10">
        <v>103</v>
      </c>
      <c r="S12" s="10">
        <v>1127</v>
      </c>
      <c r="T12" s="10">
        <v>106</v>
      </c>
      <c r="U12" s="10">
        <v>113</v>
      </c>
      <c r="V12" s="10">
        <v>126</v>
      </c>
      <c r="W12" s="10"/>
      <c r="X12" s="10"/>
      <c r="Y12" s="10"/>
      <c r="Z12" s="10"/>
      <c r="AA12" s="10"/>
      <c r="AB12" s="10"/>
      <c r="AC12" s="10"/>
      <c r="AD12" s="10"/>
      <c r="AE12" s="10"/>
      <c r="AF12" s="11"/>
    </row>
    <row r="13" spans="2:32" s="3" customFormat="1">
      <c r="B13" s="12" t="s">
        <v>57</v>
      </c>
      <c r="C13" s="13">
        <f>+C7-SUM(C8:C11)+C12+2</f>
        <v>190</v>
      </c>
      <c r="D13" s="13">
        <f>+D7-SUM(D8:D11)+D12+2</f>
        <v>146</v>
      </c>
      <c r="E13" s="13">
        <f>+E7-SUM(E8:E11)+E12+2</f>
        <v>258</v>
      </c>
      <c r="F13" s="13">
        <f>+F7-SUM(F8:F11)</f>
        <v>195</v>
      </c>
      <c r="G13" s="13">
        <f>+G7-SUM(G8:G11)+G12+3</f>
        <v>207</v>
      </c>
      <c r="H13" s="13">
        <f>+H7-SUM(H8:H11)+H12+3</f>
        <v>252</v>
      </c>
      <c r="I13" s="13">
        <f>+I7-SUM(I8:I11)+I12+3</f>
        <v>279</v>
      </c>
      <c r="J13" s="13">
        <f>+J7-SUM(J8:J11)</f>
        <v>218</v>
      </c>
      <c r="K13" s="13">
        <f>+K7-SUM(K8:K11)+K12+3</f>
        <v>231</v>
      </c>
      <c r="L13" s="13">
        <f>+L7-SUM(L8:L11)+L12+3</f>
        <v>275</v>
      </c>
      <c r="M13" s="13">
        <f>M7-SUM(M8:M11)+M12+5</f>
        <v>305</v>
      </c>
      <c r="N13" s="13"/>
      <c r="O13" s="13"/>
      <c r="P13" s="13">
        <f>+P7-SUM(P8:P11)+P12+13.6+0.5</f>
        <v>906.70000000000061</v>
      </c>
      <c r="Q13" s="13">
        <f>+Q7-SUM(Q8:Q11)+Q12+12</f>
        <v>1072</v>
      </c>
      <c r="R13" s="13">
        <f>+R7-SUM(R8:R11)+R12+13</f>
        <v>1137</v>
      </c>
      <c r="S13" s="13">
        <f>+S7-SUM(S8:S11)+S12+15</f>
        <v>2051</v>
      </c>
      <c r="T13" s="13">
        <f>+T7-SUM(T8:T11)+T12+3</f>
        <v>1109</v>
      </c>
      <c r="U13" s="13">
        <f t="shared" ref="U13:V13" si="8">+U7-SUM(U8:U11)+U12+3</f>
        <v>817</v>
      </c>
      <c r="V13" s="13">
        <f t="shared" si="8"/>
        <v>982</v>
      </c>
      <c r="W13" s="13"/>
      <c r="X13" s="13"/>
      <c r="Y13" s="13"/>
      <c r="Z13" s="13"/>
      <c r="AA13" s="13"/>
      <c r="AB13" s="13"/>
      <c r="AC13" s="13"/>
      <c r="AD13" s="13"/>
      <c r="AE13" s="13"/>
      <c r="AF13" s="14"/>
    </row>
    <row r="14" spans="2:32">
      <c r="B14" s="9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1"/>
    </row>
    <row r="15" spans="2:32" s="5" customFormat="1">
      <c r="B15" s="21" t="s">
        <v>67</v>
      </c>
      <c r="C15" s="22">
        <f t="shared" ref="C15:I15" si="9">+(C4-C8)/C4</f>
        <v>0.2129032258064516</v>
      </c>
      <c r="D15" s="22">
        <f t="shared" si="9"/>
        <v>0.17914438502673796</v>
      </c>
      <c r="E15" s="22">
        <f t="shared" si="9"/>
        <v>0.233201581027668</v>
      </c>
      <c r="F15" s="22">
        <f t="shared" si="9"/>
        <v>0.20338983050847459</v>
      </c>
      <c r="G15" s="22">
        <f t="shared" si="9"/>
        <v>0.21775898520084566</v>
      </c>
      <c r="H15" s="22">
        <f t="shared" si="9"/>
        <v>0.21942446043165467</v>
      </c>
      <c r="I15" s="22">
        <f t="shared" si="9"/>
        <v>0.2195945945945946</v>
      </c>
      <c r="J15" s="22">
        <f t="shared" ref="J15:M17" si="10">+(J4-J8)/J4</f>
        <v>0.20541401273885351</v>
      </c>
      <c r="K15" s="22">
        <f t="shared" si="10"/>
        <v>0.19964664310954064</v>
      </c>
      <c r="L15" s="22">
        <f t="shared" si="10"/>
        <v>0.1875945537065053</v>
      </c>
      <c r="M15" s="22">
        <f t="shared" si="10"/>
        <v>0.2</v>
      </c>
      <c r="N15" s="22"/>
      <c r="O15" s="22"/>
      <c r="P15" s="22">
        <f t="shared" ref="P15:Q15" si="11">+(P4-P8)/P4</f>
        <v>0.16689967699946981</v>
      </c>
      <c r="Q15" s="22">
        <f t="shared" si="11"/>
        <v>0.22017045454545456</v>
      </c>
      <c r="R15" s="22">
        <f t="shared" ref="R15:T16" si="12">+(R4-R8)/R4</f>
        <v>0.23418573351278602</v>
      </c>
      <c r="S15" s="22">
        <f t="shared" si="12"/>
        <v>0.23307587460245344</v>
      </c>
      <c r="T15" s="22">
        <f t="shared" si="12"/>
        <v>0.23911070780399274</v>
      </c>
      <c r="U15" s="22">
        <f t="shared" ref="U15:V15" si="13">+(U4-U8)/U4</f>
        <v>0.20895522388059701</v>
      </c>
      <c r="V15" s="22">
        <f t="shared" si="13"/>
        <v>0.21520675855935972</v>
      </c>
      <c r="W15" s="22"/>
      <c r="X15" s="22"/>
      <c r="Y15" s="22"/>
      <c r="Z15" s="22"/>
      <c r="AA15" s="22"/>
      <c r="AB15" s="22"/>
      <c r="AC15" s="22"/>
      <c r="AD15" s="22"/>
      <c r="AE15" s="22"/>
      <c r="AF15" s="23"/>
    </row>
    <row r="16" spans="2:32">
      <c r="B16" s="9" t="s">
        <v>68</v>
      </c>
      <c r="C16" s="22">
        <f t="shared" ref="C16:I16" si="14">+(C5-C9)/C5</f>
        <v>0.56914893617021278</v>
      </c>
      <c r="D16" s="22">
        <f t="shared" si="14"/>
        <v>0.47402597402597402</v>
      </c>
      <c r="E16" s="22">
        <f t="shared" si="14"/>
        <v>0.6097560975609756</v>
      </c>
      <c r="F16" s="22">
        <f t="shared" si="14"/>
        <v>0.56565656565656564</v>
      </c>
      <c r="G16" s="22">
        <f t="shared" si="14"/>
        <v>0.5736842105263158</v>
      </c>
      <c r="H16" s="22">
        <f t="shared" si="14"/>
        <v>0.60730593607305938</v>
      </c>
      <c r="I16" s="22">
        <f t="shared" si="14"/>
        <v>0.63478260869565217</v>
      </c>
      <c r="J16" s="22">
        <f t="shared" si="10"/>
        <v>0.61777777777777776</v>
      </c>
      <c r="K16" s="22">
        <f t="shared" si="10"/>
        <v>0.60679611650485432</v>
      </c>
      <c r="L16" s="22">
        <f t="shared" si="10"/>
        <v>0.6470588235294118</v>
      </c>
      <c r="M16" s="22">
        <f t="shared" si="10"/>
        <v>0.65200000000000002</v>
      </c>
      <c r="N16" s="10"/>
      <c r="O16" s="10"/>
      <c r="P16" s="22">
        <f t="shared" ref="P16:Q16" si="15">+(P5-P9)/P5</f>
        <v>0.59132109675957412</v>
      </c>
      <c r="Q16" s="22">
        <f t="shared" si="15"/>
        <v>0.64341957255343085</v>
      </c>
      <c r="R16" s="22">
        <f t="shared" si="12"/>
        <v>0.63714902807775375</v>
      </c>
      <c r="S16" s="22">
        <f t="shared" si="12"/>
        <v>0.74427131072410635</v>
      </c>
      <c r="T16" s="22">
        <f t="shared" si="12"/>
        <v>0.61343612334801767</v>
      </c>
      <c r="U16" s="22">
        <f t="shared" ref="U16:V16" si="16">+(U5-U9)/U5</f>
        <v>0.55973154362416111</v>
      </c>
      <c r="V16" s="22">
        <f t="shared" si="16"/>
        <v>0.60995370370370372</v>
      </c>
      <c r="W16" s="10"/>
      <c r="X16" s="10"/>
      <c r="Y16" s="10"/>
      <c r="Z16" s="10"/>
      <c r="AA16" s="10"/>
      <c r="AB16" s="10"/>
      <c r="AC16" s="10"/>
      <c r="AD16" s="10"/>
      <c r="AE16" s="10"/>
      <c r="AF16" s="11"/>
    </row>
    <row r="17" spans="2:32">
      <c r="B17" s="9" t="s">
        <v>69</v>
      </c>
      <c r="C17" s="22">
        <f t="shared" ref="C17:I17" si="17">+(C6-C10)/C6</f>
        <v>-0.41304347826086957</v>
      </c>
      <c r="D17" s="22">
        <f t="shared" si="17"/>
        <v>-0.10256410256410256</v>
      </c>
      <c r="E17" s="22">
        <f t="shared" si="17"/>
        <v>9.8039215686274508E-2</v>
      </c>
      <c r="F17" s="22">
        <f t="shared" si="17"/>
        <v>5.6603773584905662E-2</v>
      </c>
      <c r="G17" s="22">
        <f t="shared" si="17"/>
        <v>-0.31914893617021278</v>
      </c>
      <c r="H17" s="22">
        <f t="shared" si="17"/>
        <v>-0.21428571428571427</v>
      </c>
      <c r="I17" s="22">
        <f t="shared" si="17"/>
        <v>-6.3492063492063489E-2</v>
      </c>
      <c r="J17" s="22">
        <f t="shared" si="10"/>
        <v>-0.26984126984126983</v>
      </c>
      <c r="K17" s="22">
        <f t="shared" si="10"/>
        <v>-0.17543859649122806</v>
      </c>
      <c r="L17" s="22">
        <f t="shared" si="10"/>
        <v>-2.8985507246376812E-2</v>
      </c>
      <c r="M17" s="22">
        <f t="shared" si="10"/>
        <v>0</v>
      </c>
      <c r="N17" s="10"/>
      <c r="O17" s="10"/>
      <c r="P17" s="10"/>
      <c r="Q17" s="10"/>
      <c r="R17" s="22"/>
      <c r="S17" s="22"/>
      <c r="T17" s="22">
        <f>+(T6-T10)/T6</f>
        <v>0</v>
      </c>
      <c r="U17" s="22">
        <f t="shared" ref="U17:V17" si="18">+(U6-U10)/U6</f>
        <v>-7.9365079365079361E-2</v>
      </c>
      <c r="V17" s="22">
        <f t="shared" si="18"/>
        <v>-0.20960698689956331</v>
      </c>
      <c r="W17" s="10"/>
      <c r="X17" s="10"/>
      <c r="Y17" s="10"/>
      <c r="Z17" s="10"/>
      <c r="AA17" s="10"/>
      <c r="AB17" s="10"/>
      <c r="AC17" s="10"/>
      <c r="AD17" s="10"/>
      <c r="AE17" s="10"/>
      <c r="AF17" s="11"/>
    </row>
    <row r="18" spans="2:32" s="3" customFormat="1">
      <c r="B18" s="15" t="s">
        <v>60</v>
      </c>
      <c r="C18" s="24">
        <f t="shared" ref="C18:I18" si="19">+C13/C7</f>
        <v>0.27181688125894132</v>
      </c>
      <c r="D18" s="24">
        <f t="shared" si="19"/>
        <v>0.25749559082892415</v>
      </c>
      <c r="E18" s="24">
        <f t="shared" si="19"/>
        <v>0.33858267716535434</v>
      </c>
      <c r="F18" s="24">
        <f t="shared" si="19"/>
        <v>0.24936061381074168</v>
      </c>
      <c r="G18" s="24">
        <f t="shared" si="19"/>
        <v>0.29154929577464789</v>
      </c>
      <c r="H18" s="24">
        <f t="shared" si="19"/>
        <v>0.30324909747292417</v>
      </c>
      <c r="I18" s="24">
        <f t="shared" si="19"/>
        <v>0.31525423728813562</v>
      </c>
      <c r="J18" s="24">
        <f>+J13/J7</f>
        <v>0.23799126637554585</v>
      </c>
      <c r="K18" s="24">
        <f>+K13/K7</f>
        <v>0.27864897466827504</v>
      </c>
      <c r="L18" s="24">
        <f>+L13/L7</f>
        <v>0.28409090909090912</v>
      </c>
      <c r="M18" s="24">
        <f>+M13/M7</f>
        <v>0.29525653436592447</v>
      </c>
      <c r="N18" s="16"/>
      <c r="O18" s="16"/>
      <c r="P18" s="24">
        <f t="shared" ref="P18:Q18" si="20">+P13/P7</f>
        <v>0.30663870945923116</v>
      </c>
      <c r="Q18" s="24">
        <f t="shared" si="20"/>
        <v>0.35721426191269579</v>
      </c>
      <c r="R18" s="24">
        <f>+R13/R7</f>
        <v>0.36038034865293184</v>
      </c>
      <c r="S18" s="24">
        <f>+S13/S7</f>
        <v>0.6230255164034022</v>
      </c>
      <c r="T18" s="24">
        <f>+T13/T7</f>
        <v>0.33163875598086123</v>
      </c>
      <c r="U18" s="24">
        <f t="shared" ref="U18:V18" si="21">+U13/U7</f>
        <v>0.29074733096085409</v>
      </c>
      <c r="V18" s="24">
        <f t="shared" si="21"/>
        <v>0.29383602633153799</v>
      </c>
      <c r="W18" s="16"/>
      <c r="X18" s="16"/>
      <c r="Y18" s="16"/>
      <c r="Z18" s="16"/>
      <c r="AA18" s="16"/>
      <c r="AB18" s="16"/>
      <c r="AC18" s="16"/>
      <c r="AD18" s="16"/>
      <c r="AE18" s="16"/>
      <c r="AF18" s="17"/>
    </row>
    <row r="20" spans="2:32">
      <c r="B20" s="18" t="s">
        <v>62</v>
      </c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8"/>
    </row>
    <row r="21" spans="2:32">
      <c r="B21" s="9" t="s">
        <v>27</v>
      </c>
      <c r="C21" s="10">
        <v>17</v>
      </c>
      <c r="D21" s="10">
        <v>15</v>
      </c>
      <c r="E21" s="10">
        <v>17</v>
      </c>
      <c r="F21" s="10">
        <f>+U21-SUM(C21:E21)</f>
        <v>15</v>
      </c>
      <c r="G21" s="10">
        <v>16</v>
      </c>
      <c r="H21" s="10">
        <v>17</v>
      </c>
      <c r="I21" s="10">
        <v>16</v>
      </c>
      <c r="J21" s="10">
        <f>+V21-SUM(G21:I21)</f>
        <v>15</v>
      </c>
      <c r="K21" s="10">
        <v>16</v>
      </c>
      <c r="L21" s="10">
        <v>17</v>
      </c>
      <c r="M21" s="10">
        <v>19</v>
      </c>
      <c r="N21" s="10"/>
      <c r="O21" s="10"/>
      <c r="P21" s="10">
        <v>94.7</v>
      </c>
      <c r="Q21" s="10">
        <v>93</v>
      </c>
      <c r="R21" s="10">
        <v>94</v>
      </c>
      <c r="S21" s="10">
        <v>75</v>
      </c>
      <c r="T21" s="10">
        <v>76</v>
      </c>
      <c r="U21" s="10">
        <v>64</v>
      </c>
      <c r="V21" s="10">
        <v>64</v>
      </c>
      <c r="W21" s="10"/>
      <c r="X21" s="10"/>
      <c r="Y21" s="10"/>
      <c r="Z21" s="10"/>
      <c r="AA21" s="10"/>
      <c r="AB21" s="10"/>
      <c r="AC21" s="10"/>
      <c r="AD21" s="10"/>
      <c r="AE21" s="10"/>
      <c r="AF21" s="11"/>
    </row>
    <row r="22" spans="2:32">
      <c r="B22" s="9" t="s">
        <v>54</v>
      </c>
      <c r="C22" s="10">
        <v>273</v>
      </c>
      <c r="D22" s="10">
        <v>233</v>
      </c>
      <c r="E22" s="10">
        <v>305</v>
      </c>
      <c r="F22" s="10">
        <f t="shared" ref="F22:F23" si="22">+U22-SUM(C22:E22)</f>
        <v>302</v>
      </c>
      <c r="G22" s="10">
        <v>289</v>
      </c>
      <c r="H22" s="10">
        <v>324</v>
      </c>
      <c r="I22" s="10">
        <v>337</v>
      </c>
      <c r="J22" s="10">
        <f t="shared" ref="J22:J23" si="23">+V22-SUM(G22:I22)</f>
        <v>351</v>
      </c>
      <c r="K22" s="10">
        <v>318</v>
      </c>
      <c r="L22" s="10">
        <v>335</v>
      </c>
      <c r="M22" s="10">
        <v>349</v>
      </c>
      <c r="N22" s="10"/>
      <c r="O22" s="10"/>
      <c r="P22" s="10">
        <v>1000.6</v>
      </c>
      <c r="Q22" s="10">
        <v>1052</v>
      </c>
      <c r="R22" s="10">
        <v>1125</v>
      </c>
      <c r="S22" s="10">
        <v>1576</v>
      </c>
      <c r="T22" s="10">
        <v>1249</v>
      </c>
      <c r="U22" s="10">
        <v>1113</v>
      </c>
      <c r="V22" s="10">
        <v>1301</v>
      </c>
      <c r="W22" s="10"/>
      <c r="X22" s="10"/>
      <c r="Y22" s="10"/>
      <c r="Z22" s="10"/>
      <c r="AA22" s="10"/>
      <c r="AB22" s="10"/>
      <c r="AC22" s="10"/>
      <c r="AD22" s="10"/>
      <c r="AE22" s="10"/>
      <c r="AF22" s="11"/>
    </row>
    <row r="23" spans="2:32">
      <c r="B23" s="9" t="s">
        <v>55</v>
      </c>
      <c r="C23" s="10">
        <v>98</v>
      </c>
      <c r="D23" s="10">
        <v>99</v>
      </c>
      <c r="E23" s="10">
        <v>111</v>
      </c>
      <c r="F23" s="10">
        <f t="shared" si="22"/>
        <v>117</v>
      </c>
      <c r="G23" s="10">
        <v>102</v>
      </c>
      <c r="H23" s="10">
        <v>118</v>
      </c>
      <c r="I23" s="10">
        <v>114</v>
      </c>
      <c r="J23" s="10">
        <f t="shared" si="23"/>
        <v>114</v>
      </c>
      <c r="K23" s="10">
        <v>109</v>
      </c>
      <c r="L23" s="10">
        <v>121</v>
      </c>
      <c r="M23" s="10">
        <v>123</v>
      </c>
      <c r="N23" s="10"/>
      <c r="O23" s="10"/>
      <c r="P23" s="10"/>
      <c r="Q23" s="10"/>
      <c r="R23" s="10"/>
      <c r="S23" s="10">
        <v>0</v>
      </c>
      <c r="T23" s="10">
        <v>452</v>
      </c>
      <c r="U23" s="1">
        <v>425</v>
      </c>
      <c r="V23" s="10">
        <v>448</v>
      </c>
      <c r="W23" s="10"/>
      <c r="X23" s="10"/>
      <c r="Y23" s="10"/>
      <c r="Z23" s="10"/>
      <c r="AA23" s="10"/>
      <c r="AB23" s="10"/>
      <c r="AC23" s="10"/>
      <c r="AD23" s="10"/>
      <c r="AE23" s="10"/>
      <c r="AF23" s="11"/>
    </row>
    <row r="24" spans="2:32">
      <c r="B24" s="12" t="s">
        <v>58</v>
      </c>
      <c r="C24" s="13">
        <f t="shared" ref="C24:M24" si="24">+SUM(C21:C23)</f>
        <v>388</v>
      </c>
      <c r="D24" s="13">
        <f t="shared" si="24"/>
        <v>347</v>
      </c>
      <c r="E24" s="13">
        <f t="shared" si="24"/>
        <v>433</v>
      </c>
      <c r="F24" s="13">
        <f t="shared" si="24"/>
        <v>434</v>
      </c>
      <c r="G24" s="13">
        <f t="shared" si="24"/>
        <v>407</v>
      </c>
      <c r="H24" s="13">
        <f t="shared" si="24"/>
        <v>459</v>
      </c>
      <c r="I24" s="13">
        <f t="shared" si="24"/>
        <v>467</v>
      </c>
      <c r="J24" s="13">
        <f t="shared" si="24"/>
        <v>480</v>
      </c>
      <c r="K24" s="13">
        <f t="shared" si="24"/>
        <v>443</v>
      </c>
      <c r="L24" s="13">
        <f t="shared" si="24"/>
        <v>473</v>
      </c>
      <c r="M24" s="13">
        <f t="shared" si="24"/>
        <v>491</v>
      </c>
      <c r="N24" s="10"/>
      <c r="O24" s="10"/>
      <c r="P24" s="13">
        <f t="shared" ref="P24:R24" si="25">+SUM(P21:P23)</f>
        <v>1095.3</v>
      </c>
      <c r="Q24" s="13">
        <f t="shared" si="25"/>
        <v>1145</v>
      </c>
      <c r="R24" s="13">
        <f t="shared" si="25"/>
        <v>1219</v>
      </c>
      <c r="S24" s="13">
        <f>+SUM(S21:S23)</f>
        <v>1651</v>
      </c>
      <c r="T24" s="13">
        <f>+SUM(T21:T23)</f>
        <v>1777</v>
      </c>
      <c r="U24" s="13">
        <f t="shared" ref="U24:V24" si="26">+SUM(U21:U23)</f>
        <v>1602</v>
      </c>
      <c r="V24" s="13">
        <f t="shared" si="26"/>
        <v>1813</v>
      </c>
      <c r="W24" s="10"/>
      <c r="X24" s="10"/>
      <c r="Y24" s="10"/>
      <c r="Z24" s="10"/>
      <c r="AA24" s="10"/>
      <c r="AB24" s="10"/>
      <c r="AC24" s="10"/>
      <c r="AD24" s="10"/>
      <c r="AE24" s="10"/>
      <c r="AF24" s="11"/>
    </row>
    <row r="25" spans="2:32">
      <c r="B25" s="9" t="s">
        <v>31</v>
      </c>
      <c r="C25" s="10">
        <v>17</v>
      </c>
      <c r="D25" s="10">
        <v>16</v>
      </c>
      <c r="E25" s="10">
        <v>16</v>
      </c>
      <c r="F25" s="10">
        <f>+U25-SUM(C25:E25)</f>
        <v>16</v>
      </c>
      <c r="G25" s="10">
        <v>16</v>
      </c>
      <c r="H25" s="10">
        <v>17</v>
      </c>
      <c r="I25" s="10">
        <v>16</v>
      </c>
      <c r="J25" s="10">
        <f>+V25-SUM(G25:I25)</f>
        <v>17</v>
      </c>
      <c r="K25" s="10">
        <v>17</v>
      </c>
      <c r="L25" s="10">
        <v>19</v>
      </c>
      <c r="M25" s="10">
        <v>19</v>
      </c>
      <c r="N25" s="10"/>
      <c r="O25" s="10"/>
      <c r="P25" s="10">
        <v>81.400000000000006</v>
      </c>
      <c r="Q25" s="10">
        <v>79.900000000000006</v>
      </c>
      <c r="R25" s="10">
        <v>85.8</v>
      </c>
      <c r="S25" s="10">
        <v>67</v>
      </c>
      <c r="T25" s="1">
        <v>71</v>
      </c>
      <c r="U25" s="1">
        <v>65</v>
      </c>
      <c r="V25" s="1">
        <v>66</v>
      </c>
      <c r="W25" s="10"/>
      <c r="X25" s="10"/>
      <c r="Y25" s="10"/>
      <c r="Z25" s="10"/>
      <c r="AA25" s="10"/>
      <c r="AB25" s="10"/>
      <c r="AC25" s="10"/>
      <c r="AD25" s="10"/>
      <c r="AE25" s="10"/>
      <c r="AF25" s="11"/>
    </row>
    <row r="26" spans="2:32">
      <c r="B26" s="9" t="s">
        <v>32</v>
      </c>
      <c r="C26" s="10">
        <v>39</v>
      </c>
      <c r="D26" s="10">
        <v>48</v>
      </c>
      <c r="E26" s="10">
        <v>42</v>
      </c>
      <c r="F26" s="10">
        <f t="shared" ref="F26:F29" si="27">+U26-SUM(C26:E26)</f>
        <v>47</v>
      </c>
      <c r="G26" s="10">
        <v>33</v>
      </c>
      <c r="H26" s="10">
        <v>33</v>
      </c>
      <c r="I26" s="10">
        <v>34</v>
      </c>
      <c r="J26" s="10">
        <f t="shared" ref="J26:J29" si="28">+V26-SUM(G26:I26)</f>
        <v>42</v>
      </c>
      <c r="K26" s="10">
        <v>45</v>
      </c>
      <c r="L26" s="10">
        <v>34</v>
      </c>
      <c r="M26" s="10">
        <v>46</v>
      </c>
      <c r="N26" s="10"/>
      <c r="O26" s="10"/>
      <c r="P26" s="10">
        <v>142.5</v>
      </c>
      <c r="Q26" s="10">
        <v>137</v>
      </c>
      <c r="R26" s="10">
        <v>134.69999999999999</v>
      </c>
      <c r="S26" s="10">
        <v>131</v>
      </c>
      <c r="T26" s="10">
        <v>168</v>
      </c>
      <c r="U26" s="10">
        <v>176</v>
      </c>
      <c r="V26" s="10">
        <v>142</v>
      </c>
      <c r="W26" s="10"/>
      <c r="X26" s="10"/>
      <c r="Y26" s="10"/>
      <c r="Z26" s="10"/>
      <c r="AA26" s="10"/>
      <c r="AB26" s="10"/>
      <c r="AC26" s="10"/>
      <c r="AD26" s="10"/>
      <c r="AE26" s="10"/>
      <c r="AF26" s="11"/>
    </row>
    <row r="27" spans="2:32">
      <c r="B27" s="9" t="s">
        <v>33</v>
      </c>
      <c r="C27" s="10">
        <v>108</v>
      </c>
      <c r="D27" s="10">
        <v>105</v>
      </c>
      <c r="E27" s="10">
        <v>105</v>
      </c>
      <c r="F27" s="10">
        <f t="shared" si="27"/>
        <v>124</v>
      </c>
      <c r="G27" s="10">
        <v>117</v>
      </c>
      <c r="H27" s="10">
        <v>110</v>
      </c>
      <c r="I27" s="10">
        <v>110</v>
      </c>
      <c r="J27" s="10">
        <f t="shared" si="28"/>
        <v>113</v>
      </c>
      <c r="K27" s="10">
        <v>119</v>
      </c>
      <c r="L27" s="10">
        <v>123</v>
      </c>
      <c r="M27" s="10">
        <v>130</v>
      </c>
      <c r="N27" s="10"/>
      <c r="O27" s="10"/>
      <c r="P27" s="10">
        <v>0</v>
      </c>
      <c r="Q27" s="10">
        <v>0</v>
      </c>
      <c r="R27" s="10">
        <v>0</v>
      </c>
      <c r="S27" s="10">
        <v>577</v>
      </c>
      <c r="T27" s="10">
        <v>454</v>
      </c>
      <c r="U27" s="10">
        <v>442</v>
      </c>
      <c r="V27" s="10">
        <v>450</v>
      </c>
      <c r="W27" s="10"/>
      <c r="X27" s="10"/>
      <c r="Y27" s="10"/>
      <c r="Z27" s="10"/>
      <c r="AA27" s="10"/>
      <c r="AB27" s="10"/>
      <c r="AC27" s="10"/>
      <c r="AD27" s="10"/>
      <c r="AE27" s="10"/>
      <c r="AF27" s="11"/>
    </row>
    <row r="28" spans="2:32">
      <c r="B28" s="9" t="s">
        <v>34</v>
      </c>
      <c r="C28" s="10">
        <v>37</v>
      </c>
      <c r="D28" s="10">
        <v>30</v>
      </c>
      <c r="E28" s="10">
        <v>37</v>
      </c>
      <c r="F28" s="10">
        <f t="shared" si="27"/>
        <v>42</v>
      </c>
      <c r="G28" s="10">
        <v>36</v>
      </c>
      <c r="H28" s="10">
        <v>45</v>
      </c>
      <c r="I28" s="10">
        <v>47</v>
      </c>
      <c r="J28" s="10">
        <f t="shared" si="28"/>
        <v>57</v>
      </c>
      <c r="K28" s="10">
        <v>45</v>
      </c>
      <c r="L28" s="10">
        <v>40</v>
      </c>
      <c r="M28" s="10">
        <v>45</v>
      </c>
      <c r="N28" s="10"/>
      <c r="O28" s="10"/>
      <c r="P28" s="10">
        <v>159</v>
      </c>
      <c r="Q28" s="10">
        <v>159.6</v>
      </c>
      <c r="R28" s="10">
        <v>142.9</v>
      </c>
      <c r="S28" s="10">
        <v>48</v>
      </c>
      <c r="T28" s="10">
        <v>146</v>
      </c>
      <c r="U28" s="10">
        <v>146</v>
      </c>
      <c r="V28" s="10">
        <v>185</v>
      </c>
      <c r="W28" s="10"/>
      <c r="X28" s="10"/>
      <c r="Y28" s="10"/>
      <c r="Z28" s="10"/>
      <c r="AA28" s="10"/>
      <c r="AB28" s="10"/>
      <c r="AC28" s="10"/>
      <c r="AD28" s="10"/>
      <c r="AE28" s="10"/>
      <c r="AF28" s="11"/>
    </row>
    <row r="29" spans="2:32">
      <c r="B29" s="9" t="s">
        <v>59</v>
      </c>
      <c r="C29" s="10">
        <v>12</v>
      </c>
      <c r="D29" s="10">
        <v>12</v>
      </c>
      <c r="E29" s="10">
        <v>13</v>
      </c>
      <c r="F29" s="10">
        <f t="shared" si="27"/>
        <v>12</v>
      </c>
      <c r="G29" s="10">
        <v>12</v>
      </c>
      <c r="H29" s="10">
        <v>12</v>
      </c>
      <c r="I29" s="10">
        <v>12</v>
      </c>
      <c r="J29" s="10">
        <f t="shared" si="28"/>
        <v>12</v>
      </c>
      <c r="K29" s="10">
        <v>12</v>
      </c>
      <c r="L29" s="10">
        <v>12</v>
      </c>
      <c r="M29" s="10">
        <v>11</v>
      </c>
      <c r="N29" s="10"/>
      <c r="O29" s="10"/>
      <c r="P29" s="10">
        <v>47.1</v>
      </c>
      <c r="Q29" s="10">
        <v>48</v>
      </c>
      <c r="R29" s="10">
        <v>46.5</v>
      </c>
      <c r="S29" s="10">
        <v>928</v>
      </c>
      <c r="T29" s="10">
        <v>49</v>
      </c>
      <c r="U29" s="10">
        <v>49</v>
      </c>
      <c r="V29" s="10">
        <v>48</v>
      </c>
      <c r="W29" s="10"/>
      <c r="X29" s="10"/>
      <c r="Y29" s="10"/>
      <c r="Z29" s="10"/>
      <c r="AA29" s="10"/>
      <c r="AB29" s="10"/>
      <c r="AC29" s="10"/>
      <c r="AD29" s="10"/>
      <c r="AE29" s="10"/>
      <c r="AF29" s="11"/>
    </row>
    <row r="30" spans="2:32" s="3" customFormat="1">
      <c r="B30" s="12" t="s">
        <v>65</v>
      </c>
      <c r="C30" s="13">
        <f t="shared" ref="C30:M30" si="29">+C24-SUM(C25:C28)+C29</f>
        <v>199</v>
      </c>
      <c r="D30" s="13">
        <f t="shared" si="29"/>
        <v>160</v>
      </c>
      <c r="E30" s="13">
        <f t="shared" si="29"/>
        <v>246</v>
      </c>
      <c r="F30" s="13">
        <f t="shared" si="29"/>
        <v>217</v>
      </c>
      <c r="G30" s="13">
        <f t="shared" si="29"/>
        <v>217</v>
      </c>
      <c r="H30" s="13">
        <f t="shared" si="29"/>
        <v>266</v>
      </c>
      <c r="I30" s="13">
        <f t="shared" si="29"/>
        <v>272</v>
      </c>
      <c r="J30" s="13">
        <f t="shared" si="29"/>
        <v>263</v>
      </c>
      <c r="K30" s="13">
        <f t="shared" si="29"/>
        <v>229</v>
      </c>
      <c r="L30" s="13">
        <f t="shared" si="29"/>
        <v>269</v>
      </c>
      <c r="M30" s="13">
        <f t="shared" si="29"/>
        <v>262</v>
      </c>
      <c r="N30" s="13"/>
      <c r="O30" s="13"/>
      <c r="P30" s="13">
        <f t="shared" ref="P30:R30" si="30">+P24-SUM(P25:P28)+P29+5</f>
        <v>764.5</v>
      </c>
      <c r="Q30" s="13">
        <f t="shared" si="30"/>
        <v>821.5</v>
      </c>
      <c r="R30" s="13">
        <f t="shared" si="30"/>
        <v>907.1</v>
      </c>
      <c r="S30" s="13">
        <f>+S24-SUM(S25:S28)+S29+5</f>
        <v>1761</v>
      </c>
      <c r="T30" s="13">
        <f>+T24-SUM(T25:T28)+T29+6</f>
        <v>993</v>
      </c>
      <c r="U30" s="13">
        <f t="shared" ref="U30" si="31">+U24-SUM(U25:U28)+U29</f>
        <v>822</v>
      </c>
      <c r="V30" s="13">
        <f>+V24-SUM(V25:V28)+V29+4</f>
        <v>1022</v>
      </c>
      <c r="W30" s="13"/>
      <c r="X30" s="13"/>
      <c r="Y30" s="13"/>
      <c r="Z30" s="13"/>
      <c r="AA30" s="13"/>
      <c r="AB30" s="13"/>
      <c r="AC30" s="13"/>
      <c r="AD30" s="13"/>
      <c r="AE30" s="13"/>
      <c r="AF30" s="14"/>
    </row>
    <row r="31" spans="2:32">
      <c r="B31" s="9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1"/>
    </row>
    <row r="32" spans="2:32">
      <c r="B32" s="21" t="s">
        <v>67</v>
      </c>
      <c r="C32" s="22">
        <f t="shared" ref="C32:J32" si="32">+(C21-C25)/C21</f>
        <v>0</v>
      </c>
      <c r="D32" s="22">
        <f t="shared" si="32"/>
        <v>-6.6666666666666666E-2</v>
      </c>
      <c r="E32" s="22">
        <f t="shared" si="32"/>
        <v>5.8823529411764705E-2</v>
      </c>
      <c r="F32" s="22">
        <f t="shared" si="32"/>
        <v>-6.6666666666666666E-2</v>
      </c>
      <c r="G32" s="22">
        <f t="shared" si="32"/>
        <v>0</v>
      </c>
      <c r="H32" s="22">
        <f t="shared" si="32"/>
        <v>0</v>
      </c>
      <c r="I32" s="22">
        <f t="shared" si="32"/>
        <v>0</v>
      </c>
      <c r="J32" s="22">
        <f t="shared" si="32"/>
        <v>-0.13333333333333333</v>
      </c>
      <c r="K32" s="22">
        <f t="shared" ref="K32:M34" si="33">+(K21-K25)/K21</f>
        <v>-6.25E-2</v>
      </c>
      <c r="L32" s="22">
        <f t="shared" si="33"/>
        <v>-0.11764705882352941</v>
      </c>
      <c r="M32" s="22">
        <f t="shared" si="33"/>
        <v>0</v>
      </c>
      <c r="N32" s="10"/>
      <c r="O32" s="10"/>
      <c r="P32" s="22">
        <f t="shared" ref="P32:R33" si="34">+(P21-P25)/P21</f>
        <v>0.14044350580781412</v>
      </c>
      <c r="Q32" s="22">
        <f t="shared" si="34"/>
        <v>0.14086021505376339</v>
      </c>
      <c r="R32" s="22">
        <f t="shared" si="34"/>
        <v>8.7234042553191518E-2</v>
      </c>
      <c r="S32" s="22">
        <f t="shared" ref="S32" si="35">+(S21-S25)/S21</f>
        <v>0.10666666666666667</v>
      </c>
      <c r="T32" s="22">
        <f t="shared" ref="T32:U32" si="36">+(T21-T25)/T21</f>
        <v>6.5789473684210523E-2</v>
      </c>
      <c r="U32" s="22">
        <f t="shared" si="36"/>
        <v>-1.5625E-2</v>
      </c>
      <c r="V32" s="22">
        <f>+(V21-V25)/V21</f>
        <v>-3.125E-2</v>
      </c>
      <c r="W32" s="10"/>
      <c r="X32" s="10"/>
      <c r="Y32" s="10"/>
      <c r="Z32" s="10"/>
      <c r="AA32" s="10"/>
      <c r="AB32" s="10"/>
      <c r="AC32" s="10"/>
      <c r="AD32" s="10"/>
      <c r="AE32" s="10"/>
      <c r="AF32" s="11"/>
    </row>
    <row r="33" spans="2:32">
      <c r="B33" s="9" t="s">
        <v>68</v>
      </c>
      <c r="C33" s="22">
        <f t="shared" ref="C33:J33" si="37">+(C22-C26)/C22</f>
        <v>0.8571428571428571</v>
      </c>
      <c r="D33" s="22">
        <f t="shared" si="37"/>
        <v>0.79399141630901282</v>
      </c>
      <c r="E33" s="22">
        <f t="shared" si="37"/>
        <v>0.86229508196721316</v>
      </c>
      <c r="F33" s="22">
        <f t="shared" si="37"/>
        <v>0.8443708609271523</v>
      </c>
      <c r="G33" s="22">
        <f t="shared" si="37"/>
        <v>0.88581314878892736</v>
      </c>
      <c r="H33" s="22">
        <f t="shared" si="37"/>
        <v>0.89814814814814814</v>
      </c>
      <c r="I33" s="22">
        <f t="shared" si="37"/>
        <v>0.89910979228486643</v>
      </c>
      <c r="J33" s="22">
        <f t="shared" si="37"/>
        <v>0.88034188034188032</v>
      </c>
      <c r="K33" s="22">
        <f t="shared" si="33"/>
        <v>0.85849056603773588</v>
      </c>
      <c r="L33" s="22">
        <f t="shared" si="33"/>
        <v>0.89850746268656712</v>
      </c>
      <c r="M33" s="22">
        <f t="shared" si="33"/>
        <v>0.86819484240687683</v>
      </c>
      <c r="N33" s="10"/>
      <c r="O33" s="10"/>
      <c r="P33" s="22">
        <f t="shared" si="34"/>
        <v>0.85758544873076159</v>
      </c>
      <c r="Q33" s="22">
        <f t="shared" si="34"/>
        <v>0.86977186311787069</v>
      </c>
      <c r="R33" s="22">
        <f t="shared" si="34"/>
        <v>0.88026666666666664</v>
      </c>
      <c r="S33" s="22">
        <f t="shared" ref="S33" si="38">+(S22-S26)/S22</f>
        <v>0.91687817258883253</v>
      </c>
      <c r="T33" s="22">
        <f t="shared" ref="T33:U33" si="39">+(T22-T26)/T22</f>
        <v>0.86549239391513211</v>
      </c>
      <c r="U33" s="22">
        <f t="shared" si="39"/>
        <v>0.84186882300089849</v>
      </c>
      <c r="V33" s="22">
        <f>+(V22-V26)/V22</f>
        <v>0.89085318985395845</v>
      </c>
      <c r="W33" s="10"/>
      <c r="X33" s="10"/>
      <c r="Y33" s="10"/>
      <c r="Z33" s="10"/>
      <c r="AA33" s="10"/>
      <c r="AB33" s="10"/>
      <c r="AC33" s="10"/>
      <c r="AD33" s="10"/>
      <c r="AE33" s="10"/>
      <c r="AF33" s="11"/>
    </row>
    <row r="34" spans="2:32">
      <c r="B34" s="9" t="s">
        <v>69</v>
      </c>
      <c r="C34" s="22">
        <f t="shared" ref="C34:J34" si="40">+(C23-C27)/C23</f>
        <v>-0.10204081632653061</v>
      </c>
      <c r="D34" s="22">
        <f t="shared" si="40"/>
        <v>-6.0606060606060608E-2</v>
      </c>
      <c r="E34" s="22">
        <f t="shared" si="40"/>
        <v>5.4054054054054057E-2</v>
      </c>
      <c r="F34" s="22">
        <f t="shared" si="40"/>
        <v>-5.9829059829059832E-2</v>
      </c>
      <c r="G34" s="22">
        <f t="shared" si="40"/>
        <v>-0.14705882352941177</v>
      </c>
      <c r="H34" s="22">
        <f t="shared" si="40"/>
        <v>6.7796610169491525E-2</v>
      </c>
      <c r="I34" s="22">
        <f t="shared" si="40"/>
        <v>3.5087719298245612E-2</v>
      </c>
      <c r="J34" s="22">
        <f t="shared" si="40"/>
        <v>8.771929824561403E-3</v>
      </c>
      <c r="K34" s="22">
        <f t="shared" si="33"/>
        <v>-9.1743119266055051E-2</v>
      </c>
      <c r="L34" s="22">
        <f t="shared" si="33"/>
        <v>-1.6528925619834711E-2</v>
      </c>
      <c r="M34" s="22">
        <f t="shared" si="33"/>
        <v>-5.6910569105691054E-2</v>
      </c>
      <c r="N34" s="10"/>
      <c r="O34" s="10"/>
      <c r="P34" s="10"/>
      <c r="Q34" s="10"/>
      <c r="R34" s="10"/>
      <c r="S34" s="22" t="e">
        <f t="shared" ref="S34" si="41">+(S23-S27)/S23</f>
        <v>#DIV/0!</v>
      </c>
      <c r="T34" s="22">
        <f t="shared" ref="T34:U34" si="42">+(T23-T27)/T23</f>
        <v>-4.4247787610619468E-3</v>
      </c>
      <c r="U34" s="22">
        <f t="shared" si="42"/>
        <v>-0.04</v>
      </c>
      <c r="V34" s="22">
        <f>+(V23-V27)/V23</f>
        <v>-4.464285714285714E-3</v>
      </c>
      <c r="W34" s="10"/>
      <c r="X34" s="10"/>
      <c r="Y34" s="10"/>
      <c r="Z34" s="10"/>
      <c r="AA34" s="10"/>
      <c r="AB34" s="10"/>
      <c r="AC34" s="10"/>
      <c r="AD34" s="10"/>
      <c r="AE34" s="10"/>
      <c r="AF34" s="11"/>
    </row>
    <row r="35" spans="2:32" s="3" customFormat="1">
      <c r="B35" s="15" t="s">
        <v>60</v>
      </c>
      <c r="C35" s="24">
        <f t="shared" ref="C35:J35" si="43">+C30/C24</f>
        <v>0.51288659793814428</v>
      </c>
      <c r="D35" s="24">
        <f t="shared" si="43"/>
        <v>0.4610951008645533</v>
      </c>
      <c r="E35" s="24">
        <f t="shared" si="43"/>
        <v>0.56812933025404155</v>
      </c>
      <c r="F35" s="24">
        <f t="shared" si="43"/>
        <v>0.5</v>
      </c>
      <c r="G35" s="24">
        <f t="shared" si="43"/>
        <v>0.53316953316953319</v>
      </c>
      <c r="H35" s="24">
        <f t="shared" si="43"/>
        <v>0.579520697167756</v>
      </c>
      <c r="I35" s="24">
        <f t="shared" si="43"/>
        <v>0.58244111349036398</v>
      </c>
      <c r="J35" s="24">
        <f t="shared" si="43"/>
        <v>0.54791666666666672</v>
      </c>
      <c r="K35" s="24">
        <f>+K30/K24</f>
        <v>0.5169300225733634</v>
      </c>
      <c r="L35" s="24">
        <f>+L30/L24</f>
        <v>0.56871035940803383</v>
      </c>
      <c r="M35" s="24">
        <f>+M30/M24</f>
        <v>0.53360488798370675</v>
      </c>
      <c r="N35" s="16"/>
      <c r="O35" s="16"/>
      <c r="P35" s="24">
        <f t="shared" ref="P35:R35" si="44">+P30/P24</f>
        <v>0.69798228795763717</v>
      </c>
      <c r="Q35" s="24">
        <f t="shared" si="44"/>
        <v>0.71746724890829694</v>
      </c>
      <c r="R35" s="24">
        <f t="shared" si="44"/>
        <v>0.74413453650533223</v>
      </c>
      <c r="S35" s="24">
        <f t="shared" ref="S35" si="45">+S30/S24</f>
        <v>1.066626287098728</v>
      </c>
      <c r="T35" s="24">
        <f t="shared" ref="T35:U35" si="46">+T30/T24</f>
        <v>0.55880697805289814</v>
      </c>
      <c r="U35" s="24">
        <f t="shared" si="46"/>
        <v>0.51310861423220977</v>
      </c>
      <c r="V35" s="24">
        <f>+V30/V24</f>
        <v>0.56370656370656369</v>
      </c>
      <c r="W35" s="16"/>
      <c r="X35" s="16"/>
      <c r="Y35" s="16"/>
      <c r="Z35" s="16"/>
      <c r="AA35" s="16"/>
      <c r="AB35" s="16"/>
      <c r="AC35" s="16"/>
      <c r="AD35" s="16"/>
      <c r="AE35" s="16"/>
      <c r="AF35" s="17"/>
    </row>
    <row r="37" spans="2:32">
      <c r="B37" s="18" t="s">
        <v>63</v>
      </c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8"/>
    </row>
    <row r="38" spans="2:32">
      <c r="B38" s="9" t="s">
        <v>27</v>
      </c>
      <c r="C38" s="10">
        <v>21</v>
      </c>
      <c r="D38" s="10">
        <v>17</v>
      </c>
      <c r="E38" s="10">
        <v>18</v>
      </c>
      <c r="F38" s="10">
        <f>+U38-SUM(C38:E38)</f>
        <v>17</v>
      </c>
      <c r="G38" s="10">
        <v>18</v>
      </c>
      <c r="H38" s="10">
        <v>17</v>
      </c>
      <c r="I38" s="10">
        <v>13</v>
      </c>
      <c r="J38" s="10">
        <f>+V38-SUM(G38:I38)</f>
        <v>16</v>
      </c>
      <c r="K38" s="10">
        <v>17</v>
      </c>
      <c r="L38" s="10">
        <v>20</v>
      </c>
      <c r="M38" s="10">
        <v>21</v>
      </c>
      <c r="N38" s="10"/>
      <c r="O38" s="10"/>
      <c r="P38" s="10"/>
      <c r="Q38" s="10"/>
      <c r="R38" s="10"/>
      <c r="S38" s="10">
        <v>79</v>
      </c>
      <c r="T38" s="10">
        <v>82</v>
      </c>
      <c r="U38" s="10">
        <v>73</v>
      </c>
      <c r="V38" s="10">
        <v>64</v>
      </c>
      <c r="W38" s="10"/>
      <c r="X38" s="10"/>
      <c r="Y38" s="10"/>
      <c r="Z38" s="10"/>
      <c r="AA38" s="10"/>
      <c r="AB38" s="10"/>
      <c r="AC38" s="10"/>
      <c r="AD38" s="10"/>
      <c r="AE38" s="10"/>
      <c r="AF38" s="11"/>
    </row>
    <row r="39" spans="2:32">
      <c r="B39" s="9" t="s">
        <v>54</v>
      </c>
      <c r="C39" s="10">
        <v>64</v>
      </c>
      <c r="D39" s="10">
        <v>63</v>
      </c>
      <c r="E39" s="10">
        <v>67</v>
      </c>
      <c r="F39" s="10">
        <f t="shared" ref="F39:F40" si="47">+U39-SUM(C39:E39)</f>
        <v>69</v>
      </c>
      <c r="G39" s="10">
        <v>69</v>
      </c>
      <c r="H39" s="10">
        <v>71</v>
      </c>
      <c r="I39" s="10">
        <v>72</v>
      </c>
      <c r="J39" s="10">
        <f t="shared" ref="J39:J40" si="48">+V39-SUM(G39:I39)</f>
        <v>71</v>
      </c>
      <c r="K39" s="10">
        <v>71</v>
      </c>
      <c r="L39" s="10">
        <v>81</v>
      </c>
      <c r="M39" s="10">
        <v>78</v>
      </c>
      <c r="N39" s="10"/>
      <c r="O39" s="10"/>
      <c r="P39" s="10"/>
      <c r="Q39" s="10"/>
      <c r="R39" s="10"/>
      <c r="S39" s="10">
        <v>335</v>
      </c>
      <c r="T39" s="10">
        <v>224</v>
      </c>
      <c r="U39" s="10">
        <v>263</v>
      </c>
      <c r="V39" s="10">
        <v>283</v>
      </c>
      <c r="W39" s="10"/>
      <c r="X39" s="10"/>
      <c r="Y39" s="10"/>
      <c r="Z39" s="10"/>
      <c r="AA39" s="10"/>
      <c r="AB39" s="10"/>
      <c r="AC39" s="10"/>
      <c r="AD39" s="10"/>
      <c r="AE39" s="10"/>
      <c r="AF39" s="11"/>
    </row>
    <row r="40" spans="2:32">
      <c r="B40" s="9" t="s">
        <v>55</v>
      </c>
      <c r="C40" s="10">
        <v>53</v>
      </c>
      <c r="D40" s="10">
        <v>54</v>
      </c>
      <c r="E40" s="10">
        <v>57</v>
      </c>
      <c r="F40" s="10">
        <f t="shared" si="47"/>
        <v>56</v>
      </c>
      <c r="G40" s="10">
        <v>56</v>
      </c>
      <c r="H40" s="10">
        <v>60</v>
      </c>
      <c r="I40" s="10">
        <v>58</v>
      </c>
      <c r="J40" s="10">
        <f t="shared" si="48"/>
        <v>58</v>
      </c>
      <c r="K40" s="10">
        <v>60</v>
      </c>
      <c r="L40" s="10">
        <v>64</v>
      </c>
      <c r="M40" s="10">
        <v>65</v>
      </c>
      <c r="N40" s="10"/>
      <c r="O40" s="10"/>
      <c r="P40" s="10"/>
      <c r="Q40" s="10"/>
      <c r="R40" s="10"/>
      <c r="S40" s="10"/>
      <c r="T40" s="10">
        <v>176</v>
      </c>
      <c r="U40" s="1">
        <v>220</v>
      </c>
      <c r="V40" s="10">
        <v>232</v>
      </c>
      <c r="W40" s="10"/>
      <c r="X40" s="10"/>
      <c r="Y40" s="10"/>
      <c r="Z40" s="10"/>
      <c r="AA40" s="10"/>
      <c r="AB40" s="10"/>
      <c r="AC40" s="10"/>
      <c r="AD40" s="10"/>
      <c r="AE40" s="10"/>
      <c r="AF40" s="11"/>
    </row>
    <row r="41" spans="2:32" s="3" customFormat="1">
      <c r="B41" s="12" t="s">
        <v>64</v>
      </c>
      <c r="C41" s="13">
        <f t="shared" ref="C41:M41" si="49">+SUM(C38:C40)</f>
        <v>138</v>
      </c>
      <c r="D41" s="13">
        <f t="shared" si="49"/>
        <v>134</v>
      </c>
      <c r="E41" s="13">
        <f t="shared" si="49"/>
        <v>142</v>
      </c>
      <c r="F41" s="13">
        <f t="shared" si="49"/>
        <v>142</v>
      </c>
      <c r="G41" s="13">
        <f t="shared" si="49"/>
        <v>143</v>
      </c>
      <c r="H41" s="13">
        <f t="shared" si="49"/>
        <v>148</v>
      </c>
      <c r="I41" s="13">
        <f t="shared" si="49"/>
        <v>143</v>
      </c>
      <c r="J41" s="13">
        <f t="shared" si="49"/>
        <v>145</v>
      </c>
      <c r="K41" s="13">
        <f t="shared" si="49"/>
        <v>148</v>
      </c>
      <c r="L41" s="13">
        <f t="shared" si="49"/>
        <v>165</v>
      </c>
      <c r="M41" s="13">
        <f t="shared" si="49"/>
        <v>164</v>
      </c>
      <c r="N41" s="13"/>
      <c r="O41" s="13"/>
      <c r="P41" s="13"/>
      <c r="Q41" s="13"/>
      <c r="R41" s="13"/>
      <c r="S41" s="13">
        <f>+SUM(S38:S40)</f>
        <v>414</v>
      </c>
      <c r="T41" s="13">
        <f>+SUM(T38:T40)</f>
        <v>482</v>
      </c>
      <c r="U41" s="13">
        <f t="shared" ref="U41" si="50">+SUM(U38:U40)</f>
        <v>556</v>
      </c>
      <c r="V41" s="13">
        <f t="shared" ref="V41" si="51">+SUM(V38:V40)</f>
        <v>579</v>
      </c>
      <c r="W41" s="13"/>
      <c r="X41" s="13"/>
      <c r="Y41" s="13"/>
      <c r="Z41" s="13"/>
      <c r="AA41" s="13"/>
      <c r="AB41" s="13"/>
      <c r="AC41" s="13"/>
      <c r="AD41" s="13"/>
      <c r="AE41" s="13"/>
      <c r="AF41" s="14"/>
    </row>
    <row r="42" spans="2:32">
      <c r="B42" s="9" t="s">
        <v>31</v>
      </c>
      <c r="C42" s="10">
        <v>16</v>
      </c>
      <c r="D42" s="10">
        <v>16</v>
      </c>
      <c r="E42" s="10">
        <v>14</v>
      </c>
      <c r="F42" s="10">
        <f>+T42-SUM(C42:E42)</f>
        <v>19</v>
      </c>
      <c r="G42" s="10">
        <v>15</v>
      </c>
      <c r="H42" s="10">
        <v>16</v>
      </c>
      <c r="I42" s="10">
        <v>12</v>
      </c>
      <c r="J42" s="10">
        <f>+V42-SUM(G42:I42)</f>
        <v>15</v>
      </c>
      <c r="K42" s="10">
        <v>16</v>
      </c>
      <c r="L42" s="10">
        <v>19</v>
      </c>
      <c r="M42" s="10">
        <v>19</v>
      </c>
      <c r="N42" s="10"/>
      <c r="O42" s="10"/>
      <c r="P42" s="10"/>
      <c r="Q42" s="10"/>
      <c r="R42" s="10"/>
      <c r="S42" s="10">
        <v>63</v>
      </c>
      <c r="T42" s="1">
        <v>65</v>
      </c>
      <c r="U42" s="1">
        <v>61</v>
      </c>
      <c r="V42" s="1">
        <v>58</v>
      </c>
      <c r="W42" s="10"/>
      <c r="X42" s="10"/>
      <c r="Y42" s="10"/>
      <c r="Z42" s="10"/>
      <c r="AA42" s="10"/>
      <c r="AB42" s="10"/>
      <c r="AC42" s="10"/>
      <c r="AD42" s="10"/>
      <c r="AE42" s="10"/>
      <c r="AF42" s="11"/>
    </row>
    <row r="43" spans="2:32">
      <c r="B43" s="9" t="s">
        <v>32</v>
      </c>
      <c r="C43" s="10">
        <v>3</v>
      </c>
      <c r="D43" s="10">
        <v>3</v>
      </c>
      <c r="E43" s="10">
        <v>3</v>
      </c>
      <c r="F43" s="10">
        <f t="shared" ref="F43:F46" si="52">+T43-SUM(C43:E43)</f>
        <v>5</v>
      </c>
      <c r="G43" s="10">
        <v>2</v>
      </c>
      <c r="H43" s="10">
        <v>2</v>
      </c>
      <c r="I43" s="10">
        <v>3</v>
      </c>
      <c r="J43" s="10">
        <f t="shared" ref="J43:J46" si="53">+V43-SUM(G43:I43)</f>
        <v>2</v>
      </c>
      <c r="K43" s="10">
        <v>2</v>
      </c>
      <c r="L43" s="10">
        <v>5</v>
      </c>
      <c r="M43" s="10">
        <v>2</v>
      </c>
      <c r="N43" s="10"/>
      <c r="O43" s="10"/>
      <c r="P43" s="10"/>
      <c r="Q43" s="10"/>
      <c r="R43" s="10"/>
      <c r="S43" s="10">
        <v>12</v>
      </c>
      <c r="T43" s="10">
        <v>14</v>
      </c>
      <c r="U43" s="10">
        <v>11</v>
      </c>
      <c r="V43" s="10">
        <v>9</v>
      </c>
      <c r="W43" s="10"/>
      <c r="X43" s="10"/>
      <c r="Y43" s="10"/>
      <c r="Z43" s="10"/>
      <c r="AA43" s="10"/>
      <c r="AB43" s="10"/>
      <c r="AC43" s="10"/>
      <c r="AD43" s="10"/>
      <c r="AE43" s="10"/>
      <c r="AF43" s="11"/>
    </row>
    <row r="44" spans="2:32">
      <c r="B44" s="9" t="s">
        <v>33</v>
      </c>
      <c r="C44" s="10">
        <v>53</v>
      </c>
      <c r="D44" s="10">
        <v>55</v>
      </c>
      <c r="E44" s="10">
        <v>58</v>
      </c>
      <c r="F44" s="10">
        <f t="shared" si="52"/>
        <v>13</v>
      </c>
      <c r="G44" s="10">
        <v>57</v>
      </c>
      <c r="H44" s="10">
        <v>60</v>
      </c>
      <c r="I44" s="10">
        <v>60</v>
      </c>
      <c r="J44" s="10">
        <f t="shared" si="53"/>
        <v>58</v>
      </c>
      <c r="K44" s="10">
        <v>61</v>
      </c>
      <c r="L44" s="10">
        <v>64</v>
      </c>
      <c r="M44" s="10">
        <v>66</v>
      </c>
      <c r="N44" s="10"/>
      <c r="O44" s="10"/>
      <c r="P44" s="10"/>
      <c r="Q44" s="10"/>
      <c r="R44" s="10"/>
      <c r="S44" s="10">
        <v>0</v>
      </c>
      <c r="T44" s="10">
        <v>179</v>
      </c>
      <c r="U44" s="10">
        <v>224</v>
      </c>
      <c r="V44" s="10">
        <v>235</v>
      </c>
      <c r="W44" s="10"/>
      <c r="X44" s="10"/>
      <c r="Y44" s="10"/>
      <c r="Z44" s="10"/>
      <c r="AA44" s="10"/>
      <c r="AB44" s="10"/>
      <c r="AC44" s="10"/>
      <c r="AD44" s="10"/>
      <c r="AE44" s="10"/>
      <c r="AF44" s="11"/>
    </row>
    <row r="45" spans="2:32">
      <c r="B45" s="9" t="s">
        <v>34</v>
      </c>
      <c r="C45" s="10">
        <v>13</v>
      </c>
      <c r="D45" s="10">
        <v>10</v>
      </c>
      <c r="E45" s="10">
        <v>12</v>
      </c>
      <c r="F45" s="10">
        <f t="shared" si="52"/>
        <v>11</v>
      </c>
      <c r="G45" s="10">
        <v>14</v>
      </c>
      <c r="H45" s="10">
        <v>13</v>
      </c>
      <c r="I45" s="10">
        <v>15</v>
      </c>
      <c r="J45" s="10">
        <f t="shared" si="53"/>
        <v>14</v>
      </c>
      <c r="K45" s="10">
        <v>15</v>
      </c>
      <c r="L45" s="10">
        <v>17</v>
      </c>
      <c r="M45" s="10">
        <v>16</v>
      </c>
      <c r="N45" s="10"/>
      <c r="O45" s="10"/>
      <c r="P45" s="10"/>
      <c r="Q45" s="10"/>
      <c r="R45" s="10"/>
      <c r="S45" s="10">
        <v>193</v>
      </c>
      <c r="T45" s="10">
        <v>46</v>
      </c>
      <c r="U45" s="10">
        <v>49</v>
      </c>
      <c r="V45" s="10">
        <v>56</v>
      </c>
      <c r="W45" s="10"/>
      <c r="X45" s="10"/>
      <c r="Y45" s="10"/>
      <c r="Z45" s="10"/>
      <c r="AA45" s="10"/>
      <c r="AB45" s="10"/>
      <c r="AC45" s="10"/>
      <c r="AD45" s="10"/>
      <c r="AE45" s="10"/>
      <c r="AF45" s="11"/>
    </row>
    <row r="46" spans="2:32">
      <c r="B46" s="9" t="s">
        <v>59</v>
      </c>
      <c r="C46" s="10">
        <v>2</v>
      </c>
      <c r="D46" s="10">
        <v>2</v>
      </c>
      <c r="E46" s="10">
        <v>2</v>
      </c>
      <c r="F46" s="10">
        <f t="shared" si="52"/>
        <v>5</v>
      </c>
      <c r="G46" s="10">
        <v>2</v>
      </c>
      <c r="H46" s="10">
        <v>1</v>
      </c>
      <c r="I46" s="10">
        <v>2</v>
      </c>
      <c r="J46" s="10">
        <f t="shared" si="53"/>
        <v>2</v>
      </c>
      <c r="K46" s="10">
        <v>2</v>
      </c>
      <c r="L46" s="10">
        <v>1</v>
      </c>
      <c r="M46" s="10">
        <v>2</v>
      </c>
      <c r="N46" s="10"/>
      <c r="O46" s="10"/>
      <c r="P46" s="10"/>
      <c r="Q46" s="10"/>
      <c r="R46" s="10"/>
      <c r="S46" s="10">
        <v>10</v>
      </c>
      <c r="T46" s="10">
        <v>11</v>
      </c>
      <c r="U46" s="10">
        <v>8</v>
      </c>
      <c r="V46" s="10">
        <v>7</v>
      </c>
      <c r="W46" s="10"/>
      <c r="X46" s="10"/>
      <c r="Y46" s="10"/>
      <c r="Z46" s="10"/>
      <c r="AA46" s="10"/>
      <c r="AB46" s="10"/>
      <c r="AC46" s="10"/>
      <c r="AD46" s="10"/>
      <c r="AE46" s="10"/>
      <c r="AF46" s="11"/>
    </row>
    <row r="47" spans="2:32" s="3" customFormat="1">
      <c r="B47" s="12" t="s">
        <v>66</v>
      </c>
      <c r="C47" s="13">
        <f t="shared" ref="C47:M47" si="54">+C41-SUM(C42:C45)+C46</f>
        <v>55</v>
      </c>
      <c r="D47" s="13">
        <f t="shared" si="54"/>
        <v>52</v>
      </c>
      <c r="E47" s="13">
        <f t="shared" si="54"/>
        <v>57</v>
      </c>
      <c r="F47" s="13">
        <f t="shared" si="54"/>
        <v>99</v>
      </c>
      <c r="G47" s="13">
        <f t="shared" si="54"/>
        <v>57</v>
      </c>
      <c r="H47" s="13">
        <f t="shared" si="54"/>
        <v>58</v>
      </c>
      <c r="I47" s="13">
        <f t="shared" si="54"/>
        <v>55</v>
      </c>
      <c r="J47" s="13">
        <f t="shared" si="54"/>
        <v>58</v>
      </c>
      <c r="K47" s="13">
        <f t="shared" si="54"/>
        <v>56</v>
      </c>
      <c r="L47" s="13">
        <f t="shared" si="54"/>
        <v>61</v>
      </c>
      <c r="M47" s="13">
        <f t="shared" si="54"/>
        <v>63</v>
      </c>
      <c r="N47" s="13"/>
      <c r="O47" s="13"/>
      <c r="P47" s="13"/>
      <c r="Q47" s="13"/>
      <c r="R47" s="13"/>
      <c r="S47" s="13">
        <f>+S41-SUM(S42:S45)+S46</f>
        <v>156</v>
      </c>
      <c r="T47" s="13">
        <f>+T41-SUM(T42:T45)+T46+6</f>
        <v>195</v>
      </c>
      <c r="U47" s="13">
        <f t="shared" ref="U47" si="55">+U41-SUM(U42:U45)+U46</f>
        <v>219</v>
      </c>
      <c r="V47" s="13">
        <f>+V41-SUM(V42:V45)+V46+4</f>
        <v>232</v>
      </c>
      <c r="W47" s="13"/>
      <c r="X47" s="13"/>
      <c r="Y47" s="13"/>
      <c r="Z47" s="13"/>
      <c r="AA47" s="13"/>
      <c r="AB47" s="13"/>
      <c r="AC47" s="13"/>
      <c r="AD47" s="13"/>
      <c r="AE47" s="13"/>
      <c r="AF47" s="14"/>
    </row>
    <row r="48" spans="2:32">
      <c r="B48" s="9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1"/>
    </row>
    <row r="49" spans="2:32">
      <c r="B49" s="21" t="s">
        <v>67</v>
      </c>
      <c r="C49" s="22">
        <f t="shared" ref="C49:J49" si="56">+(C38-C42)/C38</f>
        <v>0.23809523809523808</v>
      </c>
      <c r="D49" s="22">
        <f t="shared" si="56"/>
        <v>5.8823529411764705E-2</v>
      </c>
      <c r="E49" s="22">
        <f t="shared" si="56"/>
        <v>0.22222222222222221</v>
      </c>
      <c r="F49" s="22">
        <f t="shared" si="56"/>
        <v>-0.11764705882352941</v>
      </c>
      <c r="G49" s="22">
        <f t="shared" si="56"/>
        <v>0.16666666666666666</v>
      </c>
      <c r="H49" s="22">
        <f t="shared" si="56"/>
        <v>5.8823529411764705E-2</v>
      </c>
      <c r="I49" s="22">
        <f t="shared" si="56"/>
        <v>7.6923076923076927E-2</v>
      </c>
      <c r="J49" s="22">
        <f t="shared" si="56"/>
        <v>6.25E-2</v>
      </c>
      <c r="K49" s="22">
        <f t="shared" ref="K49:M51" si="57">+(K38-K42)/K38</f>
        <v>5.8823529411764705E-2</v>
      </c>
      <c r="L49" s="22">
        <f t="shared" si="57"/>
        <v>0.05</v>
      </c>
      <c r="M49" s="22">
        <f t="shared" si="57"/>
        <v>9.5238095238095233E-2</v>
      </c>
      <c r="N49" s="10"/>
      <c r="O49" s="10"/>
      <c r="P49" s="10"/>
      <c r="Q49" s="10"/>
      <c r="R49" s="10"/>
      <c r="S49" s="22">
        <f t="shared" ref="S49:T51" si="58">+(S38-S42)/S38</f>
        <v>0.20253164556962025</v>
      </c>
      <c r="T49" s="22">
        <f t="shared" si="58"/>
        <v>0.2073170731707317</v>
      </c>
      <c r="U49" s="22">
        <f t="shared" ref="U49:V49" si="59">+(U38-U42)/U38</f>
        <v>0.16438356164383561</v>
      </c>
      <c r="V49" s="22">
        <f t="shared" si="59"/>
        <v>9.375E-2</v>
      </c>
      <c r="W49" s="10"/>
      <c r="X49" s="10"/>
      <c r="Y49" s="10"/>
      <c r="Z49" s="10"/>
      <c r="AA49" s="10"/>
      <c r="AB49" s="10"/>
      <c r="AC49" s="10"/>
      <c r="AD49" s="10"/>
      <c r="AE49" s="10"/>
      <c r="AF49" s="11"/>
    </row>
    <row r="50" spans="2:32">
      <c r="B50" s="9" t="s">
        <v>68</v>
      </c>
      <c r="C50" s="22">
        <f t="shared" ref="C50:J50" si="60">+(C39-C43)/C39</f>
        <v>0.953125</v>
      </c>
      <c r="D50" s="22">
        <f t="shared" si="60"/>
        <v>0.95238095238095233</v>
      </c>
      <c r="E50" s="22">
        <f t="shared" si="60"/>
        <v>0.95522388059701491</v>
      </c>
      <c r="F50" s="22">
        <f t="shared" si="60"/>
        <v>0.92753623188405798</v>
      </c>
      <c r="G50" s="22">
        <f t="shared" si="60"/>
        <v>0.97101449275362317</v>
      </c>
      <c r="H50" s="22">
        <f t="shared" si="60"/>
        <v>0.971830985915493</v>
      </c>
      <c r="I50" s="22">
        <f t="shared" si="60"/>
        <v>0.95833333333333337</v>
      </c>
      <c r="J50" s="22">
        <f t="shared" si="60"/>
        <v>0.971830985915493</v>
      </c>
      <c r="K50" s="22">
        <f t="shared" si="57"/>
        <v>0.971830985915493</v>
      </c>
      <c r="L50" s="22">
        <f t="shared" si="57"/>
        <v>0.93827160493827155</v>
      </c>
      <c r="M50" s="22">
        <f t="shared" si="57"/>
        <v>0.97435897435897434</v>
      </c>
      <c r="N50" s="10"/>
      <c r="O50" s="10"/>
      <c r="P50" s="10"/>
      <c r="Q50" s="10"/>
      <c r="R50" s="10"/>
      <c r="S50" s="22">
        <f t="shared" si="58"/>
        <v>0.9641791044776119</v>
      </c>
      <c r="T50" s="22">
        <f t="shared" si="58"/>
        <v>0.9375</v>
      </c>
      <c r="U50" s="22">
        <f t="shared" ref="U50:V50" si="61">+(U39-U43)/U39</f>
        <v>0.95817490494296575</v>
      </c>
      <c r="V50" s="22">
        <f t="shared" si="61"/>
        <v>0.96819787985865724</v>
      </c>
      <c r="W50" s="10"/>
      <c r="X50" s="10"/>
      <c r="Y50" s="10"/>
      <c r="Z50" s="10"/>
      <c r="AA50" s="10"/>
      <c r="AB50" s="10"/>
      <c r="AC50" s="10"/>
      <c r="AD50" s="10"/>
      <c r="AE50" s="10"/>
      <c r="AF50" s="11"/>
    </row>
    <row r="51" spans="2:32">
      <c r="B51" s="9" t="s">
        <v>69</v>
      </c>
      <c r="C51" s="22">
        <f t="shared" ref="C51:J51" si="62">+(C40-C44)/C40</f>
        <v>0</v>
      </c>
      <c r="D51" s="22">
        <f t="shared" si="62"/>
        <v>-1.8518518518518517E-2</v>
      </c>
      <c r="E51" s="22">
        <f t="shared" si="62"/>
        <v>-1.7543859649122806E-2</v>
      </c>
      <c r="F51" s="22">
        <f t="shared" si="62"/>
        <v>0.7678571428571429</v>
      </c>
      <c r="G51" s="22">
        <f t="shared" si="62"/>
        <v>-1.7857142857142856E-2</v>
      </c>
      <c r="H51" s="22">
        <f t="shared" si="62"/>
        <v>0</v>
      </c>
      <c r="I51" s="22">
        <f t="shared" si="62"/>
        <v>-3.4482758620689655E-2</v>
      </c>
      <c r="J51" s="22">
        <f t="shared" si="62"/>
        <v>0</v>
      </c>
      <c r="K51" s="22">
        <f t="shared" si="57"/>
        <v>-1.6666666666666666E-2</v>
      </c>
      <c r="L51" s="22">
        <f t="shared" si="57"/>
        <v>0</v>
      </c>
      <c r="M51" s="22">
        <f t="shared" si="57"/>
        <v>-1.5384615384615385E-2</v>
      </c>
      <c r="N51" s="10"/>
      <c r="O51" s="10"/>
      <c r="P51" s="10"/>
      <c r="Q51" s="10"/>
      <c r="R51" s="10"/>
      <c r="S51" s="22" t="e">
        <f t="shared" si="58"/>
        <v>#DIV/0!</v>
      </c>
      <c r="T51" s="22">
        <f t="shared" si="58"/>
        <v>-1.7045454545454544E-2</v>
      </c>
      <c r="U51" s="22">
        <f t="shared" ref="U51:V51" si="63">+(U40-U44)/U40</f>
        <v>-1.8181818181818181E-2</v>
      </c>
      <c r="V51" s="22">
        <f t="shared" si="63"/>
        <v>-1.2931034482758621E-2</v>
      </c>
      <c r="W51" s="10"/>
      <c r="X51" s="10"/>
      <c r="Y51" s="10"/>
      <c r="Z51" s="10"/>
      <c r="AA51" s="10"/>
      <c r="AB51" s="10"/>
      <c r="AC51" s="10"/>
      <c r="AD51" s="10"/>
      <c r="AE51" s="10"/>
      <c r="AF51" s="11"/>
    </row>
    <row r="52" spans="2:32">
      <c r="B52" s="15" t="s">
        <v>60</v>
      </c>
      <c r="C52" s="24">
        <f t="shared" ref="C52:J52" si="64">+C47/C41</f>
        <v>0.39855072463768115</v>
      </c>
      <c r="D52" s="24">
        <f t="shared" si="64"/>
        <v>0.38805970149253732</v>
      </c>
      <c r="E52" s="24">
        <f t="shared" si="64"/>
        <v>0.40140845070422537</v>
      </c>
      <c r="F52" s="24">
        <f t="shared" si="64"/>
        <v>0.69718309859154926</v>
      </c>
      <c r="G52" s="24">
        <f t="shared" si="64"/>
        <v>0.39860139860139859</v>
      </c>
      <c r="H52" s="24">
        <f t="shared" si="64"/>
        <v>0.39189189189189189</v>
      </c>
      <c r="I52" s="24">
        <f t="shared" si="64"/>
        <v>0.38461538461538464</v>
      </c>
      <c r="J52" s="24">
        <f t="shared" si="64"/>
        <v>0.4</v>
      </c>
      <c r="K52" s="24">
        <f>+K47/K41</f>
        <v>0.3783783783783784</v>
      </c>
      <c r="L52" s="24">
        <f>+L47/L41</f>
        <v>0.36969696969696969</v>
      </c>
      <c r="M52" s="24">
        <f>+M47/M41</f>
        <v>0.38414634146341464</v>
      </c>
      <c r="N52" s="25"/>
      <c r="O52" s="25"/>
      <c r="P52" s="25"/>
      <c r="Q52" s="25"/>
      <c r="R52" s="25"/>
      <c r="S52" s="24">
        <f>+S47/S41</f>
        <v>0.37681159420289856</v>
      </c>
      <c r="T52" s="24">
        <f>+T47/T41</f>
        <v>0.4045643153526971</v>
      </c>
      <c r="U52" s="24">
        <f t="shared" ref="U52:V52" si="65">+U47/U41</f>
        <v>0.39388489208633093</v>
      </c>
      <c r="V52" s="24">
        <f t="shared" si="65"/>
        <v>0.40069084628670121</v>
      </c>
      <c r="W52" s="25"/>
      <c r="X52" s="25"/>
      <c r="Y52" s="25"/>
      <c r="Z52" s="25"/>
      <c r="AA52" s="25"/>
      <c r="AB52" s="25"/>
      <c r="AC52" s="25"/>
      <c r="AD52" s="25"/>
      <c r="AE52" s="25"/>
      <c r="AF52" s="26"/>
    </row>
    <row r="54" spans="2:32">
      <c r="B54" s="18" t="s">
        <v>71</v>
      </c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8"/>
    </row>
    <row r="55" spans="2:32">
      <c r="B55" s="9" t="s">
        <v>27</v>
      </c>
      <c r="C55" s="10"/>
      <c r="D55" s="10"/>
      <c r="E55" s="10"/>
      <c r="F55" s="10"/>
      <c r="G55" s="10"/>
      <c r="H55" s="10"/>
      <c r="I55" s="10"/>
      <c r="J55" s="10"/>
      <c r="K55" s="10">
        <v>10</v>
      </c>
      <c r="L55" s="10">
        <v>10</v>
      </c>
      <c r="M55" s="10">
        <v>9</v>
      </c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1"/>
    </row>
    <row r="56" spans="2:32">
      <c r="B56" s="9" t="s">
        <v>54</v>
      </c>
      <c r="C56" s="10"/>
      <c r="D56" s="10"/>
      <c r="E56" s="10"/>
      <c r="F56" s="10"/>
      <c r="G56" s="10"/>
      <c r="H56" s="10"/>
      <c r="I56" s="10"/>
      <c r="J56" s="10"/>
      <c r="K56" s="10">
        <v>20</v>
      </c>
      <c r="L56" s="10">
        <v>22</v>
      </c>
      <c r="M56" s="10">
        <v>21</v>
      </c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1"/>
    </row>
    <row r="57" spans="2:32">
      <c r="B57" s="9" t="s">
        <v>55</v>
      </c>
      <c r="C57" s="10"/>
      <c r="D57" s="10"/>
      <c r="E57" s="10"/>
      <c r="F57" s="10"/>
      <c r="G57" s="10"/>
      <c r="H57" s="10"/>
      <c r="I57" s="10"/>
      <c r="J57" s="10"/>
      <c r="K57" s="10">
        <v>1</v>
      </c>
      <c r="L57" s="10">
        <v>1</v>
      </c>
      <c r="M57" s="10">
        <v>8</v>
      </c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1"/>
    </row>
    <row r="58" spans="2:32" s="3" customFormat="1">
      <c r="B58" s="12" t="s">
        <v>72</v>
      </c>
      <c r="C58" s="13"/>
      <c r="D58" s="13"/>
      <c r="E58" s="13"/>
      <c r="F58" s="13"/>
      <c r="G58" s="13"/>
      <c r="H58" s="13"/>
      <c r="I58" s="13"/>
      <c r="J58" s="13"/>
      <c r="K58" s="13">
        <f>+SUM(K55:K57)</f>
        <v>31</v>
      </c>
      <c r="L58" s="13">
        <f>+SUM(L55:L57)</f>
        <v>33</v>
      </c>
      <c r="M58" s="13">
        <f>+SUM(M55:M57)</f>
        <v>38</v>
      </c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4"/>
    </row>
    <row r="59" spans="2:32">
      <c r="B59" s="9" t="s">
        <v>31</v>
      </c>
      <c r="C59" s="10"/>
      <c r="D59" s="10"/>
      <c r="E59" s="10"/>
      <c r="F59" s="10"/>
      <c r="G59" s="10"/>
      <c r="H59" s="10"/>
      <c r="I59" s="10"/>
      <c r="J59" s="10"/>
      <c r="K59" s="10">
        <v>8</v>
      </c>
      <c r="L59" s="10">
        <v>9</v>
      </c>
      <c r="M59" s="10">
        <v>9</v>
      </c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1"/>
    </row>
    <row r="60" spans="2:32">
      <c r="B60" s="9" t="s">
        <v>32</v>
      </c>
      <c r="C60" s="10"/>
      <c r="D60" s="10"/>
      <c r="E60" s="10"/>
      <c r="F60" s="10"/>
      <c r="G60" s="10"/>
      <c r="H60" s="10"/>
      <c r="I60" s="10"/>
      <c r="J60" s="10"/>
      <c r="K60" s="10">
        <v>2</v>
      </c>
      <c r="L60" s="10">
        <v>2</v>
      </c>
      <c r="M60" s="10">
        <v>2</v>
      </c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1"/>
    </row>
    <row r="61" spans="2:32">
      <c r="B61" s="9" t="s">
        <v>33</v>
      </c>
      <c r="C61" s="10"/>
      <c r="D61" s="10"/>
      <c r="E61" s="10"/>
      <c r="F61" s="10"/>
      <c r="G61" s="10"/>
      <c r="H61" s="10"/>
      <c r="I61" s="10"/>
      <c r="J61" s="10"/>
      <c r="K61" s="10">
        <v>0</v>
      </c>
      <c r="L61" s="10">
        <v>1</v>
      </c>
      <c r="M61" s="10">
        <v>7</v>
      </c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1"/>
    </row>
    <row r="62" spans="2:32">
      <c r="B62" s="9" t="s">
        <v>34</v>
      </c>
      <c r="C62" s="10"/>
      <c r="D62" s="10"/>
      <c r="E62" s="10"/>
      <c r="F62" s="10"/>
      <c r="G62" s="10"/>
      <c r="H62" s="10"/>
      <c r="I62" s="10"/>
      <c r="J62" s="10"/>
      <c r="K62" s="10">
        <v>8</v>
      </c>
      <c r="L62" s="10">
        <v>8</v>
      </c>
      <c r="M62" s="10">
        <v>9</v>
      </c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1"/>
    </row>
    <row r="63" spans="2:32">
      <c r="B63" s="9" t="s">
        <v>59</v>
      </c>
      <c r="C63" s="10"/>
      <c r="D63" s="10"/>
      <c r="E63" s="10"/>
      <c r="F63" s="10"/>
      <c r="G63" s="10"/>
      <c r="H63" s="10"/>
      <c r="I63" s="10"/>
      <c r="J63" s="10"/>
      <c r="K63" s="10">
        <v>0</v>
      </c>
      <c r="L63" s="10">
        <v>1</v>
      </c>
      <c r="M63" s="10">
        <v>1</v>
      </c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1"/>
    </row>
    <row r="64" spans="2:32">
      <c r="B64" s="12" t="s">
        <v>73</v>
      </c>
      <c r="C64" s="13"/>
      <c r="D64" s="13"/>
      <c r="E64" s="13"/>
      <c r="F64" s="13"/>
      <c r="G64" s="13"/>
      <c r="H64" s="13"/>
      <c r="I64" s="13"/>
      <c r="J64" s="13"/>
      <c r="K64" s="13">
        <f>+K58-SUM(K59:K62)+K63</f>
        <v>13</v>
      </c>
      <c r="L64" s="13">
        <f>+L58-SUM(L59:L62)+L63</f>
        <v>14</v>
      </c>
      <c r="M64" s="13">
        <f>+M58-SUM(M59:M62)+M63</f>
        <v>12</v>
      </c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4"/>
    </row>
    <row r="65" spans="2:32">
      <c r="B65" s="9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1"/>
    </row>
    <row r="66" spans="2:32">
      <c r="B66" s="21" t="s">
        <v>67</v>
      </c>
      <c r="C66" s="10"/>
      <c r="D66" s="10"/>
      <c r="E66" s="10"/>
      <c r="F66" s="10"/>
      <c r="G66" s="10"/>
      <c r="H66" s="10"/>
      <c r="I66" s="10"/>
      <c r="J66" s="10"/>
      <c r="K66" s="22">
        <f t="shared" ref="K66:M68" si="66">+(K55-K59)/K55</f>
        <v>0.2</v>
      </c>
      <c r="L66" s="22">
        <f t="shared" si="66"/>
        <v>0.1</v>
      </c>
      <c r="M66" s="22">
        <f t="shared" si="66"/>
        <v>0</v>
      </c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1"/>
    </row>
    <row r="67" spans="2:32">
      <c r="B67" s="9" t="s">
        <v>68</v>
      </c>
      <c r="C67" s="10"/>
      <c r="D67" s="10"/>
      <c r="E67" s="10"/>
      <c r="F67" s="10"/>
      <c r="G67" s="10"/>
      <c r="H67" s="10"/>
      <c r="I67" s="10"/>
      <c r="J67" s="10"/>
      <c r="K67" s="22">
        <f t="shared" si="66"/>
        <v>0.9</v>
      </c>
      <c r="L67" s="22">
        <f t="shared" si="66"/>
        <v>0.90909090909090906</v>
      </c>
      <c r="M67" s="22">
        <f t="shared" si="66"/>
        <v>0.90476190476190477</v>
      </c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1"/>
    </row>
    <row r="68" spans="2:32">
      <c r="B68" s="9" t="s">
        <v>69</v>
      </c>
      <c r="C68" s="10"/>
      <c r="D68" s="10"/>
      <c r="E68" s="10"/>
      <c r="F68" s="10"/>
      <c r="G68" s="10"/>
      <c r="H68" s="10"/>
      <c r="I68" s="10"/>
      <c r="J68" s="10"/>
      <c r="K68" s="22">
        <f t="shared" si="66"/>
        <v>1</v>
      </c>
      <c r="L68" s="22">
        <f t="shared" si="66"/>
        <v>0</v>
      </c>
      <c r="M68" s="22">
        <f t="shared" si="66"/>
        <v>0.125</v>
      </c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1"/>
    </row>
    <row r="69" spans="2:32">
      <c r="B69" s="15" t="s">
        <v>60</v>
      </c>
      <c r="C69" s="25"/>
      <c r="D69" s="25"/>
      <c r="E69" s="25"/>
      <c r="F69" s="25"/>
      <c r="G69" s="25"/>
      <c r="H69" s="25"/>
      <c r="I69" s="25"/>
      <c r="J69" s="25"/>
      <c r="K69" s="24">
        <f>+K64/K58</f>
        <v>0.41935483870967744</v>
      </c>
      <c r="L69" s="24">
        <f>+L64/L58</f>
        <v>0.42424242424242425</v>
      </c>
      <c r="M69" s="24">
        <f>+M64/M58</f>
        <v>0.31578947368421051</v>
      </c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6"/>
    </row>
    <row r="71" spans="2:32">
      <c r="B71" s="1" t="s">
        <v>74</v>
      </c>
      <c r="D71" s="1">
        <v>4934</v>
      </c>
      <c r="E71" s="1">
        <v>4934</v>
      </c>
      <c r="F71" s="1">
        <f>+U71</f>
        <v>4949</v>
      </c>
      <c r="G71" s="1">
        <v>4987</v>
      </c>
      <c r="H71" s="1">
        <v>5065</v>
      </c>
      <c r="I71" s="1">
        <v>5137</v>
      </c>
      <c r="J71" s="1">
        <f>+V71</f>
        <v>5291</v>
      </c>
      <c r="K71" s="1">
        <v>5320</v>
      </c>
      <c r="L71" s="1">
        <v>5352</v>
      </c>
      <c r="M71" s="1">
        <f t="shared" ref="M71" si="67">+L71+10</f>
        <v>5362</v>
      </c>
      <c r="N71" s="1">
        <f>+M71+10</f>
        <v>5372</v>
      </c>
      <c r="P71" s="1">
        <v>4413</v>
      </c>
      <c r="Q71" s="1">
        <v>4613</v>
      </c>
      <c r="R71" s="1">
        <v>4748</v>
      </c>
      <c r="S71" s="1">
        <v>4846</v>
      </c>
      <c r="T71" s="1">
        <v>4932</v>
      </c>
      <c r="U71" s="1">
        <v>4949</v>
      </c>
      <c r="V71" s="1">
        <v>5291</v>
      </c>
    </row>
    <row r="72" spans="2:32">
      <c r="B72" s="1" t="s">
        <v>75</v>
      </c>
      <c r="D72" s="1">
        <v>18756</v>
      </c>
      <c r="E72" s="1">
        <v>18675</v>
      </c>
      <c r="F72" s="1">
        <f t="shared" ref="F72:F74" si="68">+U72</f>
        <v>18625</v>
      </c>
      <c r="G72" s="1">
        <v>18691</v>
      </c>
      <c r="H72" s="1">
        <v>18776</v>
      </c>
      <c r="I72" s="1">
        <v>18923</v>
      </c>
      <c r="J72" s="1">
        <f t="shared" ref="J72:J75" si="69">+V72</f>
        <v>19247</v>
      </c>
      <c r="K72" s="1">
        <v>19266</v>
      </c>
      <c r="L72" s="1">
        <v>19311</v>
      </c>
      <c r="M72" s="1">
        <f t="shared" ref="M72:N72" si="70">+L72+5</f>
        <v>19316</v>
      </c>
      <c r="N72" s="1">
        <f t="shared" si="70"/>
        <v>19321</v>
      </c>
      <c r="P72" s="1">
        <v>15003</v>
      </c>
      <c r="Q72" s="1">
        <v>15738</v>
      </c>
      <c r="R72" s="1">
        <v>16767</v>
      </c>
      <c r="S72" s="1">
        <v>17796</v>
      </c>
      <c r="T72" s="1">
        <v>18838</v>
      </c>
      <c r="U72" s="1">
        <v>18625</v>
      </c>
      <c r="V72" s="1">
        <v>19247</v>
      </c>
    </row>
    <row r="73" spans="2:32">
      <c r="B73" s="1" t="s">
        <v>76</v>
      </c>
      <c r="D73" s="1">
        <v>3369</v>
      </c>
      <c r="E73" s="1">
        <v>3418</v>
      </c>
      <c r="F73" s="1">
        <f t="shared" si="68"/>
        <v>3451</v>
      </c>
      <c r="G73" s="1">
        <v>3495</v>
      </c>
      <c r="H73" s="1">
        <v>3262</v>
      </c>
      <c r="I73" s="1">
        <v>3607</v>
      </c>
      <c r="J73" s="1">
        <f t="shared" si="69"/>
        <v>3705</v>
      </c>
      <c r="K73" s="1">
        <v>3771</v>
      </c>
      <c r="L73" s="1">
        <v>3851</v>
      </c>
      <c r="M73" s="1">
        <f t="shared" ref="M73:N73" si="71">+L73+3</f>
        <v>3854</v>
      </c>
      <c r="N73" s="1">
        <f t="shared" si="71"/>
        <v>3857</v>
      </c>
      <c r="P73" s="1">
        <v>2567</v>
      </c>
      <c r="Q73" s="1">
        <v>2725</v>
      </c>
      <c r="R73" s="1">
        <v>2892</v>
      </c>
      <c r="S73" s="1">
        <v>3102</v>
      </c>
      <c r="T73" s="1">
        <v>3316</v>
      </c>
      <c r="U73" s="1">
        <v>3451</v>
      </c>
      <c r="V73" s="1">
        <v>3705</v>
      </c>
    </row>
    <row r="74" spans="2:32">
      <c r="B74" s="1" t="s">
        <v>77</v>
      </c>
      <c r="F74" s="1">
        <f t="shared" si="68"/>
        <v>0</v>
      </c>
      <c r="G74" s="1">
        <v>0</v>
      </c>
      <c r="I74" s="1">
        <v>0</v>
      </c>
      <c r="J74" s="1">
        <f t="shared" si="69"/>
        <v>1213</v>
      </c>
      <c r="K74" s="1">
        <v>1219</v>
      </c>
      <c r="L74" s="1">
        <v>1233</v>
      </c>
      <c r="M74" s="1">
        <f t="shared" ref="M74:N74" si="72">+L74+2</f>
        <v>1235</v>
      </c>
      <c r="N74" s="1">
        <f t="shared" si="72"/>
        <v>1237</v>
      </c>
      <c r="T74" s="1">
        <v>0</v>
      </c>
      <c r="U74" s="1">
        <v>0</v>
      </c>
      <c r="V74" s="1">
        <v>1213</v>
      </c>
    </row>
    <row r="75" spans="2:32" s="3" customFormat="1">
      <c r="B75" s="3" t="s">
        <v>110</v>
      </c>
      <c r="D75" s="3">
        <f t="shared" ref="D75:H75" si="73">+SUM(D71:D74)</f>
        <v>27059</v>
      </c>
      <c r="E75" s="3">
        <f t="shared" si="73"/>
        <v>27027</v>
      </c>
      <c r="F75" s="3">
        <f t="shared" si="73"/>
        <v>27025</v>
      </c>
      <c r="G75" s="3">
        <f t="shared" si="73"/>
        <v>27173</v>
      </c>
      <c r="H75" s="3">
        <f t="shared" si="73"/>
        <v>27103</v>
      </c>
      <c r="I75" s="3">
        <f>+SUM(I71:I74)</f>
        <v>27667</v>
      </c>
      <c r="J75" s="3">
        <f t="shared" si="69"/>
        <v>29456</v>
      </c>
      <c r="K75" s="3">
        <f>+SUM(K71:K74)</f>
        <v>29576</v>
      </c>
      <c r="L75" s="3">
        <f t="shared" ref="L75:N75" si="74">+SUM(L71:L74)</f>
        <v>29747</v>
      </c>
      <c r="M75" s="3">
        <f t="shared" si="74"/>
        <v>29767</v>
      </c>
      <c r="N75" s="3">
        <f t="shared" si="74"/>
        <v>29787</v>
      </c>
      <c r="O75" s="1"/>
      <c r="P75" s="3">
        <f t="shared" ref="P75:R75" si="75">+SUM(P71:P74)</f>
        <v>21983</v>
      </c>
      <c r="Q75" s="3">
        <f t="shared" si="75"/>
        <v>23076</v>
      </c>
      <c r="R75" s="3">
        <f t="shared" si="75"/>
        <v>24407</v>
      </c>
      <c r="S75" s="3">
        <f>+SUM(S71:S74)</f>
        <v>25744</v>
      </c>
      <c r="T75" s="3">
        <f>+SUM(T71:T74)</f>
        <v>27086</v>
      </c>
      <c r="U75" s="3">
        <f t="shared" ref="U75:V75" si="76">+SUM(U71:U74)</f>
        <v>27025</v>
      </c>
      <c r="V75" s="3">
        <f t="shared" si="76"/>
        <v>29456</v>
      </c>
      <c r="W75" s="3">
        <f>+N75</f>
        <v>29787</v>
      </c>
      <c r="X75" s="3">
        <f>+W75+100</f>
        <v>29887</v>
      </c>
      <c r="Y75" s="3">
        <f t="shared" ref="Y75:AF75" si="77">+X75+100</f>
        <v>29987</v>
      </c>
      <c r="Z75" s="3">
        <f t="shared" si="77"/>
        <v>30087</v>
      </c>
      <c r="AA75" s="3">
        <f t="shared" si="77"/>
        <v>30187</v>
      </c>
      <c r="AB75" s="3">
        <f t="shared" si="77"/>
        <v>30287</v>
      </c>
      <c r="AC75" s="3">
        <f t="shared" si="77"/>
        <v>30387</v>
      </c>
      <c r="AD75" s="3">
        <f t="shared" si="77"/>
        <v>30487</v>
      </c>
      <c r="AE75" s="3">
        <f t="shared" si="77"/>
        <v>30587</v>
      </c>
      <c r="AF75" s="3">
        <f t="shared" si="77"/>
        <v>30687</v>
      </c>
    </row>
    <row r="77" spans="2:32" s="4" customFormat="1">
      <c r="B77" s="4" t="s">
        <v>78</v>
      </c>
      <c r="E77" s="4">
        <f t="shared" ref="E77:L77" si="78">+E84/E75</f>
        <v>4.9469049469049467E-2</v>
      </c>
      <c r="F77" s="4">
        <f t="shared" si="78"/>
        <v>5.0249768732654951E-2</v>
      </c>
      <c r="G77" s="4">
        <f t="shared" si="78"/>
        <v>4.6369558017149377E-2</v>
      </c>
      <c r="H77" s="4">
        <f t="shared" si="78"/>
        <v>5.3056857174482532E-2</v>
      </c>
      <c r="I77" s="4">
        <f t="shared" si="78"/>
        <v>5.4035493548270502E-2</v>
      </c>
      <c r="J77" s="4">
        <f t="shared" si="78"/>
        <v>5.2485062466051058E-2</v>
      </c>
      <c r="K77" s="4">
        <f t="shared" si="78"/>
        <v>4.906004868812551E-2</v>
      </c>
      <c r="L77" s="4">
        <f t="shared" si="78"/>
        <v>5.5097993074931927E-2</v>
      </c>
      <c r="M77" s="4">
        <f t="shared" ref="M77" si="79">+I77*1.02</f>
        <v>5.5116203419235912E-2</v>
      </c>
      <c r="N77" s="4">
        <f>+J77*1.02</f>
        <v>5.353476371537208E-2</v>
      </c>
      <c r="P77" s="4">
        <f t="shared" ref="P77:R77" si="80">+P78/4</f>
        <v>4.8357821953327572E-2</v>
      </c>
      <c r="Q77" s="4">
        <f t="shared" si="80"/>
        <v>4.4916796671866877E-2</v>
      </c>
      <c r="R77" s="4">
        <f t="shared" si="80"/>
        <v>4.6871799074036137E-2</v>
      </c>
      <c r="S77" s="4">
        <f>+S78/4</f>
        <v>5.202183032939714E-2</v>
      </c>
      <c r="T77" s="4">
        <f>+T78/4</f>
        <v>5.1714908070589975E-2</v>
      </c>
      <c r="U77" s="4">
        <f t="shared" ref="U77:V77" si="81">+U78/4</f>
        <v>4.5957446808510639E-2</v>
      </c>
      <c r="V77" s="4">
        <f t="shared" si="81"/>
        <v>4.8708242802824549E-2</v>
      </c>
    </row>
    <row r="78" spans="2:32" s="4" customFormat="1">
      <c r="B78" s="4" t="s">
        <v>79</v>
      </c>
      <c r="E78" s="4">
        <f t="shared" ref="E78:J78" si="82">+E77*4</f>
        <v>0.19787619787619787</v>
      </c>
      <c r="F78" s="4">
        <f t="shared" si="82"/>
        <v>0.2009990749306198</v>
      </c>
      <c r="G78" s="4">
        <f t="shared" si="82"/>
        <v>0.18547823206859751</v>
      </c>
      <c r="H78" s="4">
        <f t="shared" si="82"/>
        <v>0.21222742869793013</v>
      </c>
      <c r="I78" s="4">
        <f t="shared" si="82"/>
        <v>0.21614197419308201</v>
      </c>
      <c r="J78" s="4">
        <f t="shared" si="82"/>
        <v>0.20994024986420423</v>
      </c>
      <c r="K78" s="4">
        <f t="shared" ref="K78:L78" si="83">+K77*4</f>
        <v>0.19624019475250204</v>
      </c>
      <c r="L78" s="4">
        <f t="shared" si="83"/>
        <v>0.22039197229972771</v>
      </c>
      <c r="M78" s="4">
        <f t="shared" ref="M78" si="84">+M77*4</f>
        <v>0.22046481367694365</v>
      </c>
      <c r="N78" s="4">
        <f t="shared" ref="N78" si="85">+N77*4</f>
        <v>0.21413905486148832</v>
      </c>
      <c r="P78" s="4">
        <f t="shared" ref="P78:R78" si="86">+P84/P75</f>
        <v>0.19343128781331029</v>
      </c>
      <c r="Q78" s="4">
        <f t="shared" si="86"/>
        <v>0.17966718668746751</v>
      </c>
      <c r="R78" s="4">
        <f t="shared" si="86"/>
        <v>0.18748719629614455</v>
      </c>
      <c r="S78" s="4">
        <f>+S84/S75</f>
        <v>0.20808732131758856</v>
      </c>
      <c r="T78" s="4">
        <f>+T84/T75</f>
        <v>0.2068596322823599</v>
      </c>
      <c r="U78" s="4">
        <f>+U84/U75</f>
        <v>0.18382978723404256</v>
      </c>
      <c r="V78" s="4">
        <f>+V84/V75</f>
        <v>0.19483297121129819</v>
      </c>
      <c r="W78" s="4">
        <f>+W84/W75</f>
        <v>0.21521603406821058</v>
      </c>
      <c r="X78" s="4">
        <f>+W78*1.07</f>
        <v>0.23028115645298533</v>
      </c>
      <c r="Y78" s="4">
        <f>+X78*1.06</f>
        <v>0.24409802584016446</v>
      </c>
      <c r="Z78" s="4">
        <f>+Y78*1.06</f>
        <v>0.25874390739057435</v>
      </c>
      <c r="AA78" s="4">
        <f>+Z78*1.05</f>
        <v>0.2716811027601031</v>
      </c>
      <c r="AB78" s="4">
        <f>+AA78*1.05</f>
        <v>0.28526515789810825</v>
      </c>
      <c r="AC78" s="4">
        <f>+AB78*1.05</f>
        <v>0.29952841579301365</v>
      </c>
      <c r="AD78" s="4">
        <f>+AC78*1.04</f>
        <v>0.31150955242473422</v>
      </c>
      <c r="AE78" s="4">
        <f>+AD78*1.04</f>
        <v>0.32396993452172357</v>
      </c>
      <c r="AF78" s="4">
        <f>+AE78*1.04</f>
        <v>0.33692873190259254</v>
      </c>
    </row>
    <row r="79" spans="2:32">
      <c r="H79" s="5"/>
      <c r="I79" s="5"/>
      <c r="J79" s="5"/>
      <c r="K79" s="5"/>
      <c r="L79" s="5"/>
      <c r="M79" s="5"/>
    </row>
    <row r="81" spans="2:32">
      <c r="B81" s="1" t="s">
        <v>27</v>
      </c>
      <c r="C81" s="1">
        <v>503</v>
      </c>
      <c r="D81" s="1">
        <f t="shared" ref="D81:E83" si="87">+D4+D21+D38+D55</f>
        <v>406</v>
      </c>
      <c r="E81" s="1">
        <f t="shared" si="87"/>
        <v>541</v>
      </c>
      <c r="F81" s="1">
        <f>+U81-SUM(C81:E81)</f>
        <v>563</v>
      </c>
      <c r="G81" s="1">
        <v>507</v>
      </c>
      <c r="H81" s="1">
        <f t="shared" ref="H81:I83" si="88">+H4+H21+H38+H55</f>
        <v>590</v>
      </c>
      <c r="I81" s="1">
        <f t="shared" si="88"/>
        <v>621</v>
      </c>
      <c r="J81" s="1">
        <f t="shared" ref="J81:J91" si="89">+V81-SUM(G81:I81)</f>
        <v>660</v>
      </c>
      <c r="K81" s="1">
        <f t="shared" ref="K81:M83" si="90">+K4+K21+K38+K55</f>
        <v>609</v>
      </c>
      <c r="L81" s="1">
        <f t="shared" si="90"/>
        <v>708</v>
      </c>
      <c r="M81" s="1">
        <f t="shared" si="90"/>
        <v>759</v>
      </c>
      <c r="P81" s="1">
        <v>2169</v>
      </c>
      <c r="Q81" s="1">
        <v>2205</v>
      </c>
      <c r="R81" s="1">
        <v>2390</v>
      </c>
      <c r="S81" s="1">
        <v>2355</v>
      </c>
      <c r="T81" s="1">
        <v>2362</v>
      </c>
      <c r="U81" s="1">
        <v>2013</v>
      </c>
      <c r="V81" s="1">
        <v>2378</v>
      </c>
    </row>
    <row r="82" spans="2:32">
      <c r="B82" s="1" t="s">
        <v>28</v>
      </c>
      <c r="C82" s="1">
        <v>525</v>
      </c>
      <c r="D82" s="1">
        <f t="shared" si="87"/>
        <v>450</v>
      </c>
      <c r="E82" s="1">
        <f t="shared" si="87"/>
        <v>577</v>
      </c>
      <c r="F82" s="1">
        <f t="shared" ref="F82:F101" si="91">+U82-SUM(C82:E82)</f>
        <v>569</v>
      </c>
      <c r="G82" s="1">
        <v>548</v>
      </c>
      <c r="H82" s="1">
        <f t="shared" si="88"/>
        <v>614</v>
      </c>
      <c r="I82" s="1">
        <f t="shared" si="88"/>
        <v>639</v>
      </c>
      <c r="J82" s="1">
        <f t="shared" si="89"/>
        <v>651</v>
      </c>
      <c r="K82" s="1">
        <f t="shared" si="90"/>
        <v>615</v>
      </c>
      <c r="L82" s="1">
        <f t="shared" si="90"/>
        <v>676</v>
      </c>
      <c r="M82" s="1">
        <f t="shared" si="90"/>
        <v>698</v>
      </c>
      <c r="P82" s="1">
        <v>1883.2</v>
      </c>
      <c r="Q82" s="1">
        <v>1941</v>
      </c>
      <c r="R82" s="1">
        <v>2186</v>
      </c>
      <c r="S82" s="1">
        <v>3002</v>
      </c>
      <c r="T82" s="1">
        <v>2381</v>
      </c>
      <c r="U82" s="1">
        <v>2121</v>
      </c>
      <c r="V82" s="1">
        <v>2452</v>
      </c>
    </row>
    <row r="83" spans="2:32">
      <c r="B83" s="1" t="s">
        <v>29</v>
      </c>
      <c r="C83" s="1">
        <v>197</v>
      </c>
      <c r="D83" s="1">
        <f t="shared" si="87"/>
        <v>192</v>
      </c>
      <c r="E83" s="1">
        <f t="shared" si="87"/>
        <v>219</v>
      </c>
      <c r="F83" s="1">
        <f t="shared" si="91"/>
        <v>226</v>
      </c>
      <c r="G83" s="1">
        <v>205</v>
      </c>
      <c r="H83" s="1">
        <f t="shared" si="88"/>
        <v>234</v>
      </c>
      <c r="I83" s="1">
        <f t="shared" si="88"/>
        <v>235</v>
      </c>
      <c r="J83" s="1">
        <f t="shared" si="89"/>
        <v>235</v>
      </c>
      <c r="K83" s="1">
        <f t="shared" si="90"/>
        <v>227</v>
      </c>
      <c r="L83" s="1">
        <f t="shared" si="90"/>
        <v>255</v>
      </c>
      <c r="M83" s="1">
        <f t="shared" si="90"/>
        <v>269</v>
      </c>
      <c r="S83" s="1">
        <v>0</v>
      </c>
      <c r="T83" s="1">
        <v>860</v>
      </c>
      <c r="U83" s="1">
        <v>834</v>
      </c>
      <c r="V83" s="1">
        <v>909</v>
      </c>
    </row>
    <row r="84" spans="2:32" s="3" customFormat="1">
      <c r="B84" s="3" t="s">
        <v>30</v>
      </c>
      <c r="C84" s="3">
        <f>+SUM(C81:C83)</f>
        <v>1225</v>
      </c>
      <c r="D84" s="3">
        <f>+SUM(D81:D83)</f>
        <v>1048</v>
      </c>
      <c r="E84" s="3">
        <f>+SUM(E81:E83)</f>
        <v>1337</v>
      </c>
      <c r="F84" s="3">
        <f t="shared" si="91"/>
        <v>1358</v>
      </c>
      <c r="G84" s="3">
        <f>+SUM(G81:G83)</f>
        <v>1260</v>
      </c>
      <c r="H84" s="3">
        <f>+SUM(H81:H83)</f>
        <v>1438</v>
      </c>
      <c r="I84" s="3">
        <f>+SUM(I81:I83)</f>
        <v>1495</v>
      </c>
      <c r="J84" s="3">
        <f t="shared" si="89"/>
        <v>1546</v>
      </c>
      <c r="K84" s="3">
        <f>SUM(K81:K83)</f>
        <v>1451</v>
      </c>
      <c r="L84" s="3">
        <f>SUM(L81:L83)</f>
        <v>1639</v>
      </c>
      <c r="M84" s="3">
        <f>SUM(M81:M83)</f>
        <v>1726</v>
      </c>
      <c r="N84" s="3">
        <f>+N75*N77</f>
        <v>1594.6400067897882</v>
      </c>
      <c r="P84" s="3">
        <v>4252.2</v>
      </c>
      <c r="Q84" s="3">
        <f t="shared" ref="Q84:R84" si="92">+SUM(Q81:Q83)</f>
        <v>4146</v>
      </c>
      <c r="R84" s="3">
        <f t="shared" si="92"/>
        <v>4576</v>
      </c>
      <c r="S84" s="3">
        <f>+SUM(S81:S83)</f>
        <v>5357</v>
      </c>
      <c r="T84" s="3">
        <f>+SUM(T81:T83)</f>
        <v>5603</v>
      </c>
      <c r="U84" s="3">
        <f>+SUM(U81:U83)</f>
        <v>4968</v>
      </c>
      <c r="V84" s="3">
        <f>+SUM(V81:V83)</f>
        <v>5739</v>
      </c>
      <c r="W84" s="3">
        <f>+SUM(K84:N84)</f>
        <v>6410.6400067897885</v>
      </c>
      <c r="X84" s="3">
        <f t="shared" ref="X84:AF84" si="93">+X75*X78</f>
        <v>6882.4129229103728</v>
      </c>
      <c r="Y84" s="3">
        <f t="shared" si="93"/>
        <v>7319.7675008690121</v>
      </c>
      <c r="Z84" s="3">
        <f t="shared" si="93"/>
        <v>7784.8279416602099</v>
      </c>
      <c r="AA84" s="3">
        <f t="shared" si="93"/>
        <v>8201.2374490192324</v>
      </c>
      <c r="AB84" s="3">
        <f t="shared" si="93"/>
        <v>8639.8258372600048</v>
      </c>
      <c r="AC84" s="3">
        <f t="shared" si="93"/>
        <v>9101.7699707023057</v>
      </c>
      <c r="AD84" s="3">
        <f t="shared" si="93"/>
        <v>9496.9917247728717</v>
      </c>
      <c r="AE84" s="3">
        <f t="shared" si="93"/>
        <v>9909.2683872159596</v>
      </c>
      <c r="AF84" s="3">
        <f t="shared" si="93"/>
        <v>10339.331995894858</v>
      </c>
    </row>
    <row r="85" spans="2:32">
      <c r="B85" s="1" t="s">
        <v>31</v>
      </c>
      <c r="C85" s="1">
        <v>399</v>
      </c>
      <c r="D85" s="1">
        <v>339</v>
      </c>
      <c r="E85" s="1">
        <v>418</v>
      </c>
      <c r="F85" s="1">
        <f t="shared" si="91"/>
        <v>454</v>
      </c>
      <c r="G85" s="1">
        <v>401</v>
      </c>
      <c r="H85" s="1">
        <v>467</v>
      </c>
      <c r="I85" s="1">
        <v>490</v>
      </c>
      <c r="J85" s="1">
        <f t="shared" si="89"/>
        <v>532</v>
      </c>
      <c r="K85" s="1">
        <f>+K8+K25+K42+K59</f>
        <v>494</v>
      </c>
      <c r="L85" s="1">
        <v>584</v>
      </c>
      <c r="M85" s="1">
        <v>615</v>
      </c>
      <c r="N85" s="1">
        <f t="shared" ref="N85:N90" si="94">+N$84*(J85/J$84)</f>
        <v>548.73769961977189</v>
      </c>
      <c r="S85" s="1">
        <v>1818</v>
      </c>
      <c r="T85" s="1">
        <v>1813</v>
      </c>
      <c r="U85" s="1">
        <v>1610</v>
      </c>
      <c r="V85" s="1">
        <v>1890</v>
      </c>
      <c r="W85" s="27">
        <f t="shared" ref="W85:W100" si="95">+SUM(K85:N85)</f>
        <v>2241.7376996197718</v>
      </c>
      <c r="X85" s="1">
        <f t="shared" ref="X85:Y88" si="96">+X$84*(W85/W$84)</f>
        <v>2406.7120439296891</v>
      </c>
      <c r="Y85" s="1">
        <f t="shared" si="96"/>
        <v>2559.650634222196</v>
      </c>
      <c r="Z85" s="1">
        <f t="shared" ref="Z85:AF85" si="97">+Z$84*(Y85/Y$84)</f>
        <v>2722.2776919916564</v>
      </c>
      <c r="AA85" s="1">
        <f t="shared" si="97"/>
        <v>2867.8919972931749</v>
      </c>
      <c r="AB85" s="1">
        <f t="shared" si="97"/>
        <v>3021.2620388948658</v>
      </c>
      <c r="AC85" s="1">
        <f t="shared" si="97"/>
        <v>3182.7993546634921</v>
      </c>
      <c r="AD85" s="1">
        <f t="shared" si="97"/>
        <v>3321.0045112268708</v>
      </c>
      <c r="AE85" s="1">
        <f t="shared" si="97"/>
        <v>3465.1736013478585</v>
      </c>
      <c r="AF85" s="1">
        <f t="shared" si="97"/>
        <v>3615.562611460562</v>
      </c>
    </row>
    <row r="86" spans="2:32">
      <c r="B86" s="1" t="s">
        <v>32</v>
      </c>
      <c r="C86" s="1">
        <v>123</v>
      </c>
      <c r="D86" s="1">
        <v>132</v>
      </c>
      <c r="E86" s="1">
        <v>125</v>
      </c>
      <c r="F86" s="1">
        <f t="shared" si="91"/>
        <v>135</v>
      </c>
      <c r="G86" s="1">
        <v>116</v>
      </c>
      <c r="H86" s="1">
        <v>121</v>
      </c>
      <c r="I86" s="1">
        <v>121</v>
      </c>
      <c r="J86" s="1">
        <f t="shared" si="89"/>
        <v>131</v>
      </c>
      <c r="K86" s="1">
        <f>+K9+K26+K43+K60</f>
        <v>130</v>
      </c>
      <c r="L86" s="1">
        <v>125</v>
      </c>
      <c r="M86" s="1">
        <v>137</v>
      </c>
      <c r="N86" s="1">
        <f t="shared" si="94"/>
        <v>135.1215012221619</v>
      </c>
      <c r="S86" s="1">
        <v>422</v>
      </c>
      <c r="T86" s="1">
        <v>533</v>
      </c>
      <c r="U86" s="1">
        <v>515</v>
      </c>
      <c r="V86" s="1">
        <v>489</v>
      </c>
      <c r="W86" s="27">
        <f t="shared" si="95"/>
        <v>527.1215012221619</v>
      </c>
      <c r="X86" s="1">
        <f t="shared" si="96"/>
        <v>565.9135169207583</v>
      </c>
      <c r="Y86" s="1">
        <f t="shared" si="96"/>
        <v>601.87544918583149</v>
      </c>
      <c r="Z86" s="1">
        <f t="shared" ref="Z86:AF90" si="98">+Z$84*(Y86/Y$84)</f>
        <v>640.11552466179876</v>
      </c>
      <c r="AA86" s="1">
        <f t="shared" si="98"/>
        <v>674.35522684594707</v>
      </c>
      <c r="AB86" s="1">
        <f t="shared" si="98"/>
        <v>710.41861043685549</v>
      </c>
      <c r="AC86" s="1">
        <f t="shared" si="98"/>
        <v>748.40244431973997</v>
      </c>
      <c r="AD86" s="1">
        <f t="shared" si="98"/>
        <v>780.89996158801296</v>
      </c>
      <c r="AE86" s="1">
        <f t="shared" si="98"/>
        <v>814.79983632683616</v>
      </c>
      <c r="AF86" s="1">
        <f t="shared" si="98"/>
        <v>850.16226110622449</v>
      </c>
    </row>
    <row r="87" spans="2:32">
      <c r="B87" s="1" t="s">
        <v>33</v>
      </c>
      <c r="C87" s="1">
        <v>226</v>
      </c>
      <c r="D87" s="1">
        <v>203</v>
      </c>
      <c r="E87" s="1">
        <v>209</v>
      </c>
      <c r="F87" s="1">
        <f t="shared" si="91"/>
        <v>232</v>
      </c>
      <c r="G87" s="1">
        <v>237</v>
      </c>
      <c r="H87" s="1">
        <v>238</v>
      </c>
      <c r="I87" s="1">
        <v>237</v>
      </c>
      <c r="J87" s="1">
        <f t="shared" si="89"/>
        <v>250</v>
      </c>
      <c r="K87" s="1">
        <f>+K10+K27+K44+K61</f>
        <v>247</v>
      </c>
      <c r="L87" s="1">
        <v>259</v>
      </c>
      <c r="M87" s="1">
        <v>276</v>
      </c>
      <c r="N87" s="1">
        <f t="shared" si="94"/>
        <v>257.86546034763717</v>
      </c>
      <c r="S87" s="1">
        <v>0</v>
      </c>
      <c r="T87" s="1">
        <v>865</v>
      </c>
      <c r="U87" s="1">
        <v>870</v>
      </c>
      <c r="V87" s="1">
        <v>962</v>
      </c>
      <c r="W87" s="27">
        <f t="shared" si="95"/>
        <v>1039.8654603476371</v>
      </c>
      <c r="X87" s="1">
        <f t="shared" si="96"/>
        <v>1116.3914172071211</v>
      </c>
      <c r="Y87" s="1">
        <f t="shared" si="96"/>
        <v>1187.3343993528069</v>
      </c>
      <c r="Z87" s="1">
        <f t="shared" si="98"/>
        <v>1262.7715302540294</v>
      </c>
      <c r="AA87" s="1">
        <f t="shared" si="98"/>
        <v>1330.3170270537876</v>
      </c>
      <c r="AB87" s="1">
        <f t="shared" si="98"/>
        <v>1401.4601447078865</v>
      </c>
      <c r="AC87" s="1">
        <f t="shared" si="98"/>
        <v>1476.3917815597606</v>
      </c>
      <c r="AD87" s="1">
        <f t="shared" si="98"/>
        <v>1540.5004276232903</v>
      </c>
      <c r="AE87" s="1">
        <f t="shared" si="98"/>
        <v>1607.3755385214067</v>
      </c>
      <c r="AF87" s="1">
        <f t="shared" si="98"/>
        <v>1677.1358576071752</v>
      </c>
    </row>
    <row r="88" spans="2:32">
      <c r="B88" s="1" t="s">
        <v>34</v>
      </c>
      <c r="C88" s="1">
        <v>102</v>
      </c>
      <c r="D88" s="1">
        <v>94</v>
      </c>
      <c r="E88" s="1">
        <v>96</v>
      </c>
      <c r="F88" s="1">
        <f t="shared" si="91"/>
        <v>115</v>
      </c>
      <c r="G88" s="1">
        <v>104</v>
      </c>
      <c r="H88" s="1">
        <v>113</v>
      </c>
      <c r="I88" s="1">
        <v>123</v>
      </c>
      <c r="J88" s="1">
        <f t="shared" si="89"/>
        <v>168</v>
      </c>
      <c r="K88" s="1">
        <v>133</v>
      </c>
      <c r="L88" s="1">
        <v>146</v>
      </c>
      <c r="M88" s="1">
        <v>156</v>
      </c>
      <c r="N88" s="1">
        <f t="shared" si="94"/>
        <v>173.28558935361218</v>
      </c>
      <c r="S88" s="1">
        <v>1214</v>
      </c>
      <c r="T88" s="1">
        <v>406</v>
      </c>
      <c r="U88" s="1">
        <v>407</v>
      </c>
      <c r="V88" s="1">
        <v>508</v>
      </c>
      <c r="W88" s="27">
        <f t="shared" si="95"/>
        <v>608.28558935361218</v>
      </c>
      <c r="X88" s="1">
        <f t="shared" si="96"/>
        <v>653.05064651163957</v>
      </c>
      <c r="Y88" s="1">
        <f t="shared" si="96"/>
        <v>694.54985515980889</v>
      </c>
      <c r="Z88" s="1">
        <f t="shared" si="98"/>
        <v>738.67798651831652</v>
      </c>
      <c r="AA88" s="1">
        <f t="shared" si="98"/>
        <v>778.18978289559766</v>
      </c>
      <c r="AB88" s="1">
        <f t="shared" si="98"/>
        <v>819.80606394431095</v>
      </c>
      <c r="AC88" s="1">
        <f t="shared" si="98"/>
        <v>863.63849864065651</v>
      </c>
      <c r="AD88" s="1">
        <f t="shared" si="98"/>
        <v>901.13985534537812</v>
      </c>
      <c r="AE88" s="1">
        <f t="shared" si="98"/>
        <v>940.25949898865235</v>
      </c>
      <c r="AF88" s="1">
        <f t="shared" si="98"/>
        <v>981.066890354836</v>
      </c>
    </row>
    <row r="89" spans="2:32">
      <c r="B89" s="1" t="s">
        <v>35</v>
      </c>
      <c r="C89" s="1">
        <v>2</v>
      </c>
      <c r="D89" s="1">
        <v>16</v>
      </c>
      <c r="E89" s="1">
        <v>18</v>
      </c>
      <c r="F89" s="1">
        <f t="shared" si="91"/>
        <v>3</v>
      </c>
      <c r="G89" s="1">
        <v>2</v>
      </c>
      <c r="H89" s="1">
        <v>3</v>
      </c>
      <c r="I89" s="1">
        <v>7</v>
      </c>
      <c r="J89" s="1">
        <f t="shared" si="89"/>
        <v>-8</v>
      </c>
      <c r="K89" s="1">
        <v>13</v>
      </c>
      <c r="L89" s="1">
        <v>9</v>
      </c>
      <c r="M89" s="1">
        <v>8</v>
      </c>
      <c r="N89" s="1">
        <f t="shared" si="94"/>
        <v>-8.25169473112439</v>
      </c>
      <c r="S89" s="1">
        <v>-22</v>
      </c>
      <c r="T89" s="1">
        <v>-11</v>
      </c>
      <c r="U89" s="1">
        <v>39</v>
      </c>
      <c r="V89" s="1">
        <v>4</v>
      </c>
      <c r="W89" s="27"/>
    </row>
    <row r="90" spans="2:32">
      <c r="B90" s="1" t="s">
        <v>36</v>
      </c>
      <c r="C90" s="1">
        <v>-16</v>
      </c>
      <c r="D90" s="1">
        <v>21</v>
      </c>
      <c r="E90" s="1">
        <v>54</v>
      </c>
      <c r="F90" s="1">
        <f t="shared" si="91"/>
        <v>46</v>
      </c>
      <c r="G90" s="1">
        <v>-42</v>
      </c>
      <c r="H90" s="1">
        <v>8</v>
      </c>
      <c r="I90" s="1">
        <v>-16</v>
      </c>
      <c r="J90" s="1">
        <f t="shared" si="89"/>
        <v>57</v>
      </c>
      <c r="K90" s="1">
        <v>-16</v>
      </c>
      <c r="L90" s="1">
        <v>-25</v>
      </c>
      <c r="M90" s="1">
        <v>-27</v>
      </c>
      <c r="N90" s="1">
        <f t="shared" si="94"/>
        <v>58.79332495926127</v>
      </c>
      <c r="P90" s="1" t="s">
        <v>53</v>
      </c>
      <c r="S90" s="1">
        <v>8</v>
      </c>
      <c r="T90" s="1">
        <v>-10</v>
      </c>
      <c r="U90" s="1">
        <v>105</v>
      </c>
      <c r="V90" s="1">
        <v>7</v>
      </c>
      <c r="W90" s="27">
        <f t="shared" si="95"/>
        <v>-9.2066750407387303</v>
      </c>
      <c r="X90" s="1">
        <f>+X$84*(W90/W$84)</f>
        <v>-9.8842142454271187</v>
      </c>
      <c r="Y90" s="1">
        <f>+Y$84*(X90/X$84)</f>
        <v>-10.512323369099622</v>
      </c>
      <c r="Z90" s="1">
        <f t="shared" si="98"/>
        <v>-11.180222416329288</v>
      </c>
      <c r="AA90" s="1">
        <f t="shared" si="98"/>
        <v>-11.778251164483628</v>
      </c>
      <c r="AB90" s="1">
        <f t="shared" si="98"/>
        <v>-12.408132231412575</v>
      </c>
      <c r="AC90" s="1">
        <f t="shared" si="98"/>
        <v>-13.071555777123208</v>
      </c>
      <c r="AD90" s="1">
        <f t="shared" si="98"/>
        <v>-13.639155619713742</v>
      </c>
      <c r="AE90" s="1">
        <f t="shared" si="98"/>
        <v>-14.231248960468122</v>
      </c>
      <c r="AF90" s="1">
        <f t="shared" si="98"/>
        <v>-14.848887119491309</v>
      </c>
    </row>
    <row r="91" spans="2:32">
      <c r="B91" s="1" t="s">
        <v>37</v>
      </c>
      <c r="C91" s="1">
        <f>+SUM(C85:C90)</f>
        <v>836</v>
      </c>
      <c r="D91" s="1">
        <f>+SUM(D85:D90)</f>
        <v>805</v>
      </c>
      <c r="E91" s="1">
        <f>+SUM(E85:E90)</f>
        <v>920</v>
      </c>
      <c r="F91" s="1">
        <f t="shared" si="91"/>
        <v>985</v>
      </c>
      <c r="G91" s="1">
        <f>+SUM(G85:G90)</f>
        <v>818</v>
      </c>
      <c r="H91" s="1">
        <f>+SUM(H85:H90)</f>
        <v>950</v>
      </c>
      <c r="I91" s="1">
        <f>+SUM(I85:I90)</f>
        <v>962</v>
      </c>
      <c r="J91" s="1">
        <f t="shared" si="89"/>
        <v>1130</v>
      </c>
      <c r="K91" s="1">
        <f>+SUM(K85:K90)</f>
        <v>1001</v>
      </c>
      <c r="L91" s="1">
        <f>+SUM(L85:L90)</f>
        <v>1098</v>
      </c>
      <c r="M91" s="1">
        <f t="shared" ref="M91:N91" si="99">+SUM(M85:M90)</f>
        <v>1165</v>
      </c>
      <c r="N91" s="1">
        <f t="shared" si="99"/>
        <v>1165.5518807713202</v>
      </c>
      <c r="S91" s="1">
        <f>+SUM(S85:S90)</f>
        <v>3440</v>
      </c>
      <c r="T91" s="1">
        <f>+SUM(T85:T90)</f>
        <v>3596</v>
      </c>
      <c r="U91" s="1">
        <f>+SUM(U85:U90)</f>
        <v>3546</v>
      </c>
      <c r="V91" s="1">
        <f>+SUM(V85:V90)</f>
        <v>3860</v>
      </c>
      <c r="W91" s="27">
        <f t="shared" si="95"/>
        <v>4429.5518807713197</v>
      </c>
      <c r="X91" s="1">
        <f>+SUM(X85:X90)</f>
        <v>4732.1834103237816</v>
      </c>
      <c r="Y91" s="1">
        <f>+SUM(Y85:Y90)</f>
        <v>5032.8980145515434</v>
      </c>
      <c r="Z91" s="1">
        <f t="shared" ref="Z91:AF91" si="100">+SUM(Z85:Z90)</f>
        <v>5352.662511009471</v>
      </c>
      <c r="AA91" s="1">
        <f t="shared" si="100"/>
        <v>5638.9757829240234</v>
      </c>
      <c r="AB91" s="1">
        <f t="shared" si="100"/>
        <v>5940.5387257525063</v>
      </c>
      <c r="AC91" s="1">
        <f t="shared" si="100"/>
        <v>6258.1605234065255</v>
      </c>
      <c r="AD91" s="1">
        <f t="shared" si="100"/>
        <v>6529.9056001638382</v>
      </c>
      <c r="AE91" s="1">
        <f t="shared" si="100"/>
        <v>6813.3772262242846</v>
      </c>
      <c r="AF91" s="1">
        <f t="shared" si="100"/>
        <v>7109.0787334093066</v>
      </c>
    </row>
    <row r="92" spans="2:32" s="3" customFormat="1">
      <c r="B92" s="3" t="s">
        <v>38</v>
      </c>
      <c r="C92" s="3">
        <f>+C84-C91</f>
        <v>389</v>
      </c>
      <c r="D92" s="3">
        <f>+D84-D91</f>
        <v>243</v>
      </c>
      <c r="E92" s="3">
        <f>+E84-E91</f>
        <v>417</v>
      </c>
      <c r="F92" s="3">
        <f t="shared" si="91"/>
        <v>373</v>
      </c>
      <c r="G92" s="3">
        <f>+G84-G91</f>
        <v>442</v>
      </c>
      <c r="H92" s="3">
        <f>+H84-H91</f>
        <v>488</v>
      </c>
      <c r="I92" s="3">
        <f>+I84-I91</f>
        <v>533</v>
      </c>
      <c r="J92" s="3">
        <f t="shared" ref="J92:K92" si="101">+J84-J91</f>
        <v>416</v>
      </c>
      <c r="K92" s="3">
        <f t="shared" si="101"/>
        <v>450</v>
      </c>
      <c r="L92" s="3">
        <f>+L84-L91</f>
        <v>541</v>
      </c>
      <c r="M92" s="3">
        <f t="shared" ref="M92" si="102">+M84-M91</f>
        <v>561</v>
      </c>
      <c r="N92" s="3">
        <f t="shared" ref="N92" si="103">+N84-N91</f>
        <v>429.08812601846807</v>
      </c>
      <c r="S92" s="3">
        <f>+S84-S91</f>
        <v>1917</v>
      </c>
      <c r="T92" s="3">
        <f>+T84-T91</f>
        <v>2007</v>
      </c>
      <c r="U92" s="3">
        <f>+U84-U91</f>
        <v>1422</v>
      </c>
      <c r="V92" s="3">
        <f>+V84-V91</f>
        <v>1879</v>
      </c>
      <c r="W92" s="3">
        <f t="shared" si="95"/>
        <v>1981.0881260184681</v>
      </c>
      <c r="X92" s="3">
        <f>+X84-X91</f>
        <v>2150.2295125865912</v>
      </c>
      <c r="Y92" s="3">
        <f>+Y84-Y91</f>
        <v>2286.8694863174687</v>
      </c>
      <c r="Z92" s="3">
        <f t="shared" ref="Z92:AF92" si="104">+Z84-Z91</f>
        <v>2432.1654306507389</v>
      </c>
      <c r="AA92" s="3">
        <f t="shared" si="104"/>
        <v>2562.261666095209</v>
      </c>
      <c r="AB92" s="3">
        <f t="shared" si="104"/>
        <v>2699.2871115074986</v>
      </c>
      <c r="AC92" s="3">
        <f t="shared" si="104"/>
        <v>2843.6094472957802</v>
      </c>
      <c r="AD92" s="3">
        <f t="shared" si="104"/>
        <v>2967.0861246090335</v>
      </c>
      <c r="AE92" s="3">
        <f t="shared" si="104"/>
        <v>3095.891160991675</v>
      </c>
      <c r="AF92" s="3">
        <f t="shared" si="104"/>
        <v>3230.2532624855512</v>
      </c>
    </row>
    <row r="93" spans="2:32">
      <c r="B93" s="1" t="s">
        <v>39</v>
      </c>
      <c r="C93" s="1">
        <v>119</v>
      </c>
      <c r="D93" s="1">
        <v>128</v>
      </c>
      <c r="E93" s="1">
        <v>129</v>
      </c>
      <c r="F93" s="1">
        <f t="shared" si="91"/>
        <v>132</v>
      </c>
      <c r="G93" s="1">
        <v>124</v>
      </c>
      <c r="H93" s="1">
        <v>126</v>
      </c>
      <c r="I93" s="1">
        <v>128</v>
      </c>
      <c r="J93" s="1">
        <f t="shared" ref="J93:J99" si="105">+V93-SUM(G93:I93)</f>
        <v>127</v>
      </c>
      <c r="K93" s="1">
        <v>127</v>
      </c>
      <c r="L93" s="1">
        <v>129</v>
      </c>
      <c r="M93" s="1">
        <v>133</v>
      </c>
      <c r="N93" s="1">
        <f t="shared" ref="N93" si="106">+N92*(M93/M92)</f>
        <v>101.72677497407533</v>
      </c>
      <c r="S93" s="1">
        <v>535</v>
      </c>
      <c r="T93" s="1">
        <v>532</v>
      </c>
      <c r="U93" s="1">
        <v>508</v>
      </c>
      <c r="V93" s="1">
        <v>505</v>
      </c>
      <c r="W93" s="27">
        <f>+SUM(K93:N93)</f>
        <v>490.72677497407534</v>
      </c>
      <c r="X93" s="1">
        <f>+W113*$AJ$102</f>
        <v>-346.29119999999995</v>
      </c>
      <c r="Y93" s="1">
        <f t="shared" ref="Y93:AF93" si="107">+X113*$AJ$102</f>
        <v>-332.43955199999994</v>
      </c>
      <c r="Z93" s="1">
        <f t="shared" si="107"/>
        <v>-319.14196991999995</v>
      </c>
      <c r="AA93" s="1">
        <f t="shared" si="107"/>
        <v>-306.37629112319996</v>
      </c>
      <c r="AB93" s="1">
        <f t="shared" si="107"/>
        <v>-294.12123947827195</v>
      </c>
      <c r="AC93" s="1">
        <f t="shared" si="107"/>
        <v>-282.35638989914105</v>
      </c>
      <c r="AD93" s="1">
        <f t="shared" si="107"/>
        <v>-271.06213430317541</v>
      </c>
      <c r="AE93" s="1">
        <f t="shared" si="107"/>
        <v>-260.21964893104837</v>
      </c>
      <c r="AF93" s="1">
        <f t="shared" si="107"/>
        <v>-249.81086297380642</v>
      </c>
    </row>
    <row r="94" spans="2:32">
      <c r="B94" s="1" t="s">
        <v>51</v>
      </c>
      <c r="D94" s="1">
        <v>0</v>
      </c>
      <c r="E94" s="1">
        <v>0</v>
      </c>
      <c r="F94" s="1">
        <f t="shared" si="91"/>
        <v>98</v>
      </c>
      <c r="H94" s="1">
        <v>0</v>
      </c>
      <c r="I94" s="1">
        <v>11</v>
      </c>
      <c r="J94" s="1">
        <f t="shared" si="105"/>
        <v>0</v>
      </c>
      <c r="L94" s="1">
        <v>0</v>
      </c>
      <c r="M94" s="1">
        <v>0</v>
      </c>
      <c r="N94" s="1">
        <v>0</v>
      </c>
      <c r="S94" s="1">
        <v>0</v>
      </c>
      <c r="T94" s="1">
        <v>23</v>
      </c>
      <c r="U94" s="1">
        <v>98</v>
      </c>
      <c r="V94" s="1">
        <v>11</v>
      </c>
      <c r="W94" s="27">
        <f t="shared" si="95"/>
        <v>0</v>
      </c>
    </row>
    <row r="95" spans="2:32">
      <c r="B95" s="1" t="s">
        <v>40</v>
      </c>
      <c r="C95" s="1">
        <f t="shared" ref="C95:I95" si="108">+C92-C93-C94</f>
        <v>270</v>
      </c>
      <c r="D95" s="1">
        <f t="shared" si="108"/>
        <v>115</v>
      </c>
      <c r="E95" s="1">
        <f t="shared" si="108"/>
        <v>288</v>
      </c>
      <c r="F95" s="1">
        <f t="shared" si="91"/>
        <v>143</v>
      </c>
      <c r="G95" s="1">
        <f t="shared" si="108"/>
        <v>318</v>
      </c>
      <c r="H95" s="1">
        <f t="shared" si="108"/>
        <v>362</v>
      </c>
      <c r="I95" s="1">
        <f t="shared" si="108"/>
        <v>394</v>
      </c>
      <c r="J95" s="1">
        <f t="shared" si="105"/>
        <v>289</v>
      </c>
      <c r="K95" s="1">
        <f>+K92-K93-K94</f>
        <v>323</v>
      </c>
      <c r="L95" s="1">
        <f t="shared" ref="L95" si="109">+L92-L93-L94</f>
        <v>412</v>
      </c>
      <c r="M95" s="1">
        <f t="shared" ref="M95:N95" si="110">+M92-M93-M94</f>
        <v>428</v>
      </c>
      <c r="N95" s="1">
        <f t="shared" si="110"/>
        <v>327.36135104439273</v>
      </c>
      <c r="S95" s="1">
        <f>+S92-S93-S94</f>
        <v>1382</v>
      </c>
      <c r="T95" s="1">
        <f>+T92-T93-T94</f>
        <v>1452</v>
      </c>
      <c r="U95" s="1">
        <f>+U92-U93-U94</f>
        <v>816</v>
      </c>
      <c r="V95" s="1">
        <f>+V92-V93-V94</f>
        <v>1363</v>
      </c>
      <c r="W95" s="27">
        <f t="shared" si="95"/>
        <v>1490.3613510443927</v>
      </c>
      <c r="X95" s="1">
        <f t="shared" ref="X95:AD95" si="111">+SUM(X92:X94)</f>
        <v>1803.9383125865913</v>
      </c>
      <c r="Y95" s="1">
        <f t="shared" si="111"/>
        <v>1954.4299343174689</v>
      </c>
      <c r="Z95" s="1">
        <f t="shared" si="111"/>
        <v>2113.0234607307389</v>
      </c>
      <c r="AA95" s="1">
        <f t="shared" si="111"/>
        <v>2255.8853749720092</v>
      </c>
      <c r="AB95" s="1">
        <f t="shared" si="111"/>
        <v>2405.1658720292266</v>
      </c>
      <c r="AC95" s="1">
        <f t="shared" si="111"/>
        <v>2561.2530573966392</v>
      </c>
      <c r="AD95" s="1">
        <f t="shared" si="111"/>
        <v>2696.0239903058582</v>
      </c>
      <c r="AE95" s="1">
        <f t="shared" ref="AE95:AF95" si="112">+SUM(AE92:AE94)</f>
        <v>2835.6715120606268</v>
      </c>
      <c r="AF95" s="1">
        <f t="shared" si="112"/>
        <v>2980.442399511745</v>
      </c>
    </row>
    <row r="96" spans="2:32">
      <c r="B96" s="1" t="s">
        <v>41</v>
      </c>
      <c r="C96" s="1">
        <v>46</v>
      </c>
      <c r="D96" s="1">
        <v>-49</v>
      </c>
      <c r="E96" s="1">
        <v>65</v>
      </c>
      <c r="F96" s="1">
        <f t="shared" si="91"/>
        <v>4</v>
      </c>
      <c r="G96" s="1">
        <v>47</v>
      </c>
      <c r="H96" s="1">
        <v>-29</v>
      </c>
      <c r="I96" s="1">
        <v>65</v>
      </c>
      <c r="J96" s="1">
        <f t="shared" si="105"/>
        <v>27</v>
      </c>
      <c r="K96" s="1">
        <v>53</v>
      </c>
      <c r="L96" s="1">
        <v>66</v>
      </c>
      <c r="M96" s="1">
        <v>-102</v>
      </c>
      <c r="N96" s="1">
        <f t="shared" ref="N96" si="113">+N95*(M96/M95)</f>
        <v>-78.016022912448733</v>
      </c>
      <c r="S96" s="1">
        <v>238</v>
      </c>
      <c r="T96" s="1">
        <v>341</v>
      </c>
      <c r="U96" s="1">
        <v>66</v>
      </c>
      <c r="V96" s="1">
        <v>110</v>
      </c>
      <c r="W96" s="27">
        <f t="shared" si="95"/>
        <v>-61.016022912448733</v>
      </c>
      <c r="X96" s="1">
        <f>+X95*(W96/W95)</f>
        <v>-73.853996103894517</v>
      </c>
      <c r="Y96" s="1">
        <f t="shared" ref="Y96:AF96" si="114">+Y95*(X96/X95)</f>
        <v>-80.015186632103067</v>
      </c>
      <c r="Z96" s="1">
        <f t="shared" si="114"/>
        <v>-86.508072558470516</v>
      </c>
      <c r="AA96" s="1">
        <f t="shared" si="114"/>
        <v>-92.35689964094496</v>
      </c>
      <c r="AB96" s="1">
        <f t="shared" si="114"/>
        <v>-98.468506213701275</v>
      </c>
      <c r="AC96" s="1">
        <f t="shared" si="114"/>
        <v>-104.85878147952438</v>
      </c>
      <c r="AD96" s="1">
        <f t="shared" si="114"/>
        <v>-110.37636037041449</v>
      </c>
      <c r="AE96" s="1">
        <f t="shared" si="114"/>
        <v>-116.09358886743945</v>
      </c>
      <c r="AF96" s="1">
        <f t="shared" si="114"/>
        <v>-122.02057011905529</v>
      </c>
    </row>
    <row r="97" spans="2:92" s="3" customFormat="1">
      <c r="B97" s="3" t="s">
        <v>42</v>
      </c>
      <c r="C97" s="3">
        <f>+C95-C96</f>
        <v>224</v>
      </c>
      <c r="D97" s="3">
        <f>+D95-D96</f>
        <v>164</v>
      </c>
      <c r="E97" s="3">
        <f>+E95-E96</f>
        <v>223</v>
      </c>
      <c r="F97" s="3">
        <f t="shared" si="91"/>
        <v>139</v>
      </c>
      <c r="G97" s="3">
        <f>+G95-G96</f>
        <v>271</v>
      </c>
      <c r="H97" s="3">
        <f>+H95-H96</f>
        <v>391</v>
      </c>
      <c r="I97" s="3">
        <f>+I95-I96</f>
        <v>329</v>
      </c>
      <c r="J97" s="3">
        <f t="shared" si="105"/>
        <v>262</v>
      </c>
      <c r="K97" s="3">
        <f>+K95-K96</f>
        <v>270</v>
      </c>
      <c r="L97" s="3">
        <f>+L95-L96</f>
        <v>346</v>
      </c>
      <c r="M97" s="3">
        <f t="shared" ref="M97:N97" si="115">+M95-M96</f>
        <v>530</v>
      </c>
      <c r="N97" s="3">
        <f t="shared" si="115"/>
        <v>405.37737395684144</v>
      </c>
      <c r="S97" s="3">
        <f>+S95-S96</f>
        <v>1144</v>
      </c>
      <c r="T97" s="3">
        <f>+T95-T96</f>
        <v>1111</v>
      </c>
      <c r="U97" s="3">
        <f>+U95-U96</f>
        <v>750</v>
      </c>
      <c r="V97" s="3">
        <f>+V95-V96</f>
        <v>1253</v>
      </c>
      <c r="W97" s="3">
        <f t="shared" si="95"/>
        <v>1551.3773739568414</v>
      </c>
      <c r="X97" s="3">
        <f>+X95-X96</f>
        <v>1877.7923086904859</v>
      </c>
      <c r="Y97" s="3">
        <f t="shared" ref="Y97:AF97" si="116">+Y95-Y96</f>
        <v>2034.4451209495719</v>
      </c>
      <c r="Z97" s="3">
        <f t="shared" si="116"/>
        <v>2199.5315332892092</v>
      </c>
      <c r="AA97" s="3">
        <f t="shared" si="116"/>
        <v>2348.2422746129541</v>
      </c>
      <c r="AB97" s="3">
        <f t="shared" si="116"/>
        <v>2503.6343782429281</v>
      </c>
      <c r="AC97" s="3">
        <f t="shared" si="116"/>
        <v>2666.1118388761633</v>
      </c>
      <c r="AD97" s="3">
        <f t="shared" si="116"/>
        <v>2806.4003506762729</v>
      </c>
      <c r="AE97" s="3">
        <f t="shared" si="116"/>
        <v>2951.7651009280662</v>
      </c>
      <c r="AF97" s="3">
        <f t="shared" si="116"/>
        <v>3102.4629696308002</v>
      </c>
    </row>
    <row r="98" spans="2:92">
      <c r="B98" s="1" t="s">
        <v>44</v>
      </c>
      <c r="C98" s="1">
        <v>80</v>
      </c>
      <c r="D98" s="1">
        <v>58</v>
      </c>
      <c r="E98" s="1">
        <v>78</v>
      </c>
      <c r="F98" s="1">
        <f t="shared" si="91"/>
        <v>48</v>
      </c>
      <c r="G98" s="1">
        <v>92</v>
      </c>
      <c r="H98" s="1">
        <v>132</v>
      </c>
      <c r="I98" s="1">
        <v>108</v>
      </c>
      <c r="J98" s="1">
        <f t="shared" si="105"/>
        <v>83</v>
      </c>
      <c r="K98" s="1">
        <v>87</v>
      </c>
      <c r="L98" s="1">
        <v>110</v>
      </c>
      <c r="M98" s="1">
        <v>170</v>
      </c>
      <c r="N98" s="1">
        <v>87</v>
      </c>
      <c r="S98" s="1">
        <v>532</v>
      </c>
      <c r="T98" s="1">
        <v>468</v>
      </c>
      <c r="U98" s="1">
        <v>264</v>
      </c>
      <c r="V98" s="1">
        <v>415</v>
      </c>
      <c r="W98" s="27">
        <f>+SUM(K98:N98)</f>
        <v>454</v>
      </c>
      <c r="X98" s="1">
        <f>+W98</f>
        <v>454</v>
      </c>
      <c r="Y98" s="1">
        <f t="shared" ref="Y98:AF98" si="117">+X98</f>
        <v>454</v>
      </c>
      <c r="Z98" s="1">
        <f t="shared" si="117"/>
        <v>454</v>
      </c>
      <c r="AA98" s="1">
        <f t="shared" si="117"/>
        <v>454</v>
      </c>
      <c r="AB98" s="1">
        <f t="shared" si="117"/>
        <v>454</v>
      </c>
      <c r="AC98" s="1">
        <f t="shared" si="117"/>
        <v>454</v>
      </c>
      <c r="AD98" s="1">
        <f t="shared" si="117"/>
        <v>454</v>
      </c>
      <c r="AE98" s="1">
        <f t="shared" si="117"/>
        <v>454</v>
      </c>
      <c r="AF98" s="1">
        <f t="shared" si="117"/>
        <v>454</v>
      </c>
    </row>
    <row r="99" spans="2:92" s="3" customFormat="1">
      <c r="B99" s="3" t="s">
        <v>43</v>
      </c>
      <c r="C99" s="3">
        <f>+C97-C98</f>
        <v>144</v>
      </c>
      <c r="D99" s="3">
        <f>+D97-D98</f>
        <v>106</v>
      </c>
      <c r="E99" s="3">
        <f>+E97-E98</f>
        <v>145</v>
      </c>
      <c r="F99" s="3">
        <f t="shared" si="91"/>
        <v>91</v>
      </c>
      <c r="G99" s="3">
        <f>+G97-G98</f>
        <v>179</v>
      </c>
      <c r="H99" s="3">
        <f>+H97-H98</f>
        <v>259</v>
      </c>
      <c r="I99" s="3">
        <f>+I97-I98</f>
        <v>221</v>
      </c>
      <c r="J99" s="3">
        <f t="shared" si="105"/>
        <v>179</v>
      </c>
      <c r="K99" s="3">
        <f>+K97-K98</f>
        <v>183</v>
      </c>
      <c r="L99" s="3">
        <f>+L97-L98</f>
        <v>236</v>
      </c>
      <c r="M99" s="3">
        <f t="shared" ref="M99:N99" si="118">+M97-M98</f>
        <v>360</v>
      </c>
      <c r="N99" s="3">
        <f t="shared" si="118"/>
        <v>318.37737395684144</v>
      </c>
      <c r="P99" s="3">
        <v>103.9</v>
      </c>
      <c r="Q99" s="3">
        <v>346</v>
      </c>
      <c r="R99" s="3">
        <v>626</v>
      </c>
      <c r="S99" s="3">
        <f>+S97-S98</f>
        <v>612</v>
      </c>
      <c r="T99" s="3">
        <f>+T97-T98</f>
        <v>643</v>
      </c>
      <c r="U99" s="3">
        <f>+U97-U98</f>
        <v>486</v>
      </c>
      <c r="V99" s="3">
        <f>+V97-V98</f>
        <v>838</v>
      </c>
      <c r="W99" s="3">
        <f t="shared" si="95"/>
        <v>1097.3773739568414</v>
      </c>
      <c r="X99" s="3">
        <f>+X97-X98</f>
        <v>1423.7923086904859</v>
      </c>
      <c r="Y99" s="3">
        <f t="shared" ref="Y99:AF99" si="119">+Y97-Y98</f>
        <v>1580.4451209495719</v>
      </c>
      <c r="Z99" s="3">
        <f t="shared" si="119"/>
        <v>1745.5315332892092</v>
      </c>
      <c r="AA99" s="3">
        <f t="shared" si="119"/>
        <v>1894.2422746129541</v>
      </c>
      <c r="AB99" s="3">
        <f t="shared" si="119"/>
        <v>2049.6343782429281</v>
      </c>
      <c r="AC99" s="3">
        <f t="shared" si="119"/>
        <v>2212.1118388761633</v>
      </c>
      <c r="AD99" s="3">
        <f t="shared" si="119"/>
        <v>2352.4003506762729</v>
      </c>
      <c r="AE99" s="3">
        <f t="shared" si="119"/>
        <v>2497.7651009280662</v>
      </c>
      <c r="AF99" s="3">
        <f t="shared" si="119"/>
        <v>2648.4629696308002</v>
      </c>
      <c r="AG99" s="3">
        <f t="shared" ref="AG99:BL99" si="120">+AF99*(1+$AJ$103)</f>
        <v>2674.947599327108</v>
      </c>
      <c r="AH99" s="3">
        <f t="shared" si="120"/>
        <v>2701.6970753203791</v>
      </c>
      <c r="AI99" s="3">
        <f t="shared" si="120"/>
        <v>2728.7140460735827</v>
      </c>
      <c r="AJ99" s="3">
        <f t="shared" si="120"/>
        <v>2756.0011865343185</v>
      </c>
      <c r="AK99" s="3">
        <f t="shared" si="120"/>
        <v>2783.5611983996619</v>
      </c>
      <c r="AL99" s="3">
        <f t="shared" si="120"/>
        <v>2811.3968103836587</v>
      </c>
      <c r="AM99" s="3">
        <f t="shared" si="120"/>
        <v>2839.5107784874954</v>
      </c>
      <c r="AN99" s="3">
        <f t="shared" si="120"/>
        <v>2867.9058862723705</v>
      </c>
      <c r="AO99" s="3">
        <f t="shared" si="120"/>
        <v>2896.5849451350941</v>
      </c>
      <c r="AP99" s="3">
        <f t="shared" si="120"/>
        <v>2925.5507945864451</v>
      </c>
      <c r="AQ99" s="3">
        <f t="shared" si="120"/>
        <v>2954.8063025323095</v>
      </c>
      <c r="AR99" s="3">
        <f t="shared" si="120"/>
        <v>2984.3543655576327</v>
      </c>
      <c r="AS99" s="3">
        <f t="shared" si="120"/>
        <v>3014.1979092132092</v>
      </c>
      <c r="AT99" s="3">
        <f t="shared" si="120"/>
        <v>3044.3398883053414</v>
      </c>
      <c r="AU99" s="3">
        <f t="shared" si="120"/>
        <v>3074.7832871883948</v>
      </c>
      <c r="AV99" s="3">
        <f t="shared" si="120"/>
        <v>3105.5311200602787</v>
      </c>
      <c r="AW99" s="3">
        <f t="shared" si="120"/>
        <v>3136.5864312608815</v>
      </c>
      <c r="AX99" s="3">
        <f t="shared" si="120"/>
        <v>3167.9522955734901</v>
      </c>
      <c r="AY99" s="3">
        <f t="shared" si="120"/>
        <v>3199.6318185292253</v>
      </c>
      <c r="AZ99" s="3">
        <f t="shared" si="120"/>
        <v>3231.6281367145175</v>
      </c>
      <c r="BA99" s="3">
        <f t="shared" si="120"/>
        <v>3263.9444180816627</v>
      </c>
      <c r="BB99" s="3">
        <f t="shared" si="120"/>
        <v>3296.5838622624792</v>
      </c>
      <c r="BC99" s="3">
        <f t="shared" si="120"/>
        <v>3329.5497008851039</v>
      </c>
      <c r="BD99" s="3">
        <f t="shared" si="120"/>
        <v>3362.8451978939552</v>
      </c>
      <c r="BE99" s="3">
        <f t="shared" si="120"/>
        <v>3396.4736498728948</v>
      </c>
      <c r="BF99" s="3">
        <f t="shared" si="120"/>
        <v>3430.4383863716239</v>
      </c>
      <c r="BG99" s="3">
        <f t="shared" si="120"/>
        <v>3464.7427702353402</v>
      </c>
      <c r="BH99" s="3">
        <f t="shared" si="120"/>
        <v>3499.3901979376938</v>
      </c>
      <c r="BI99" s="3">
        <f t="shared" si="120"/>
        <v>3534.3840999170707</v>
      </c>
      <c r="BJ99" s="3">
        <f t="shared" si="120"/>
        <v>3569.7279409162416</v>
      </c>
      <c r="BK99" s="3">
        <f t="shared" si="120"/>
        <v>3605.4252203254041</v>
      </c>
      <c r="BL99" s="3">
        <f t="shared" si="120"/>
        <v>3641.4794725286583</v>
      </c>
      <c r="BM99" s="3">
        <f t="shared" ref="BM99:CN99" si="121">+BL99*(1+$AJ$103)</f>
        <v>3677.8942672539451</v>
      </c>
      <c r="BN99" s="3">
        <f t="shared" si="121"/>
        <v>3714.6732099264846</v>
      </c>
      <c r="BO99" s="3">
        <f t="shared" si="121"/>
        <v>3751.8199420257492</v>
      </c>
      <c r="BP99" s="3">
        <f t="shared" si="121"/>
        <v>3789.3381414460068</v>
      </c>
      <c r="BQ99" s="3">
        <f t="shared" si="121"/>
        <v>3827.2315228604671</v>
      </c>
      <c r="BR99" s="3">
        <f t="shared" si="121"/>
        <v>3865.5038380890719</v>
      </c>
      <c r="BS99" s="3">
        <f t="shared" si="121"/>
        <v>3904.1588764699627</v>
      </c>
      <c r="BT99" s="3">
        <f t="shared" si="121"/>
        <v>3943.2004652346623</v>
      </c>
      <c r="BU99" s="3">
        <f t="shared" si="121"/>
        <v>3982.6324698870089</v>
      </c>
      <c r="BV99" s="3">
        <f t="shared" si="121"/>
        <v>4022.4587945858789</v>
      </c>
      <c r="BW99" s="3">
        <f t="shared" si="121"/>
        <v>4062.6833825317376</v>
      </c>
      <c r="BX99" s="3">
        <f t="shared" si="121"/>
        <v>4103.3102163570547</v>
      </c>
      <c r="BY99" s="3">
        <f t="shared" si="121"/>
        <v>4144.343318520625</v>
      </c>
      <c r="BZ99" s="3">
        <f t="shared" si="121"/>
        <v>4185.7867517058312</v>
      </c>
      <c r="CA99" s="3">
        <f t="shared" si="121"/>
        <v>4227.6446192228896</v>
      </c>
      <c r="CB99" s="3">
        <f t="shared" si="121"/>
        <v>4269.9210654151184</v>
      </c>
      <c r="CC99" s="3">
        <f t="shared" si="121"/>
        <v>4312.6202760692695</v>
      </c>
      <c r="CD99" s="3">
        <f t="shared" si="121"/>
        <v>4355.7464788299621</v>
      </c>
      <c r="CE99" s="3">
        <f t="shared" si="121"/>
        <v>4399.3039436182617</v>
      </c>
      <c r="CF99" s="3">
        <f t="shared" si="121"/>
        <v>4443.2969830544444</v>
      </c>
      <c r="CG99" s="3">
        <f t="shared" si="121"/>
        <v>4487.729952884989</v>
      </c>
      <c r="CH99" s="3">
        <f t="shared" si="121"/>
        <v>4532.607252413839</v>
      </c>
      <c r="CI99" s="3">
        <f t="shared" si="121"/>
        <v>4577.933324937977</v>
      </c>
      <c r="CJ99" s="3">
        <f t="shared" si="121"/>
        <v>4623.7126581873572</v>
      </c>
      <c r="CK99" s="3">
        <f t="shared" si="121"/>
        <v>4669.949784769231</v>
      </c>
      <c r="CL99" s="3">
        <f t="shared" si="121"/>
        <v>4716.6492826169233</v>
      </c>
      <c r="CM99" s="3">
        <f t="shared" si="121"/>
        <v>4763.8157754430922</v>
      </c>
      <c r="CN99" s="3">
        <f t="shared" si="121"/>
        <v>4811.4539331975229</v>
      </c>
    </row>
    <row r="100" spans="2:92">
      <c r="B100" s="1" t="s">
        <v>45</v>
      </c>
      <c r="C100" s="1">
        <v>469</v>
      </c>
      <c r="D100" s="1">
        <v>469</v>
      </c>
      <c r="E100" s="1">
        <v>470</v>
      </c>
      <c r="F100" s="1">
        <f>+F99/F101</f>
        <v>462.1591698567982</v>
      </c>
      <c r="G100" s="1">
        <v>465</v>
      </c>
      <c r="H100" s="1">
        <v>466</v>
      </c>
      <c r="I100" s="1">
        <v>465</v>
      </c>
      <c r="J100" s="1">
        <f>+J99/J101</f>
        <v>458.94442452565085</v>
      </c>
      <c r="K100" s="1">
        <v>458</v>
      </c>
      <c r="L100" s="1">
        <v>455</v>
      </c>
      <c r="M100" s="1">
        <v>454</v>
      </c>
      <c r="N100" s="1">
        <v>458</v>
      </c>
      <c r="S100" s="1">
        <v>473</v>
      </c>
      <c r="T100" s="1">
        <v>469</v>
      </c>
      <c r="U100" s="1">
        <v>468</v>
      </c>
      <c r="V100" s="1">
        <v>464</v>
      </c>
      <c r="W100" s="27">
        <f t="shared" si="95"/>
        <v>1825</v>
      </c>
      <c r="X100" s="1">
        <f>+W100</f>
        <v>1825</v>
      </c>
      <c r="Y100" s="1">
        <f t="shared" ref="Y100:AF100" si="122">+X100</f>
        <v>1825</v>
      </c>
      <c r="Z100" s="1">
        <f t="shared" si="122"/>
        <v>1825</v>
      </c>
      <c r="AA100" s="1">
        <f t="shared" si="122"/>
        <v>1825</v>
      </c>
      <c r="AB100" s="1">
        <f t="shared" si="122"/>
        <v>1825</v>
      </c>
      <c r="AC100" s="1">
        <f t="shared" si="122"/>
        <v>1825</v>
      </c>
      <c r="AD100" s="1">
        <f t="shared" si="122"/>
        <v>1825</v>
      </c>
      <c r="AE100" s="1">
        <f t="shared" si="122"/>
        <v>1825</v>
      </c>
      <c r="AF100" s="1">
        <f t="shared" si="122"/>
        <v>1825</v>
      </c>
    </row>
    <row r="101" spans="2:92" s="4" customFormat="1">
      <c r="B101" s="4" t="s">
        <v>46</v>
      </c>
      <c r="C101" s="4">
        <f>+C99/C100</f>
        <v>0.30703624733475482</v>
      </c>
      <c r="D101" s="4">
        <f>+D99/D100</f>
        <v>0.22601279317697229</v>
      </c>
      <c r="E101" s="4">
        <f>+E99/E100</f>
        <v>0.30851063829787234</v>
      </c>
      <c r="F101" s="4">
        <f t="shared" si="91"/>
        <v>0.19690185965193918</v>
      </c>
      <c r="G101" s="4">
        <f>+G99/G100</f>
        <v>0.38494623655913979</v>
      </c>
      <c r="H101" s="4">
        <f>+H99/H100</f>
        <v>0.55579399141630903</v>
      </c>
      <c r="I101" s="4">
        <f>+I99/I100</f>
        <v>0.47526881720430109</v>
      </c>
      <c r="J101" s="4">
        <f>+V101-SUM(G101:I101)</f>
        <v>0.39002543757887076</v>
      </c>
      <c r="K101" s="4">
        <f>+K99/K100</f>
        <v>0.39956331877729256</v>
      </c>
      <c r="L101" s="4">
        <f>+L99/L100</f>
        <v>0.51868131868131873</v>
      </c>
      <c r="M101" s="4">
        <f t="shared" ref="M101:N101" si="123">+M99/M100</f>
        <v>0.79295154185022021</v>
      </c>
      <c r="N101" s="4">
        <f t="shared" si="123"/>
        <v>0.69514710470926078</v>
      </c>
      <c r="S101" s="4">
        <f>+S99/S100</f>
        <v>1.2938689217758985</v>
      </c>
      <c r="T101" s="4">
        <f>+T99/T100</f>
        <v>1.3710021321961621</v>
      </c>
      <c r="U101" s="4">
        <f>+U99/U100</f>
        <v>1.0384615384615385</v>
      </c>
      <c r="V101" s="4">
        <f>+V99/V100</f>
        <v>1.8060344827586208</v>
      </c>
      <c r="W101" s="30">
        <f>+SUM(K101:N101)</f>
        <v>2.4063432840180923</v>
      </c>
      <c r="X101" s="4">
        <f>+X99/X100</f>
        <v>0.7801601691454717</v>
      </c>
      <c r="Y101" s="4">
        <f>+Y99/Y100</f>
        <v>0.86599732654771067</v>
      </c>
      <c r="Z101" s="4">
        <f>+Z99/Z100</f>
        <v>0.95645563467901873</v>
      </c>
      <c r="AA101" s="4">
        <f t="shared" ref="AA101:AF101" si="124">+AA99/AA100</f>
        <v>1.0379409723906599</v>
      </c>
      <c r="AB101" s="4">
        <f t="shared" si="124"/>
        <v>1.1230873305440701</v>
      </c>
      <c r="AC101" s="4">
        <f t="shared" si="124"/>
        <v>1.2121160760965279</v>
      </c>
      <c r="AD101" s="4">
        <f t="shared" si="124"/>
        <v>1.2889864935212454</v>
      </c>
      <c r="AE101" s="4">
        <f t="shared" si="124"/>
        <v>1.3686384114674335</v>
      </c>
      <c r="AF101" s="4">
        <f t="shared" si="124"/>
        <v>1.4512125860990686</v>
      </c>
    </row>
    <row r="102" spans="2:92">
      <c r="AI102" s="1" t="s">
        <v>160</v>
      </c>
      <c r="AJ102" s="5">
        <v>0.03</v>
      </c>
    </row>
    <row r="103" spans="2:92" s="5" customFormat="1">
      <c r="B103" s="5" t="s">
        <v>47</v>
      </c>
      <c r="H103" s="5">
        <f>+H81/D81-1</f>
        <v>0.45320197044334964</v>
      </c>
      <c r="I103" s="5">
        <f>+I81/E81-1</f>
        <v>0.14787430683918679</v>
      </c>
      <c r="J103" s="5">
        <f>+J81/F81-1</f>
        <v>0.17229129662522213</v>
      </c>
      <c r="K103" s="5">
        <f t="shared" ref="K103:L103" si="125">+K81/G81-1</f>
        <v>0.20118343195266264</v>
      </c>
      <c r="L103" s="5">
        <f t="shared" si="125"/>
        <v>0.19999999999999996</v>
      </c>
      <c r="M103" s="5">
        <f t="shared" ref="M103" si="126">+M81/I81-1</f>
        <v>0.22222222222222232</v>
      </c>
      <c r="Q103" s="5">
        <f t="shared" ref="Q103:R103" si="127">+Q81/P81-1</f>
        <v>1.6597510373443924E-2</v>
      </c>
      <c r="R103" s="5">
        <f t="shared" si="127"/>
        <v>8.3900226757369634E-2</v>
      </c>
      <c r="S103" s="5">
        <f t="shared" ref="S103" si="128">+S81/R81-1</f>
        <v>-1.4644351464435101E-2</v>
      </c>
      <c r="T103" s="5">
        <f t="shared" ref="T103:V103" si="129">+T81/S81-1</f>
        <v>2.9723991507430991E-3</v>
      </c>
      <c r="U103" s="5">
        <f t="shared" si="129"/>
        <v>-0.14775613886536831</v>
      </c>
      <c r="V103" s="5">
        <f t="shared" si="129"/>
        <v>0.18132141082960751</v>
      </c>
      <c r="AI103" s="1" t="s">
        <v>148</v>
      </c>
      <c r="AJ103" s="5">
        <v>0.01</v>
      </c>
    </row>
    <row r="104" spans="2:92" s="5" customFormat="1">
      <c r="B104" s="5" t="s">
        <v>157</v>
      </c>
      <c r="H104" s="5">
        <f t="shared" ref="H104:L104" si="130">+H7/D7-1</f>
        <v>0.46560846560846558</v>
      </c>
      <c r="I104" s="5">
        <f t="shared" si="130"/>
        <v>0.1614173228346456</v>
      </c>
      <c r="J104" s="5">
        <f t="shared" si="130"/>
        <v>0.17135549872122757</v>
      </c>
      <c r="K104" s="5">
        <f t="shared" si="130"/>
        <v>0.1676056338028169</v>
      </c>
      <c r="L104" s="5">
        <f t="shared" si="130"/>
        <v>0.16486161251504217</v>
      </c>
      <c r="M104" s="5">
        <f>+M7/I7-1</f>
        <v>0.1672316384180792</v>
      </c>
      <c r="U104" s="5">
        <f>+U7/T7-1</f>
        <v>-0.15968899521531099</v>
      </c>
      <c r="V104" s="5">
        <f>+V7/U7-1</f>
        <v>0.18932384341637021</v>
      </c>
      <c r="AI104" s="5" t="s">
        <v>80</v>
      </c>
      <c r="AJ104" s="31">
        <v>7.0000000000000007E-2</v>
      </c>
    </row>
    <row r="105" spans="2:92" s="5" customFormat="1">
      <c r="B105" s="5" t="s">
        <v>158</v>
      </c>
      <c r="H105" s="5">
        <f t="shared" ref="H105:L105" si="131">+H24/D24-1</f>
        <v>0.32276657060518743</v>
      </c>
      <c r="I105" s="5">
        <f t="shared" si="131"/>
        <v>7.8521939953810627E-2</v>
      </c>
      <c r="J105" s="5">
        <f t="shared" si="131"/>
        <v>0.10599078341013835</v>
      </c>
      <c r="K105" s="5">
        <f t="shared" si="131"/>
        <v>8.8452088452088518E-2</v>
      </c>
      <c r="L105" s="5">
        <f t="shared" si="131"/>
        <v>3.0501089324618702E-2</v>
      </c>
      <c r="M105" s="5">
        <f>+M24/I24-1</f>
        <v>5.1391862955032064E-2</v>
      </c>
      <c r="U105" s="5">
        <f>+U24/T24-1</f>
        <v>-9.8480585256049524E-2</v>
      </c>
      <c r="V105" s="5">
        <f>+V24/U24-1</f>
        <v>0.13171036204744069</v>
      </c>
      <c r="AI105" s="1" t="s">
        <v>81</v>
      </c>
      <c r="AJ105" s="1">
        <f>NPV(AJ104,W99:CN99)+Main!H10-Main!H11</f>
        <v>22987.885940436652</v>
      </c>
    </row>
    <row r="106" spans="2:92" s="5" customFormat="1">
      <c r="B106" s="5" t="s">
        <v>159</v>
      </c>
      <c r="H106" s="5">
        <f t="shared" ref="H106:L106" si="132">+H41/D41-1</f>
        <v>0.10447761194029859</v>
      </c>
      <c r="I106" s="5">
        <f t="shared" si="132"/>
        <v>7.0422535211267512E-3</v>
      </c>
      <c r="J106" s="5">
        <f t="shared" si="132"/>
        <v>2.1126760563380254E-2</v>
      </c>
      <c r="K106" s="5">
        <f t="shared" si="132"/>
        <v>3.4965034965035002E-2</v>
      </c>
      <c r="L106" s="5">
        <f t="shared" si="132"/>
        <v>0.11486486486486491</v>
      </c>
      <c r="M106" s="5">
        <f>+M41/I41-1</f>
        <v>0.14685314685314688</v>
      </c>
      <c r="U106" s="5">
        <f>+U41/T41-1</f>
        <v>0.15352697095435675</v>
      </c>
      <c r="V106" s="5">
        <f>+V41/U41-1</f>
        <v>4.1366906474820109E-2</v>
      </c>
      <c r="AI106" s="1" t="s">
        <v>13</v>
      </c>
      <c r="AJ106" s="1">
        <f>+Main!H8</f>
        <v>305.90462000000002</v>
      </c>
    </row>
    <row r="107" spans="2:92">
      <c r="B107" s="1" t="s">
        <v>48</v>
      </c>
      <c r="H107" s="5">
        <f t="shared" ref="H107:M109" si="133">+H82/D82-1</f>
        <v>0.36444444444444435</v>
      </c>
      <c r="I107" s="5">
        <f t="shared" si="133"/>
        <v>0.10745233968804158</v>
      </c>
      <c r="J107" s="5">
        <f t="shared" si="133"/>
        <v>0.14411247803163452</v>
      </c>
      <c r="K107" s="5">
        <f t="shared" si="133"/>
        <v>0.12226277372262784</v>
      </c>
      <c r="L107" s="5">
        <f t="shared" si="133"/>
        <v>0.10097719869706845</v>
      </c>
      <c r="M107" s="5">
        <f t="shared" si="133"/>
        <v>9.2331768388106417E-2</v>
      </c>
      <c r="N107" s="5"/>
      <c r="Q107" s="5">
        <f t="shared" ref="Q107:S107" si="134">+Q82/P82-1</f>
        <v>3.0692438402718736E-2</v>
      </c>
      <c r="R107" s="5">
        <f t="shared" si="134"/>
        <v>0.12622359608449263</v>
      </c>
      <c r="S107" s="5">
        <f t="shared" si="134"/>
        <v>0.37328453796889294</v>
      </c>
      <c r="T107" s="5">
        <f>+T82/S82-1</f>
        <v>-0.20686209193870753</v>
      </c>
      <c r="U107" s="5">
        <f>+U82/T82-1</f>
        <v>-0.10919781604367917</v>
      </c>
      <c r="V107" s="5">
        <f>+V82/U82-1</f>
        <v>0.15605846298915615</v>
      </c>
      <c r="AI107" s="3" t="s">
        <v>82</v>
      </c>
      <c r="AJ107" s="3">
        <f>+AJ105/AJ106</f>
        <v>75.147233606464169</v>
      </c>
    </row>
    <row r="108" spans="2:92">
      <c r="B108" s="1" t="s">
        <v>49</v>
      </c>
      <c r="H108" s="5">
        <f t="shared" si="133"/>
        <v>0.21875</v>
      </c>
      <c r="I108" s="5">
        <f t="shared" si="133"/>
        <v>7.3059360730593603E-2</v>
      </c>
      <c r="J108" s="5">
        <f t="shared" si="133"/>
        <v>3.9823008849557473E-2</v>
      </c>
      <c r="K108" s="5">
        <f t="shared" si="133"/>
        <v>0.1073170731707318</v>
      </c>
      <c r="L108" s="5">
        <f t="shared" si="133"/>
        <v>8.9743589743589647E-2</v>
      </c>
      <c r="M108" s="5">
        <f t="shared" si="133"/>
        <v>0.14468085106382977</v>
      </c>
      <c r="N108" s="5"/>
      <c r="Q108" s="5"/>
      <c r="R108" s="5"/>
      <c r="S108" s="5"/>
      <c r="T108" s="5"/>
      <c r="U108" s="5">
        <f>+U83/T83-1</f>
        <v>-3.0232558139534849E-2</v>
      </c>
      <c r="V108" s="5">
        <f>+V83/U83-1</f>
        <v>8.9928057553956942E-2</v>
      </c>
      <c r="AI108" s="1" t="s">
        <v>83</v>
      </c>
      <c r="AJ108" s="1">
        <f>+Main!H7</f>
        <v>66.430000000000007</v>
      </c>
    </row>
    <row r="109" spans="2:92" s="3" customFormat="1">
      <c r="B109" s="3" t="s">
        <v>50</v>
      </c>
      <c r="H109" s="6">
        <f t="shared" si="133"/>
        <v>0.37213740458015265</v>
      </c>
      <c r="I109" s="6">
        <f t="shared" si="133"/>
        <v>0.11817501869857883</v>
      </c>
      <c r="J109" s="6">
        <f t="shared" si="133"/>
        <v>0.1384388807069219</v>
      </c>
      <c r="K109" s="6">
        <f t="shared" si="133"/>
        <v>0.15158730158730149</v>
      </c>
      <c r="L109" s="6">
        <f t="shared" si="133"/>
        <v>0.13977746870653696</v>
      </c>
      <c r="M109" s="6">
        <f t="shared" si="133"/>
        <v>0.15451505016722411</v>
      </c>
      <c r="N109" s="6">
        <f>+N84/J84-1</f>
        <v>3.146184139054875E-2</v>
      </c>
      <c r="Q109" s="6">
        <f t="shared" ref="Q109:S109" si="135">+Q84/P84-1</f>
        <v>-2.4975306899957639E-2</v>
      </c>
      <c r="R109" s="6">
        <f t="shared" si="135"/>
        <v>0.1037144235407621</v>
      </c>
      <c r="S109" s="6">
        <f t="shared" si="135"/>
        <v>0.17067307692307687</v>
      </c>
      <c r="T109" s="6">
        <f>+T84/S84-1</f>
        <v>4.592122456598835E-2</v>
      </c>
      <c r="U109" s="6">
        <f>+U84/T84-1</f>
        <v>-0.11333214349455645</v>
      </c>
      <c r="V109" s="6">
        <f>+V84/U84-1</f>
        <v>0.15519323671497576</v>
      </c>
      <c r="W109" s="6">
        <f t="shared" ref="W109:AF109" si="136">+W84/V84-1</f>
        <v>0.11703084279313258</v>
      </c>
      <c r="X109" s="6">
        <f t="shared" si="136"/>
        <v>7.3592171081344304E-2</v>
      </c>
      <c r="Y109" s="6">
        <f t="shared" si="136"/>
        <v>6.3546692541907923E-2</v>
      </c>
      <c r="Z109" s="6">
        <f t="shared" si="136"/>
        <v>6.353486510821349E-2</v>
      </c>
      <c r="AA109" s="6">
        <f t="shared" si="136"/>
        <v>5.3489879349885472E-2</v>
      </c>
      <c r="AB109" s="6">
        <f t="shared" si="136"/>
        <v>5.3478318481465559E-2</v>
      </c>
      <c r="AC109" s="6">
        <f t="shared" si="136"/>
        <v>5.3466833955162274E-2</v>
      </c>
      <c r="AD109" s="6">
        <f t="shared" si="136"/>
        <v>4.3422516207588746E-2</v>
      </c>
      <c r="AE109" s="6">
        <f t="shared" si="136"/>
        <v>4.3411290058057661E-2</v>
      </c>
      <c r="AF109" s="6">
        <f t="shared" si="136"/>
        <v>4.3400137313237774E-2</v>
      </c>
      <c r="AI109" s="5" t="s">
        <v>84</v>
      </c>
      <c r="AJ109" s="6">
        <f>+AJ107/AJ108-1</f>
        <v>0.13122435054138437</v>
      </c>
    </row>
    <row r="111" spans="2:92" s="5" customFormat="1">
      <c r="B111" s="5" t="s">
        <v>52</v>
      </c>
      <c r="C111" s="5">
        <f t="shared" ref="C111:N111" si="137">+C92/C84</f>
        <v>0.31755102040816324</v>
      </c>
      <c r="D111" s="5">
        <f t="shared" si="137"/>
        <v>0.2318702290076336</v>
      </c>
      <c r="E111" s="5">
        <f t="shared" si="137"/>
        <v>0.31189229618548991</v>
      </c>
      <c r="F111" s="5">
        <f t="shared" si="137"/>
        <v>0.27466863033873345</v>
      </c>
      <c r="G111" s="5">
        <f t="shared" si="137"/>
        <v>0.35079365079365077</v>
      </c>
      <c r="H111" s="5">
        <f t="shared" si="137"/>
        <v>0.33936022253129344</v>
      </c>
      <c r="I111" s="5">
        <f t="shared" si="137"/>
        <v>0.35652173913043478</v>
      </c>
      <c r="J111" s="5">
        <f t="shared" si="137"/>
        <v>0.26908150064683051</v>
      </c>
      <c r="K111" s="5">
        <f t="shared" si="137"/>
        <v>0.31013094417643006</v>
      </c>
      <c r="L111" s="5">
        <f t="shared" si="137"/>
        <v>0.33007931665649787</v>
      </c>
      <c r="M111" s="5">
        <f t="shared" si="137"/>
        <v>0.32502896871378911</v>
      </c>
      <c r="N111" s="5">
        <f t="shared" si="137"/>
        <v>0.26908150064683045</v>
      </c>
      <c r="S111" s="5">
        <f t="shared" ref="S111:AF111" si="138">+S92/S84</f>
        <v>0.35784954265447078</v>
      </c>
      <c r="T111" s="5">
        <f t="shared" si="138"/>
        <v>0.35820096376940924</v>
      </c>
      <c r="U111" s="5">
        <f t="shared" si="138"/>
        <v>0.28623188405797101</v>
      </c>
      <c r="V111" s="5">
        <f t="shared" si="138"/>
        <v>0.3274089562641575</v>
      </c>
      <c r="W111" s="5">
        <f t="shared" si="138"/>
        <v>0.30903125490125966</v>
      </c>
      <c r="X111" s="5">
        <f t="shared" si="138"/>
        <v>0.31242378751045957</v>
      </c>
      <c r="Y111" s="5">
        <f t="shared" si="138"/>
        <v>0.31242378751045968</v>
      </c>
      <c r="Z111" s="5">
        <f t="shared" si="138"/>
        <v>0.31242378751045974</v>
      </c>
      <c r="AA111" s="5">
        <f t="shared" si="138"/>
        <v>0.31242378751045968</v>
      </c>
      <c r="AB111" s="5">
        <f t="shared" si="138"/>
        <v>0.31242378751045963</v>
      </c>
      <c r="AC111" s="5">
        <f t="shared" si="138"/>
        <v>0.31242378751045968</v>
      </c>
      <c r="AD111" s="5">
        <f t="shared" si="138"/>
        <v>0.31242378751045968</v>
      </c>
      <c r="AE111" s="5">
        <f t="shared" si="138"/>
        <v>0.31242378751045974</v>
      </c>
      <c r="AF111" s="5">
        <f t="shared" si="138"/>
        <v>0.31242378751045963</v>
      </c>
    </row>
    <row r="113" spans="2:32" s="3" customFormat="1">
      <c r="B113" s="3" t="s">
        <v>109</v>
      </c>
      <c r="C113" s="3">
        <f t="shared" ref="C113:J113" si="139">C114-C130-C132</f>
        <v>-10427</v>
      </c>
      <c r="D113" s="3">
        <f t="shared" si="139"/>
        <v>-10876</v>
      </c>
      <c r="E113" s="3">
        <f t="shared" si="139"/>
        <v>-10488</v>
      </c>
      <c r="F113" s="3">
        <f t="shared" si="139"/>
        <v>-10948</v>
      </c>
      <c r="G113" s="3">
        <f t="shared" si="139"/>
        <v>-10935</v>
      </c>
      <c r="H113" s="3">
        <f t="shared" si="139"/>
        <v>-10726</v>
      </c>
      <c r="I113" s="3">
        <f t="shared" si="139"/>
        <v>-10719</v>
      </c>
      <c r="J113" s="3">
        <f t="shared" si="139"/>
        <v>-11925</v>
      </c>
      <c r="K113" s="3">
        <f>K114-K130-K132</f>
        <v>-12113</v>
      </c>
      <c r="L113" s="3">
        <f>L114-L130-L132</f>
        <v>-12155</v>
      </c>
      <c r="M113" s="3">
        <f t="shared" ref="M113:N113" si="140">M114-M130-M132</f>
        <v>-12024</v>
      </c>
      <c r="N113" s="3">
        <f t="shared" si="140"/>
        <v>0</v>
      </c>
      <c r="V113" s="3">
        <f>+M113</f>
        <v>-12024</v>
      </c>
      <c r="W113" s="3">
        <f>+V113*0.96</f>
        <v>-11543.039999999999</v>
      </c>
      <c r="X113" s="3">
        <f t="shared" ref="X113:AF113" si="141">+W113*0.96</f>
        <v>-11081.318399999998</v>
      </c>
      <c r="Y113" s="3">
        <f>+X113*0.96</f>
        <v>-10638.065663999998</v>
      </c>
      <c r="Z113" s="3">
        <f>+Y113*0.96</f>
        <v>-10212.543037439998</v>
      </c>
      <c r="AA113" s="3">
        <f>+Z113*0.96</f>
        <v>-9804.0413159423988</v>
      </c>
      <c r="AB113" s="3">
        <f t="shared" si="141"/>
        <v>-9411.8796633047023</v>
      </c>
      <c r="AC113" s="3">
        <f t="shared" si="141"/>
        <v>-9035.4044767725136</v>
      </c>
      <c r="AD113" s="3">
        <f t="shared" si="141"/>
        <v>-8673.9882977016132</v>
      </c>
      <c r="AE113" s="3">
        <f t="shared" si="141"/>
        <v>-8327.0287657935478</v>
      </c>
      <c r="AF113" s="3">
        <f t="shared" si="141"/>
        <v>-7993.9476151618055</v>
      </c>
    </row>
    <row r="114" spans="2:32">
      <c r="B114" s="1" t="s">
        <v>15</v>
      </c>
      <c r="C114" s="1">
        <v>2498</v>
      </c>
      <c r="D114" s="1">
        <v>1540</v>
      </c>
      <c r="E114" s="1">
        <v>1919</v>
      </c>
      <c r="F114" s="1">
        <v>1560</v>
      </c>
      <c r="G114" s="1">
        <v>1563</v>
      </c>
      <c r="H114" s="1">
        <v>1762</v>
      </c>
      <c r="I114" s="1">
        <v>1773</v>
      </c>
      <c r="J114" s="1">
        <v>1087</v>
      </c>
      <c r="K114" s="1">
        <v>895</v>
      </c>
      <c r="L114" s="1">
        <v>838</v>
      </c>
      <c r="M114" s="1">
        <v>946</v>
      </c>
    </row>
    <row r="115" spans="2:32">
      <c r="B115" s="1" t="s">
        <v>85</v>
      </c>
      <c r="C115" s="1">
        <v>414</v>
      </c>
      <c r="D115" s="1">
        <v>520</v>
      </c>
      <c r="E115" s="1">
        <v>589</v>
      </c>
      <c r="F115" s="1">
        <v>536</v>
      </c>
      <c r="G115" s="1">
        <v>519</v>
      </c>
      <c r="H115" s="1">
        <v>535</v>
      </c>
      <c r="I115" s="1">
        <v>537</v>
      </c>
      <c r="J115" s="1">
        <v>547</v>
      </c>
      <c r="K115" s="1">
        <v>593</v>
      </c>
      <c r="L115" s="1">
        <v>551</v>
      </c>
      <c r="M115" s="1">
        <v>598</v>
      </c>
    </row>
    <row r="116" spans="2:32">
      <c r="B116" s="1" t="s">
        <v>86</v>
      </c>
      <c r="C116" s="1">
        <v>85</v>
      </c>
      <c r="D116" s="1">
        <v>96</v>
      </c>
      <c r="E116" s="1">
        <v>87</v>
      </c>
      <c r="F116" s="1">
        <v>96</v>
      </c>
      <c r="G116" s="1">
        <v>98</v>
      </c>
      <c r="H116" s="1">
        <v>99</v>
      </c>
      <c r="I116" s="1">
        <v>96</v>
      </c>
      <c r="J116" s="1">
        <v>96</v>
      </c>
      <c r="K116" s="1">
        <v>108</v>
      </c>
      <c r="L116" s="1">
        <v>114</v>
      </c>
      <c r="M116" s="1">
        <v>129</v>
      </c>
    </row>
    <row r="117" spans="2:32">
      <c r="B117" s="1" t="s">
        <v>87</v>
      </c>
      <c r="C117" s="1">
        <v>62</v>
      </c>
      <c r="D117" s="1">
        <v>71</v>
      </c>
      <c r="E117" s="1">
        <v>85</v>
      </c>
      <c r="F117" s="1">
        <v>72</v>
      </c>
      <c r="G117" s="1">
        <v>111</v>
      </c>
      <c r="H117" s="1">
        <v>132</v>
      </c>
      <c r="I117" s="1">
        <v>178</v>
      </c>
      <c r="J117" s="1">
        <v>86</v>
      </c>
      <c r="K117" s="1">
        <v>90</v>
      </c>
      <c r="L117" s="1">
        <v>64</v>
      </c>
      <c r="M117" s="1">
        <v>251</v>
      </c>
    </row>
    <row r="118" spans="2:32" s="3" customFormat="1">
      <c r="B118" s="3" t="s">
        <v>88</v>
      </c>
      <c r="C118" s="3">
        <f t="shared" ref="C118:M118" si="142">+SUM(C114:C117)</f>
        <v>3059</v>
      </c>
      <c r="D118" s="3">
        <f t="shared" si="142"/>
        <v>2227</v>
      </c>
      <c r="E118" s="3">
        <f t="shared" si="142"/>
        <v>2680</v>
      </c>
      <c r="F118" s="3">
        <f t="shared" si="142"/>
        <v>2264</v>
      </c>
      <c r="G118" s="3">
        <f t="shared" si="142"/>
        <v>2291</v>
      </c>
      <c r="H118" s="3">
        <f t="shared" si="142"/>
        <v>2528</v>
      </c>
      <c r="I118" s="3">
        <f t="shared" si="142"/>
        <v>2584</v>
      </c>
      <c r="J118" s="3">
        <f t="shared" si="142"/>
        <v>1816</v>
      </c>
      <c r="K118" s="3">
        <f t="shared" si="142"/>
        <v>1686</v>
      </c>
      <c r="L118" s="3">
        <f t="shared" si="142"/>
        <v>1567</v>
      </c>
      <c r="M118" s="3">
        <f t="shared" si="142"/>
        <v>1924</v>
      </c>
    </row>
    <row r="119" spans="2:32">
      <c r="B119" s="1" t="s">
        <v>89</v>
      </c>
      <c r="C119" s="1">
        <v>1939</v>
      </c>
      <c r="D119" s="1">
        <v>1958</v>
      </c>
      <c r="E119" s="1">
        <v>1975</v>
      </c>
      <c r="F119" s="1">
        <v>2031</v>
      </c>
      <c r="G119" s="1">
        <v>2028</v>
      </c>
      <c r="H119" s="1">
        <v>2033</v>
      </c>
      <c r="I119" s="1">
        <v>2013</v>
      </c>
      <c r="J119" s="1">
        <v>2035</v>
      </c>
      <c r="K119" s="1">
        <v>2023</v>
      </c>
      <c r="L119" s="1">
        <v>1984</v>
      </c>
      <c r="M119" s="1">
        <v>1913</v>
      </c>
    </row>
    <row r="120" spans="2:32">
      <c r="B120" s="1" t="s">
        <v>90</v>
      </c>
      <c r="C120" s="1">
        <v>1115</v>
      </c>
      <c r="D120" s="1">
        <v>1117</v>
      </c>
      <c r="E120" s="1">
        <v>1122</v>
      </c>
      <c r="F120" s="1">
        <v>1152</v>
      </c>
      <c r="G120" s="1">
        <v>1140</v>
      </c>
      <c r="H120" s="1">
        <v>1143</v>
      </c>
      <c r="I120" s="1">
        <v>1118</v>
      </c>
      <c r="J120" s="1">
        <v>1130</v>
      </c>
      <c r="K120" s="1">
        <v>1137</v>
      </c>
      <c r="L120" s="1">
        <v>1113</v>
      </c>
      <c r="M120" s="1">
        <v>1056</v>
      </c>
    </row>
    <row r="121" spans="2:32">
      <c r="B121" s="1" t="s">
        <v>91</v>
      </c>
      <c r="C121" s="1">
        <v>10085</v>
      </c>
      <c r="D121" s="1">
        <v>10288</v>
      </c>
      <c r="E121" s="1">
        <v>10415</v>
      </c>
      <c r="F121" s="1">
        <v>10701</v>
      </c>
      <c r="G121" s="1">
        <v>10742</v>
      </c>
      <c r="H121" s="1">
        <v>10820</v>
      </c>
      <c r="I121" s="1">
        <v>10652</v>
      </c>
      <c r="J121" s="1">
        <v>11417</v>
      </c>
      <c r="K121" s="1">
        <v>11451</v>
      </c>
      <c r="L121" s="1">
        <v>11296</v>
      </c>
      <c r="M121" s="1">
        <v>10831</v>
      </c>
    </row>
    <row r="122" spans="2:32">
      <c r="B122" s="1" t="s">
        <v>92</v>
      </c>
      <c r="C122" s="1">
        <v>5376</v>
      </c>
      <c r="D122" s="1">
        <v>5498</v>
      </c>
      <c r="E122" s="1">
        <v>5571</v>
      </c>
      <c r="F122" s="1">
        <v>5739</v>
      </c>
      <c r="G122" s="1">
        <v>5781</v>
      </c>
      <c r="H122" s="1">
        <v>5831</v>
      </c>
      <c r="I122" s="1">
        <v>5743</v>
      </c>
      <c r="J122" s="1">
        <v>6006</v>
      </c>
      <c r="K122" s="1">
        <v>6050</v>
      </c>
      <c r="L122" s="1">
        <v>5866</v>
      </c>
      <c r="M122" s="1">
        <v>5605</v>
      </c>
    </row>
    <row r="123" spans="2:32">
      <c r="B123" s="1" t="s">
        <v>93</v>
      </c>
      <c r="C123" s="1">
        <v>49</v>
      </c>
      <c r="D123" s="1">
        <v>62</v>
      </c>
      <c r="E123" s="1">
        <v>63</v>
      </c>
      <c r="F123" s="1">
        <v>66</v>
      </c>
      <c r="G123" s="1">
        <v>67</v>
      </c>
      <c r="H123" s="1">
        <v>80</v>
      </c>
      <c r="I123" s="1">
        <v>79</v>
      </c>
      <c r="J123" s="1">
        <v>80</v>
      </c>
      <c r="K123" s="1">
        <v>82</v>
      </c>
      <c r="L123" s="1">
        <v>82</v>
      </c>
      <c r="M123" s="1">
        <v>83</v>
      </c>
    </row>
    <row r="124" spans="2:32">
      <c r="B124" s="1" t="s">
        <v>94</v>
      </c>
      <c r="C124" s="1">
        <v>1006</v>
      </c>
      <c r="D124" s="1">
        <v>866</v>
      </c>
      <c r="E124" s="1">
        <v>707</v>
      </c>
      <c r="F124" s="1">
        <v>824</v>
      </c>
      <c r="G124" s="1">
        <v>808</v>
      </c>
      <c r="H124" s="1">
        <v>806</v>
      </c>
      <c r="I124" s="1">
        <v>739</v>
      </c>
      <c r="J124" s="1">
        <v>762</v>
      </c>
      <c r="K124" s="1">
        <v>743</v>
      </c>
      <c r="L124" s="1">
        <v>845</v>
      </c>
      <c r="M124" s="1">
        <v>1145</v>
      </c>
    </row>
    <row r="125" spans="2:32" s="3" customFormat="1">
      <c r="B125" s="3" t="s">
        <v>95</v>
      </c>
      <c r="C125" s="3">
        <f t="shared" ref="C125:M125" si="143">+SUM(C118:C124)</f>
        <v>22629</v>
      </c>
      <c r="D125" s="3">
        <f t="shared" si="143"/>
        <v>22016</v>
      </c>
      <c r="E125" s="3">
        <f t="shared" si="143"/>
        <v>22533</v>
      </c>
      <c r="F125" s="3">
        <f t="shared" si="143"/>
        <v>22777</v>
      </c>
      <c r="G125" s="3">
        <f t="shared" si="143"/>
        <v>22857</v>
      </c>
      <c r="H125" s="3">
        <f t="shared" si="143"/>
        <v>23241</v>
      </c>
      <c r="I125" s="3">
        <f t="shared" si="143"/>
        <v>22928</v>
      </c>
      <c r="J125" s="3">
        <f t="shared" si="143"/>
        <v>23246</v>
      </c>
      <c r="K125" s="3">
        <f t="shared" si="143"/>
        <v>23172</v>
      </c>
      <c r="L125" s="3">
        <f t="shared" si="143"/>
        <v>22753</v>
      </c>
      <c r="M125" s="3">
        <f t="shared" si="143"/>
        <v>22557</v>
      </c>
    </row>
    <row r="127" spans="2:32">
      <c r="B127" s="1" t="s">
        <v>97</v>
      </c>
      <c r="C127" s="1">
        <v>484</v>
      </c>
      <c r="D127" s="1">
        <v>470</v>
      </c>
      <c r="E127" s="1">
        <v>523</v>
      </c>
      <c r="F127" s="1">
        <v>464</v>
      </c>
      <c r="G127" s="1">
        <v>488</v>
      </c>
      <c r="H127" s="1">
        <v>575</v>
      </c>
      <c r="I127" s="1">
        <v>592</v>
      </c>
      <c r="J127" s="1">
        <v>614</v>
      </c>
      <c r="K127" s="1">
        <v>637</v>
      </c>
      <c r="L127" s="1">
        <v>705</v>
      </c>
      <c r="M127" s="1">
        <v>696</v>
      </c>
    </row>
    <row r="128" spans="2:32">
      <c r="B128" s="1" t="s">
        <v>98</v>
      </c>
      <c r="C128" s="1">
        <v>779</v>
      </c>
      <c r="D128" s="1">
        <v>596</v>
      </c>
      <c r="E128" s="1">
        <v>883</v>
      </c>
      <c r="F128" s="1">
        <v>835</v>
      </c>
      <c r="G128" s="1">
        <v>805</v>
      </c>
      <c r="H128" s="1">
        <v>812</v>
      </c>
      <c r="I128" s="1">
        <v>910</v>
      </c>
      <c r="J128" s="1">
        <v>947</v>
      </c>
      <c r="K128" s="1">
        <v>917</v>
      </c>
      <c r="L128" s="1">
        <v>783</v>
      </c>
      <c r="M128" s="1">
        <v>959</v>
      </c>
    </row>
    <row r="129" spans="2:22">
      <c r="B129" s="1" t="s">
        <v>99</v>
      </c>
      <c r="C129" s="1">
        <v>106</v>
      </c>
      <c r="D129" s="1">
        <v>112</v>
      </c>
      <c r="E129" s="1">
        <v>108</v>
      </c>
      <c r="F129" s="1">
        <v>191</v>
      </c>
      <c r="G129" s="1">
        <v>147</v>
      </c>
      <c r="H129" s="1">
        <v>149</v>
      </c>
      <c r="I129" s="1">
        <v>137</v>
      </c>
      <c r="J129" s="1">
        <v>221</v>
      </c>
      <c r="K129" s="1">
        <v>169</v>
      </c>
      <c r="L129" s="1">
        <v>163</v>
      </c>
      <c r="M129" s="1">
        <v>148</v>
      </c>
    </row>
    <row r="130" spans="2:22">
      <c r="B130" s="1" t="s">
        <v>100</v>
      </c>
      <c r="C130" s="1">
        <v>103</v>
      </c>
      <c r="D130" s="1">
        <v>106</v>
      </c>
      <c r="E130" s="1">
        <v>107</v>
      </c>
      <c r="F130" s="1">
        <v>111</v>
      </c>
      <c r="G130" s="1">
        <v>112</v>
      </c>
      <c r="H130" s="1">
        <v>113</v>
      </c>
      <c r="I130" s="1">
        <v>113</v>
      </c>
      <c r="J130" s="1">
        <v>96</v>
      </c>
      <c r="K130" s="1">
        <v>105</v>
      </c>
      <c r="L130" s="1">
        <v>112</v>
      </c>
      <c r="M130" s="1">
        <v>117</v>
      </c>
    </row>
    <row r="131" spans="2:22" s="3" customFormat="1">
      <c r="B131" s="3" t="s">
        <v>101</v>
      </c>
      <c r="C131" s="3">
        <f t="shared" ref="C131:M131" si="144">+SUM(C127:C130)</f>
        <v>1472</v>
      </c>
      <c r="D131" s="3">
        <f t="shared" si="144"/>
        <v>1284</v>
      </c>
      <c r="E131" s="3">
        <f t="shared" si="144"/>
        <v>1621</v>
      </c>
      <c r="F131" s="3">
        <f t="shared" si="144"/>
        <v>1601</v>
      </c>
      <c r="G131" s="3">
        <f t="shared" si="144"/>
        <v>1552</v>
      </c>
      <c r="H131" s="3">
        <f t="shared" si="144"/>
        <v>1649</v>
      </c>
      <c r="I131" s="3">
        <f t="shared" si="144"/>
        <v>1752</v>
      </c>
      <c r="J131" s="3">
        <f t="shared" si="144"/>
        <v>1878</v>
      </c>
      <c r="K131" s="3">
        <f t="shared" si="144"/>
        <v>1828</v>
      </c>
      <c r="L131" s="3">
        <f t="shared" si="144"/>
        <v>1763</v>
      </c>
      <c r="M131" s="3">
        <f t="shared" si="144"/>
        <v>1920</v>
      </c>
    </row>
    <row r="132" spans="2:22">
      <c r="B132" s="1" t="s">
        <v>102</v>
      </c>
      <c r="C132" s="1">
        <v>12822</v>
      </c>
      <c r="D132" s="1">
        <v>12310</v>
      </c>
      <c r="E132" s="1">
        <v>12300</v>
      </c>
      <c r="F132" s="1">
        <v>12397</v>
      </c>
      <c r="G132" s="1">
        <v>12386</v>
      </c>
      <c r="H132" s="1">
        <v>12375</v>
      </c>
      <c r="I132" s="1">
        <v>12379</v>
      </c>
      <c r="J132" s="1">
        <v>12916</v>
      </c>
      <c r="K132" s="1">
        <v>12903</v>
      </c>
      <c r="L132" s="1">
        <v>12881</v>
      </c>
      <c r="M132" s="1">
        <v>12853</v>
      </c>
    </row>
    <row r="133" spans="2:22">
      <c r="B133" s="1" t="s">
        <v>103</v>
      </c>
      <c r="C133" s="1">
        <v>283</v>
      </c>
      <c r="D133" s="1">
        <v>299</v>
      </c>
      <c r="E133" s="1">
        <v>304</v>
      </c>
      <c r="F133" s="1">
        <v>315</v>
      </c>
      <c r="G133" s="1">
        <v>318</v>
      </c>
      <c r="H133" s="1">
        <v>326</v>
      </c>
      <c r="I133" s="1">
        <v>328</v>
      </c>
      <c r="J133" s="1">
        <v>333</v>
      </c>
      <c r="K133" s="1">
        <v>337</v>
      </c>
      <c r="L133" s="1">
        <v>326</v>
      </c>
      <c r="M133" s="1">
        <v>310</v>
      </c>
    </row>
    <row r="134" spans="2:22">
      <c r="B134" s="1" t="s">
        <v>90</v>
      </c>
      <c r="C134" s="1">
        <v>1039</v>
      </c>
      <c r="D134" s="1">
        <v>1046</v>
      </c>
      <c r="E134" s="1">
        <v>1054</v>
      </c>
      <c r="F134" s="1">
        <v>1082</v>
      </c>
      <c r="G134" s="1">
        <v>1075</v>
      </c>
      <c r="H134" s="1">
        <v>1078</v>
      </c>
      <c r="I134" s="1">
        <v>1056</v>
      </c>
      <c r="J134" s="1">
        <v>1070</v>
      </c>
      <c r="K134" s="1">
        <v>1074</v>
      </c>
      <c r="L134" s="1">
        <v>1053</v>
      </c>
      <c r="M134" s="1">
        <v>1003</v>
      </c>
    </row>
    <row r="135" spans="2:22">
      <c r="B135" s="1" t="s">
        <v>104</v>
      </c>
      <c r="C135" s="1">
        <v>1774</v>
      </c>
      <c r="D135" s="1">
        <v>1810</v>
      </c>
      <c r="E135" s="1">
        <v>1917</v>
      </c>
      <c r="F135" s="1">
        <v>2236</v>
      </c>
      <c r="G135" s="1">
        <v>2089</v>
      </c>
      <c r="H135" s="1">
        <v>2110</v>
      </c>
      <c r="I135" s="1">
        <v>1898</v>
      </c>
      <c r="J135" s="1">
        <v>1822</v>
      </c>
      <c r="K135" s="1">
        <v>1689</v>
      </c>
      <c r="L135" s="1">
        <v>1477</v>
      </c>
      <c r="M135" s="1">
        <v>1044</v>
      </c>
    </row>
    <row r="136" spans="2:22">
      <c r="B136" s="1" t="s">
        <v>105</v>
      </c>
      <c r="C136" s="1">
        <v>1487</v>
      </c>
      <c r="D136" s="1">
        <v>1415</v>
      </c>
      <c r="E136" s="1">
        <v>1422</v>
      </c>
      <c r="F136" s="1">
        <v>1425</v>
      </c>
      <c r="G136" s="1">
        <v>1435</v>
      </c>
      <c r="H136" s="1">
        <v>1444</v>
      </c>
      <c r="I136" s="1">
        <v>1407</v>
      </c>
      <c r="J136" s="1">
        <v>1374</v>
      </c>
      <c r="K136" s="1">
        <v>1380</v>
      </c>
      <c r="L136" s="1">
        <v>1345</v>
      </c>
      <c r="M136" s="1">
        <v>1388</v>
      </c>
    </row>
    <row r="137" spans="2:22" s="3" customFormat="1">
      <c r="B137" s="3" t="s">
        <v>96</v>
      </c>
      <c r="C137" s="3">
        <f t="shared" ref="C137:M137" si="145">+SUM(C131:C136)</f>
        <v>18877</v>
      </c>
      <c r="D137" s="3">
        <f t="shared" si="145"/>
        <v>18164</v>
      </c>
      <c r="E137" s="3">
        <f t="shared" si="145"/>
        <v>18618</v>
      </c>
      <c r="F137" s="3">
        <f t="shared" si="145"/>
        <v>19056</v>
      </c>
      <c r="G137" s="3">
        <f t="shared" si="145"/>
        <v>18855</v>
      </c>
      <c r="H137" s="3">
        <f t="shared" si="145"/>
        <v>18982</v>
      </c>
      <c r="I137" s="3">
        <f t="shared" si="145"/>
        <v>18820</v>
      </c>
      <c r="J137" s="3">
        <f t="shared" si="145"/>
        <v>19393</v>
      </c>
      <c r="K137" s="3">
        <f t="shared" si="145"/>
        <v>19211</v>
      </c>
      <c r="L137" s="3">
        <f t="shared" si="145"/>
        <v>18845</v>
      </c>
      <c r="M137" s="3">
        <f t="shared" si="145"/>
        <v>18518</v>
      </c>
    </row>
    <row r="138" spans="2:22">
      <c r="B138" s="1" t="s">
        <v>106</v>
      </c>
      <c r="C138" s="1">
        <v>3752</v>
      </c>
      <c r="D138" s="1">
        <v>3852</v>
      </c>
      <c r="E138" s="1">
        <v>3915</v>
      </c>
      <c r="F138" s="1">
        <v>3721</v>
      </c>
      <c r="G138" s="1">
        <v>4002</v>
      </c>
      <c r="H138" s="1">
        <v>4259</v>
      </c>
      <c r="I138" s="1">
        <v>4108</v>
      </c>
      <c r="J138" s="1">
        <v>3853</v>
      </c>
      <c r="K138" s="1">
        <v>3961</v>
      </c>
      <c r="L138" s="1">
        <v>3909</v>
      </c>
      <c r="M138" s="1">
        <v>4039</v>
      </c>
    </row>
    <row r="139" spans="2:22" s="3" customFormat="1">
      <c r="B139" s="3" t="s">
        <v>107</v>
      </c>
      <c r="C139" s="3">
        <f t="shared" ref="C139:M139" si="146">+C137+C138</f>
        <v>22629</v>
      </c>
      <c r="D139" s="3">
        <f t="shared" si="146"/>
        <v>22016</v>
      </c>
      <c r="E139" s="3">
        <f t="shared" si="146"/>
        <v>22533</v>
      </c>
      <c r="F139" s="3">
        <f t="shared" si="146"/>
        <v>22777</v>
      </c>
      <c r="G139" s="3">
        <f t="shared" si="146"/>
        <v>22857</v>
      </c>
      <c r="H139" s="3">
        <f t="shared" si="146"/>
        <v>23241</v>
      </c>
      <c r="I139" s="3">
        <f t="shared" si="146"/>
        <v>22928</v>
      </c>
      <c r="J139" s="3">
        <f t="shared" si="146"/>
        <v>23246</v>
      </c>
      <c r="K139" s="3">
        <f t="shared" si="146"/>
        <v>23172</v>
      </c>
      <c r="L139" s="3">
        <f t="shared" si="146"/>
        <v>22754</v>
      </c>
      <c r="M139" s="3">
        <f t="shared" si="146"/>
        <v>22557</v>
      </c>
    </row>
    <row r="141" spans="2:22" s="5" customFormat="1">
      <c r="B141" s="5" t="s">
        <v>108</v>
      </c>
      <c r="F141" s="5">
        <f t="shared" ref="F141:M141" si="147">+SUM(C99:F99)/F138</f>
        <v>0.13061005106154261</v>
      </c>
      <c r="G141" s="5">
        <f t="shared" si="147"/>
        <v>0.13018490754622689</v>
      </c>
      <c r="H141" s="5">
        <f t="shared" si="147"/>
        <v>0.15825311105893403</v>
      </c>
      <c r="I141" s="5">
        <f t="shared" si="147"/>
        <v>0.18257059396299902</v>
      </c>
      <c r="J141" s="5">
        <f t="shared" si="147"/>
        <v>0.2174928627043862</v>
      </c>
      <c r="K141" s="5">
        <f t="shared" si="147"/>
        <v>0.21257258268114113</v>
      </c>
      <c r="L141" s="5">
        <f t="shared" si="147"/>
        <v>0.20951650038372985</v>
      </c>
      <c r="M141" s="5">
        <f t="shared" si="147"/>
        <v>0.23718742262936371</v>
      </c>
    </row>
    <row r="144" spans="2:22">
      <c r="B144" s="1" t="s">
        <v>112</v>
      </c>
      <c r="G144" s="1">
        <v>271</v>
      </c>
      <c r="H144" s="1">
        <f>662-G144</f>
        <v>391</v>
      </c>
      <c r="I144" s="1">
        <f>991-SUM(G144:H144)</f>
        <v>329</v>
      </c>
      <c r="J144" s="1">
        <f>+V144-SUM(G144:I144)</f>
        <v>262</v>
      </c>
      <c r="K144" s="1">
        <v>270</v>
      </c>
      <c r="L144" s="1">
        <f>616-K144</f>
        <v>346</v>
      </c>
      <c r="M144" s="1">
        <f>1146-SUM(K144:L144)</f>
        <v>530</v>
      </c>
      <c r="T144" s="1">
        <v>1111</v>
      </c>
      <c r="U144" s="1">
        <v>750</v>
      </c>
      <c r="V144" s="1">
        <v>1253</v>
      </c>
    </row>
    <row r="145" spans="2:22">
      <c r="B145" s="1" t="s">
        <v>59</v>
      </c>
      <c r="G145" s="1">
        <v>49</v>
      </c>
      <c r="H145" s="1">
        <f>100-G145</f>
        <v>51</v>
      </c>
      <c r="I145" s="1">
        <f>150-SUM(G145:H145)</f>
        <v>50</v>
      </c>
      <c r="J145" s="1">
        <f t="shared" ref="J145:J159" si="148">+V145-SUM(G145:I145)</f>
        <v>51</v>
      </c>
      <c r="K145" s="1">
        <v>49</v>
      </c>
      <c r="L145" s="1">
        <f>97-K145</f>
        <v>48</v>
      </c>
      <c r="M145" s="1">
        <f>143-SUM(K145:L145)</f>
        <v>46</v>
      </c>
      <c r="T145" s="1">
        <v>185</v>
      </c>
      <c r="U145" s="1">
        <v>189</v>
      </c>
      <c r="V145" s="1">
        <v>201</v>
      </c>
    </row>
    <row r="146" spans="2:22">
      <c r="B146" s="1" t="s">
        <v>113</v>
      </c>
      <c r="I146" s="1">
        <f>11-SUM(G146:H146)</f>
        <v>11</v>
      </c>
      <c r="J146" s="1">
        <f t="shared" si="148"/>
        <v>0</v>
      </c>
      <c r="K146" s="1">
        <v>0</v>
      </c>
      <c r="M146" s="1">
        <f>0-SUM(K146:L146)</f>
        <v>0</v>
      </c>
      <c r="T146" s="1">
        <v>16</v>
      </c>
      <c r="U146" s="1">
        <v>97</v>
      </c>
      <c r="V146" s="1">
        <v>11</v>
      </c>
    </row>
    <row r="147" spans="2:22">
      <c r="B147" s="1" t="s">
        <v>114</v>
      </c>
      <c r="G147" s="1">
        <v>7</v>
      </c>
      <c r="H147" s="1">
        <f>13-G147</f>
        <v>6</v>
      </c>
      <c r="I147" s="1">
        <f>20-SUM(G147:H147)</f>
        <v>7</v>
      </c>
      <c r="J147" s="1">
        <f t="shared" si="148"/>
        <v>7</v>
      </c>
      <c r="K147" s="1">
        <v>7</v>
      </c>
      <c r="L147" s="1">
        <f>14-K146</f>
        <v>14</v>
      </c>
      <c r="M147" s="1">
        <f>21-SUM(K147:L147)</f>
        <v>0</v>
      </c>
      <c r="T147" s="1">
        <v>29</v>
      </c>
      <c r="U147" s="1">
        <v>26</v>
      </c>
      <c r="V147" s="1">
        <v>27</v>
      </c>
    </row>
    <row r="148" spans="2:22">
      <c r="B148" s="1" t="s">
        <v>115</v>
      </c>
      <c r="G148" s="1">
        <v>2</v>
      </c>
      <c r="H148" s="1">
        <f>5-G148</f>
        <v>3</v>
      </c>
      <c r="I148" s="1">
        <f>12-SUM(G148:H148)</f>
        <v>7</v>
      </c>
      <c r="J148" s="1">
        <f t="shared" si="148"/>
        <v>-8</v>
      </c>
      <c r="K148" s="1">
        <v>13</v>
      </c>
      <c r="L148" s="1">
        <f>22-K147</f>
        <v>15</v>
      </c>
      <c r="M148" s="1">
        <f>30-SUM(K148:L148)</f>
        <v>2</v>
      </c>
      <c r="T148" s="1">
        <v>-11</v>
      </c>
      <c r="U148" s="1">
        <v>39</v>
      </c>
      <c r="V148" s="1">
        <v>4</v>
      </c>
    </row>
    <row r="149" spans="2:22">
      <c r="B149" s="1" t="s">
        <v>116</v>
      </c>
      <c r="G149" s="1">
        <v>-43</v>
      </c>
      <c r="H149" s="1">
        <f>+-35-G149</f>
        <v>8</v>
      </c>
      <c r="I149" s="1">
        <f>+-58-SUM(G149:H149)</f>
        <v>-23</v>
      </c>
      <c r="J149" s="1">
        <f t="shared" si="148"/>
        <v>-18</v>
      </c>
      <c r="K149" s="1">
        <v>-21</v>
      </c>
      <c r="L149" s="1">
        <f>+-52-K148</f>
        <v>-65</v>
      </c>
      <c r="M149" s="1">
        <f>+-82-SUM(K149:L149)</f>
        <v>4</v>
      </c>
      <c r="T149" s="1">
        <v>-14</v>
      </c>
      <c r="U149" s="1">
        <v>100</v>
      </c>
      <c r="V149" s="1">
        <v>-76</v>
      </c>
    </row>
    <row r="150" spans="2:22">
      <c r="B150" s="1" t="s">
        <v>117</v>
      </c>
      <c r="G150" s="1">
        <v>20</v>
      </c>
      <c r="H150" s="1">
        <f>42-G150</f>
        <v>22</v>
      </c>
      <c r="I150" s="1">
        <f>65-SUM(G150:H150)</f>
        <v>23</v>
      </c>
      <c r="J150" s="1">
        <f t="shared" si="148"/>
        <v>22</v>
      </c>
      <c r="K150" s="1">
        <v>18</v>
      </c>
      <c r="L150" s="1">
        <f>27-K149</f>
        <v>48</v>
      </c>
      <c r="M150" s="1">
        <f>17-SUM(K150:L150)</f>
        <v>-49</v>
      </c>
      <c r="T150" s="1">
        <v>-49</v>
      </c>
      <c r="U150" s="1">
        <v>32</v>
      </c>
      <c r="V150" s="1">
        <v>87</v>
      </c>
    </row>
    <row r="151" spans="2:22">
      <c r="B151" s="1" t="s">
        <v>118</v>
      </c>
      <c r="G151" s="1">
        <v>26</v>
      </c>
      <c r="H151" s="1">
        <f>46-G151</f>
        <v>20</v>
      </c>
      <c r="I151" s="1">
        <f>71-SUM(G151:H151)</f>
        <v>25</v>
      </c>
      <c r="J151" s="1">
        <f t="shared" si="148"/>
        <v>31</v>
      </c>
      <c r="K151" s="1">
        <v>27</v>
      </c>
      <c r="L151" s="1">
        <f>59-K150</f>
        <v>41</v>
      </c>
      <c r="M151" s="1">
        <f>93-SUM(K151:L151)</f>
        <v>25</v>
      </c>
      <c r="T151" s="1">
        <v>74</v>
      </c>
      <c r="U151" s="1">
        <v>84</v>
      </c>
      <c r="V151" s="1">
        <v>102</v>
      </c>
    </row>
    <row r="152" spans="2:22">
      <c r="B152" s="1" t="s">
        <v>105</v>
      </c>
      <c r="G152" s="1">
        <v>14</v>
      </c>
      <c r="H152" s="1">
        <f>24-G152</f>
        <v>10</v>
      </c>
      <c r="I152" s="1">
        <f>35-SUM(G152:H152)</f>
        <v>11</v>
      </c>
      <c r="J152" s="1">
        <f t="shared" si="148"/>
        <v>-40</v>
      </c>
      <c r="K152" s="1">
        <v>-16</v>
      </c>
      <c r="L152" s="1">
        <f>0-K151</f>
        <v>-27</v>
      </c>
      <c r="M152" s="1">
        <f>+-29-SUM(K152:L152)</f>
        <v>14</v>
      </c>
      <c r="T152" s="1">
        <v>58</v>
      </c>
      <c r="U152" s="1">
        <v>-208</v>
      </c>
      <c r="V152" s="1">
        <v>-5</v>
      </c>
    </row>
    <row r="153" spans="2:22">
      <c r="B153" s="1" t="s">
        <v>119</v>
      </c>
      <c r="G153" s="1">
        <v>-8</v>
      </c>
      <c r="H153" s="1">
        <f>-12-G153</f>
        <v>-4</v>
      </c>
      <c r="I153" s="1">
        <f>-14-SUM(G153:H153)</f>
        <v>-2</v>
      </c>
      <c r="J153" s="1">
        <f t="shared" si="148"/>
        <v>-2</v>
      </c>
      <c r="K153" s="1">
        <v>9</v>
      </c>
      <c r="L153" s="1">
        <f>2-K152</f>
        <v>18</v>
      </c>
      <c r="M153" s="1">
        <f>8-SUM(K153:L153)</f>
        <v>-19</v>
      </c>
      <c r="T153" s="1">
        <v>6</v>
      </c>
      <c r="U153" s="1">
        <v>28</v>
      </c>
      <c r="V153" s="1">
        <v>-16</v>
      </c>
    </row>
    <row r="154" spans="2:22">
      <c r="B154" s="1" t="s">
        <v>85</v>
      </c>
      <c r="G154" s="1">
        <v>24</v>
      </c>
      <c r="H154" s="1">
        <f>17-G154</f>
        <v>-7</v>
      </c>
      <c r="I154" s="1">
        <f>11-SUM(G154:H154)</f>
        <v>-6</v>
      </c>
      <c r="J154" s="1">
        <f t="shared" si="148"/>
        <v>-3</v>
      </c>
      <c r="K154" s="1">
        <v>-46</v>
      </c>
      <c r="L154" s="1">
        <f>4-K153</f>
        <v>-5</v>
      </c>
      <c r="M154" s="1">
        <f>+-93-SUM(K154:L154)</f>
        <v>-42</v>
      </c>
      <c r="T154" s="1">
        <v>-53</v>
      </c>
      <c r="U154" s="1">
        <v>-30</v>
      </c>
      <c r="V154" s="1">
        <v>8</v>
      </c>
    </row>
    <row r="155" spans="2:22">
      <c r="B155" s="1" t="s">
        <v>120</v>
      </c>
      <c r="G155" s="1">
        <v>-4</v>
      </c>
      <c r="H155" s="1">
        <f>+-5-G155</f>
        <v>-1</v>
      </c>
      <c r="I155" s="1">
        <f>+-3-SUM(G155:H155)</f>
        <v>2</v>
      </c>
      <c r="J155" s="1">
        <f t="shared" si="148"/>
        <v>15</v>
      </c>
      <c r="K155" s="1">
        <v>-22</v>
      </c>
      <c r="L155" s="1">
        <f>+-27-K154</f>
        <v>19</v>
      </c>
      <c r="M155" s="1">
        <f>+-67-SUM(K155:L155)</f>
        <v>-64</v>
      </c>
      <c r="T155" s="1">
        <v>-15</v>
      </c>
      <c r="U155" s="1">
        <v>-10</v>
      </c>
      <c r="V155" s="1">
        <v>12</v>
      </c>
    </row>
    <row r="156" spans="2:22">
      <c r="B156" s="1" t="s">
        <v>121</v>
      </c>
      <c r="G156" s="1">
        <v>19</v>
      </c>
      <c r="H156" s="1">
        <f>103-G156</f>
        <v>84</v>
      </c>
      <c r="I156" s="1">
        <f>129-SUM(G156:H156)</f>
        <v>26</v>
      </c>
      <c r="J156" s="1">
        <f t="shared" si="148"/>
        <v>20</v>
      </c>
      <c r="K156" s="1">
        <v>18</v>
      </c>
      <c r="L156" s="1">
        <f>99-K155</f>
        <v>121</v>
      </c>
      <c r="M156" s="1">
        <f>113-SUM(K156:L156)</f>
        <v>-26</v>
      </c>
      <c r="T156" s="1">
        <v>112</v>
      </c>
      <c r="U156" s="1">
        <v>-183</v>
      </c>
      <c r="V156" s="1">
        <v>149</v>
      </c>
    </row>
    <row r="157" spans="2:22">
      <c r="B157" s="1" t="s">
        <v>98</v>
      </c>
      <c r="G157" s="1">
        <v>-117</v>
      </c>
      <c r="H157" s="1">
        <f>+-129-G157</f>
        <v>-12</v>
      </c>
      <c r="I157" s="1">
        <f>+-87-SUM(G157:H157)</f>
        <v>42</v>
      </c>
      <c r="J157" s="1">
        <f t="shared" si="148"/>
        <v>154</v>
      </c>
      <c r="K157" s="1">
        <v>-91</v>
      </c>
      <c r="L157" s="1">
        <f>+-199-K156</f>
        <v>-217</v>
      </c>
      <c r="M157" s="1">
        <f>+-74-SUM(K157:L157)</f>
        <v>234</v>
      </c>
      <c r="T157" s="1">
        <v>-57</v>
      </c>
      <c r="U157" s="1">
        <v>6</v>
      </c>
      <c r="V157" s="1">
        <v>67</v>
      </c>
    </row>
    <row r="158" spans="2:22">
      <c r="B158" s="1" t="s">
        <v>122</v>
      </c>
      <c r="G158" s="1">
        <v>0</v>
      </c>
      <c r="H158" s="1">
        <f>+-1-G158</f>
        <v>-1</v>
      </c>
      <c r="I158" s="1">
        <f>+-5-SUM(G158:H158)</f>
        <v>-4</v>
      </c>
      <c r="J158" s="1">
        <f t="shared" si="148"/>
        <v>-15</v>
      </c>
      <c r="K158" s="1">
        <v>-2</v>
      </c>
      <c r="L158" s="1">
        <f>+-6-K157</f>
        <v>85</v>
      </c>
      <c r="M158" s="1">
        <f>+-13-SUM(K158:L158)</f>
        <v>-96</v>
      </c>
      <c r="T158" s="1">
        <v>-54</v>
      </c>
      <c r="U158" s="1">
        <v>-22</v>
      </c>
      <c r="V158" s="1">
        <v>-20</v>
      </c>
    </row>
    <row r="159" spans="2:22">
      <c r="B159" s="1" t="s">
        <v>123</v>
      </c>
      <c r="G159" s="1">
        <v>6</v>
      </c>
      <c r="H159" s="1">
        <f>-85-G159</f>
        <v>-91</v>
      </c>
      <c r="I159" s="1">
        <f>+-73-SUM(G159:H159)</f>
        <v>12</v>
      </c>
      <c r="J159" s="1">
        <f t="shared" si="148"/>
        <v>-5</v>
      </c>
      <c r="K159" s="1">
        <v>21</v>
      </c>
      <c r="L159" s="1">
        <f>13-K158</f>
        <v>15</v>
      </c>
      <c r="M159" s="1">
        <f>+-146-SUM(K159:L159)</f>
        <v>-182</v>
      </c>
      <c r="T159" s="1">
        <v>138</v>
      </c>
      <c r="U159" s="1">
        <v>23</v>
      </c>
      <c r="V159" s="1">
        <v>-78</v>
      </c>
    </row>
    <row r="160" spans="2:22" s="3" customFormat="1">
      <c r="B160" s="3" t="s">
        <v>111</v>
      </c>
      <c r="G160" s="3">
        <f t="shared" ref="G160:M160" si="149">+SUM(G144:G159)</f>
        <v>266</v>
      </c>
      <c r="H160" s="3">
        <f t="shared" si="149"/>
        <v>479</v>
      </c>
      <c r="I160" s="3">
        <f t="shared" si="149"/>
        <v>510</v>
      </c>
      <c r="J160" s="3">
        <f t="shared" si="149"/>
        <v>471</v>
      </c>
      <c r="K160" s="3">
        <f t="shared" si="149"/>
        <v>234</v>
      </c>
      <c r="L160" s="3">
        <f t="shared" si="149"/>
        <v>456</v>
      </c>
      <c r="M160" s="3">
        <f t="shared" si="149"/>
        <v>377</v>
      </c>
      <c r="T160" s="3">
        <f>+SUM(T144:T159)</f>
        <v>1476</v>
      </c>
      <c r="U160" s="3">
        <f>+SUM(U144:U159)</f>
        <v>921</v>
      </c>
      <c r="V160" s="3">
        <f>+SUM(V144:V159)</f>
        <v>1726</v>
      </c>
    </row>
    <row r="162" spans="2:22">
      <c r="B162" s="1" t="s">
        <v>125</v>
      </c>
      <c r="G162" s="1">
        <v>-15</v>
      </c>
      <c r="H162" s="1">
        <f>+-46-G162</f>
        <v>-31</v>
      </c>
      <c r="I162" s="1">
        <f>+-70-SUM(G162:H162)</f>
        <v>-24</v>
      </c>
      <c r="J162" s="1">
        <f t="shared" ref="J162:J166" si="150">+V162-SUM(G162:I162)</f>
        <v>-36</v>
      </c>
      <c r="K162" s="1">
        <v>-10</v>
      </c>
      <c r="L162" s="1">
        <f>+-28-K162</f>
        <v>-18</v>
      </c>
      <c r="M162" s="1">
        <f>+-52-SUM(K162:L162)</f>
        <v>-24</v>
      </c>
      <c r="T162" s="1">
        <v>-62</v>
      </c>
      <c r="U162" s="1">
        <v>-117</v>
      </c>
      <c r="V162" s="1">
        <v>-106</v>
      </c>
    </row>
    <row r="163" spans="2:22">
      <c r="B163" s="1" t="s">
        <v>126</v>
      </c>
      <c r="G163" s="1">
        <v>11</v>
      </c>
      <c r="H163" s="1">
        <f>14-G163</f>
        <v>3</v>
      </c>
      <c r="I163" s="1">
        <f>14-SUM(G163:H163)</f>
        <v>0</v>
      </c>
      <c r="J163" s="1">
        <f t="shared" si="150"/>
        <v>2</v>
      </c>
      <c r="K163" s="1">
        <v>4</v>
      </c>
      <c r="L163" s="1">
        <f>10-K163</f>
        <v>6</v>
      </c>
      <c r="M163" s="1">
        <f>11-SUM(K163:L163)</f>
        <v>1</v>
      </c>
      <c r="T163" s="1">
        <v>8</v>
      </c>
      <c r="U163" s="1">
        <v>12</v>
      </c>
      <c r="V163" s="1">
        <v>16</v>
      </c>
    </row>
    <row r="164" spans="2:22">
      <c r="B164" s="1" t="s">
        <v>127</v>
      </c>
      <c r="G164" s="1">
        <v>0</v>
      </c>
      <c r="H164" s="1">
        <f>0-G164</f>
        <v>0</v>
      </c>
      <c r="I164" s="1">
        <f>0-SUM(G164:H164)</f>
        <v>0</v>
      </c>
      <c r="J164" s="1">
        <f t="shared" si="150"/>
        <v>-1004</v>
      </c>
      <c r="K164" s="1">
        <v>0</v>
      </c>
      <c r="L164" s="1">
        <f>+-12-K164</f>
        <v>-12</v>
      </c>
      <c r="M164" s="1">
        <f>+-12-SUM(K164:L164)</f>
        <v>0</v>
      </c>
      <c r="T164" s="1">
        <v>0</v>
      </c>
      <c r="U164" s="1">
        <v>0</v>
      </c>
      <c r="V164" s="1">
        <v>-1004</v>
      </c>
    </row>
    <row r="165" spans="2:22">
      <c r="B165" s="1" t="s">
        <v>128</v>
      </c>
      <c r="G165" s="1">
        <v>2</v>
      </c>
      <c r="H165" s="1">
        <f>1-G165</f>
        <v>-1</v>
      </c>
      <c r="I165" s="1">
        <f>2-SUM(G165:H165)</f>
        <v>1</v>
      </c>
      <c r="J165" s="1">
        <f t="shared" si="150"/>
        <v>3</v>
      </c>
      <c r="K165" s="1">
        <v>3</v>
      </c>
      <c r="L165" s="1">
        <f>9-K165</f>
        <v>6</v>
      </c>
      <c r="M165" s="1">
        <f>22-SUM(K165:L165)</f>
        <v>13</v>
      </c>
      <c r="T165" s="1">
        <v>24</v>
      </c>
      <c r="U165" s="1">
        <v>33</v>
      </c>
      <c r="V165" s="1">
        <v>5</v>
      </c>
    </row>
    <row r="166" spans="2:22">
      <c r="B166" s="1" t="s">
        <v>129</v>
      </c>
      <c r="G166" s="1">
        <v>-5</v>
      </c>
      <c r="H166" s="27">
        <f>+-5-G166</f>
        <v>0</v>
      </c>
      <c r="I166" s="1">
        <f>+-15-SUM(G166:H166)</f>
        <v>-10</v>
      </c>
      <c r="J166" s="1">
        <f t="shared" si="150"/>
        <v>1</v>
      </c>
      <c r="K166" s="1">
        <v>4</v>
      </c>
      <c r="L166" s="1">
        <f>+-25-K166</f>
        <v>-29</v>
      </c>
      <c r="M166" s="1">
        <f>+-35-SUM(K166:L166)</f>
        <v>-10</v>
      </c>
      <c r="T166" s="1">
        <v>0</v>
      </c>
      <c r="U166" s="1">
        <v>-7</v>
      </c>
      <c r="V166" s="1">
        <v>-14</v>
      </c>
    </row>
    <row r="167" spans="2:22" s="3" customFormat="1">
      <c r="B167" s="3" t="s">
        <v>124</v>
      </c>
      <c r="G167" s="3">
        <f t="shared" ref="G167:M167" si="151">+SUM(G162:G166)</f>
        <v>-7</v>
      </c>
      <c r="H167" s="3">
        <f t="shared" si="151"/>
        <v>-29</v>
      </c>
      <c r="I167" s="3">
        <f t="shared" si="151"/>
        <v>-33</v>
      </c>
      <c r="J167" s="3">
        <f t="shared" si="151"/>
        <v>-1034</v>
      </c>
      <c r="K167" s="3">
        <f t="shared" si="151"/>
        <v>1</v>
      </c>
      <c r="L167" s="3">
        <f t="shared" si="151"/>
        <v>-47</v>
      </c>
      <c r="M167" s="3">
        <f t="shared" si="151"/>
        <v>-20</v>
      </c>
      <c r="T167" s="3">
        <f>+SUM(T162:T166)</f>
        <v>-30</v>
      </c>
      <c r="U167" s="3">
        <f>+SUM(U162:U166)</f>
        <v>-79</v>
      </c>
      <c r="V167" s="3">
        <f>+SUM(V162:V166)</f>
        <v>-1103</v>
      </c>
    </row>
    <row r="169" spans="2:22">
      <c r="B169" s="1" t="s">
        <v>131</v>
      </c>
      <c r="G169" s="1">
        <v>0</v>
      </c>
      <c r="H169" s="1">
        <f>0-G169</f>
        <v>0</v>
      </c>
      <c r="I169" s="1">
        <f>802-SUM(G169:H169)</f>
        <v>802</v>
      </c>
      <c r="J169" s="1">
        <f t="shared" ref="J169:J179" si="152">+V169-SUM(G169:I169)</f>
        <v>533</v>
      </c>
      <c r="K169" s="1">
        <v>1</v>
      </c>
      <c r="L169" s="1">
        <f>2-K169</f>
        <v>1</v>
      </c>
      <c r="M169" s="1">
        <f>2-SUM(K169:L169)</f>
        <v>0</v>
      </c>
      <c r="T169" s="1">
        <v>2250</v>
      </c>
      <c r="U169" s="1">
        <v>5235</v>
      </c>
      <c r="V169" s="1">
        <v>1335</v>
      </c>
    </row>
    <row r="170" spans="2:22">
      <c r="B170" s="1" t="s">
        <v>132</v>
      </c>
      <c r="G170" s="1">
        <v>-27</v>
      </c>
      <c r="H170" s="1">
        <f>+-54-G170</f>
        <v>-27</v>
      </c>
      <c r="I170" s="1">
        <f>+-865-SUM(G170:H170)</f>
        <v>-811</v>
      </c>
      <c r="J170" s="1">
        <f t="shared" si="152"/>
        <v>-24</v>
      </c>
      <c r="K170" s="1">
        <v>-21</v>
      </c>
      <c r="L170" s="1">
        <f>+-47-K170</f>
        <v>-26</v>
      </c>
      <c r="M170" s="1">
        <f>+-71-SUM(K170:L170)</f>
        <v>-24</v>
      </c>
      <c r="T170" s="1">
        <v>-2266</v>
      </c>
      <c r="U170" s="1">
        <v>-4708</v>
      </c>
      <c r="V170" s="1">
        <v>-889</v>
      </c>
    </row>
    <row r="171" spans="2:22">
      <c r="B171" s="1" t="s">
        <v>133</v>
      </c>
      <c r="I171" s="1">
        <f>-7-SUM(G171:H171)</f>
        <v>-7</v>
      </c>
      <c r="J171" s="1">
        <f t="shared" si="152"/>
        <v>-12</v>
      </c>
      <c r="M171" s="1">
        <f>0-SUM(K171:L171)</f>
        <v>0</v>
      </c>
      <c r="T171" s="1">
        <v>-50</v>
      </c>
      <c r="U171" s="1">
        <v>-43</v>
      </c>
      <c r="V171" s="1">
        <v>-19</v>
      </c>
    </row>
    <row r="172" spans="2:22">
      <c r="B172" s="1" t="s">
        <v>134</v>
      </c>
      <c r="G172" s="1">
        <v>-239</v>
      </c>
      <c r="H172" s="1">
        <f>+-484-G171</f>
        <v>-484</v>
      </c>
      <c r="I172" s="1">
        <f>+-730-SUM(G172:H172)</f>
        <v>-7</v>
      </c>
      <c r="J172" s="1">
        <f t="shared" si="152"/>
        <v>-244</v>
      </c>
      <c r="K172" s="1">
        <v>-241</v>
      </c>
      <c r="L172" s="1">
        <f>+-485-K171</f>
        <v>-485</v>
      </c>
      <c r="M172" s="1">
        <f>+-728-SUM(K172:L172)</f>
        <v>-2</v>
      </c>
      <c r="T172" s="1">
        <v>-901</v>
      </c>
      <c r="U172" s="1">
        <v>-959</v>
      </c>
      <c r="V172" s="1">
        <v>-974</v>
      </c>
    </row>
    <row r="173" spans="2:22">
      <c r="B173" s="1" t="s">
        <v>142</v>
      </c>
      <c r="J173" s="1">
        <f t="shared" si="152"/>
        <v>0</v>
      </c>
      <c r="T173" s="1">
        <v>0</v>
      </c>
      <c r="U173" s="1">
        <v>0</v>
      </c>
      <c r="V173" s="1">
        <v>0</v>
      </c>
    </row>
    <row r="174" spans="2:22">
      <c r="B174" s="1" t="s">
        <v>135</v>
      </c>
      <c r="G174" s="1">
        <v>0</v>
      </c>
      <c r="H174" s="1">
        <f>0-G174</f>
        <v>0</v>
      </c>
      <c r="I174" s="1">
        <f>+-182-SUM(G174:H174)</f>
        <v>-182</v>
      </c>
      <c r="J174" s="1">
        <f t="shared" si="152"/>
        <v>-369</v>
      </c>
      <c r="K174" s="1">
        <v>-161</v>
      </c>
      <c r="L174" s="1">
        <f>+-326-K174</f>
        <v>-165</v>
      </c>
      <c r="M174" s="1">
        <f>+-326-SUM(K174:L174)</f>
        <v>0</v>
      </c>
      <c r="T174" s="1">
        <v>0</v>
      </c>
      <c r="U174" s="1">
        <v>-380</v>
      </c>
      <c r="V174" s="1">
        <v>-551</v>
      </c>
    </row>
    <row r="175" spans="2:22">
      <c r="B175" s="1" t="s">
        <v>136</v>
      </c>
      <c r="G175" s="1">
        <v>20</v>
      </c>
      <c r="H175" s="1">
        <f>56-G175</f>
        <v>36</v>
      </c>
      <c r="I175" s="1">
        <f>60-SUM(G175:H175)</f>
        <v>4</v>
      </c>
      <c r="J175" s="1">
        <f t="shared" si="152"/>
        <v>0</v>
      </c>
      <c r="K175" s="1">
        <v>3</v>
      </c>
      <c r="L175" s="1">
        <f>4-K175</f>
        <v>1</v>
      </c>
      <c r="M175" s="1">
        <f>7-SUM(K175:L175)</f>
        <v>3</v>
      </c>
      <c r="T175" s="1">
        <v>102</v>
      </c>
      <c r="U175" s="1">
        <v>82</v>
      </c>
      <c r="V175" s="1">
        <v>60</v>
      </c>
    </row>
    <row r="176" spans="2:22">
      <c r="B176" s="1" t="s">
        <v>137</v>
      </c>
      <c r="G176" s="1">
        <v>-16</v>
      </c>
      <c r="H176" s="1">
        <f>+-32-G176</f>
        <v>-16</v>
      </c>
      <c r="I176" s="1">
        <f>-45-SUM(G176:H176)</f>
        <v>-13</v>
      </c>
      <c r="J176" s="1">
        <f t="shared" si="152"/>
        <v>-6</v>
      </c>
      <c r="K176" s="1">
        <v>-6</v>
      </c>
      <c r="L176" s="1">
        <f>+-6-K176</f>
        <v>0</v>
      </c>
      <c r="M176" s="1">
        <f>8-SUM(K176:L176)</f>
        <v>14</v>
      </c>
      <c r="T176" s="1">
        <v>23</v>
      </c>
      <c r="U176" s="1">
        <v>-46</v>
      </c>
      <c r="V176" s="1">
        <v>-51</v>
      </c>
    </row>
    <row r="177" spans="1:22">
      <c r="B177" s="1" t="s">
        <v>138</v>
      </c>
      <c r="G177" s="1">
        <v>1</v>
      </c>
      <c r="H177" s="1">
        <f>-2-G177</f>
        <v>-3</v>
      </c>
      <c r="I177" s="1">
        <f>+-3-SUM(G177:H177)</f>
        <v>-1</v>
      </c>
      <c r="J177" s="1">
        <f t="shared" si="152"/>
        <v>-1</v>
      </c>
      <c r="K177" s="1">
        <v>-1</v>
      </c>
      <c r="L177" s="1">
        <f>-2-K177</f>
        <v>-1</v>
      </c>
      <c r="M177" s="1">
        <f>+-3-SUM(K177:L177)</f>
        <v>-1</v>
      </c>
      <c r="T177" s="27">
        <v>0</v>
      </c>
      <c r="U177" s="27">
        <v>-2</v>
      </c>
      <c r="V177" s="27">
        <v>-4</v>
      </c>
    </row>
    <row r="178" spans="1:22" s="3" customFormat="1">
      <c r="B178" s="3" t="s">
        <v>130</v>
      </c>
      <c r="G178" s="3">
        <f t="shared" ref="G178:M178" si="153">+SUM(G169:G177)</f>
        <v>-261</v>
      </c>
      <c r="H178" s="3">
        <f t="shared" si="153"/>
        <v>-494</v>
      </c>
      <c r="I178" s="3">
        <f t="shared" si="153"/>
        <v>-215</v>
      </c>
      <c r="J178" s="3">
        <f t="shared" si="153"/>
        <v>-123</v>
      </c>
      <c r="K178" s="3">
        <f t="shared" si="153"/>
        <v>-426</v>
      </c>
      <c r="L178" s="3">
        <f t="shared" si="153"/>
        <v>-675</v>
      </c>
      <c r="M178" s="3">
        <f t="shared" si="153"/>
        <v>-10</v>
      </c>
      <c r="T178" s="3">
        <f>+SUM(T169:T177)</f>
        <v>-842</v>
      </c>
      <c r="U178" s="3">
        <f>+SUM(U169:U177)</f>
        <v>-821</v>
      </c>
      <c r="V178" s="3">
        <f>+SUM(V169:V177)</f>
        <v>-1093</v>
      </c>
    </row>
    <row r="179" spans="1:22">
      <c r="B179" s="1" t="s">
        <v>139</v>
      </c>
      <c r="G179" s="1">
        <v>5</v>
      </c>
      <c r="H179" s="1">
        <f>9-G179</f>
        <v>4</v>
      </c>
      <c r="I179" s="1">
        <f>+-3-SUM(G179:H179)</f>
        <v>-12</v>
      </c>
      <c r="J179" s="1">
        <f t="shared" si="152"/>
        <v>0</v>
      </c>
      <c r="K179" s="1">
        <v>-1</v>
      </c>
      <c r="L179" s="1">
        <f>+-12-K179</f>
        <v>-11</v>
      </c>
      <c r="M179" s="1">
        <f>+-31-SUM(K179:L179)</f>
        <v>-19</v>
      </c>
      <c r="T179" s="1">
        <v>16</v>
      </c>
      <c r="U179" s="1">
        <v>6</v>
      </c>
      <c r="V179" s="1">
        <v>-3</v>
      </c>
    </row>
    <row r="182" spans="1:22" s="3" customFormat="1">
      <c r="B182" s="3" t="s">
        <v>140</v>
      </c>
      <c r="G182" s="3">
        <f t="shared" ref="G182:M182" si="154">+G160+G167+G178+G179</f>
        <v>3</v>
      </c>
      <c r="H182" s="3">
        <f t="shared" si="154"/>
        <v>-40</v>
      </c>
      <c r="I182" s="3">
        <f t="shared" si="154"/>
        <v>250</v>
      </c>
      <c r="J182" s="3">
        <f t="shared" si="154"/>
        <v>-686</v>
      </c>
      <c r="K182" s="3">
        <f t="shared" si="154"/>
        <v>-192</v>
      </c>
      <c r="L182" s="3">
        <f t="shared" si="154"/>
        <v>-277</v>
      </c>
      <c r="M182" s="3">
        <f t="shared" si="154"/>
        <v>328</v>
      </c>
      <c r="T182" s="3">
        <f>+T160+T167+T178+T179</f>
        <v>620</v>
      </c>
      <c r="U182" s="3">
        <f>+U160+U167+U178+U179</f>
        <v>27</v>
      </c>
      <c r="V182" s="3">
        <f>+V160+V167+V178+V179</f>
        <v>-473</v>
      </c>
    </row>
    <row r="183" spans="1:22">
      <c r="B183" s="1" t="s">
        <v>141</v>
      </c>
      <c r="G183" s="1">
        <f>+$F$114</f>
        <v>1560</v>
      </c>
      <c r="H183" s="1">
        <f>+$F$114</f>
        <v>1560</v>
      </c>
      <c r="I183" s="1">
        <f>+$F$114</f>
        <v>1560</v>
      </c>
      <c r="J183" s="1">
        <f>+$F$114</f>
        <v>1560</v>
      </c>
      <c r="K183" s="1">
        <f>+$J$114</f>
        <v>1087</v>
      </c>
      <c r="L183" s="1">
        <f>+$J$114</f>
        <v>1087</v>
      </c>
      <c r="M183" s="1">
        <f>+$J$114</f>
        <v>1087</v>
      </c>
      <c r="T183" s="1">
        <v>913</v>
      </c>
      <c r="U183" s="1">
        <v>1533</v>
      </c>
      <c r="V183" s="1">
        <f>+$F$114</f>
        <v>1560</v>
      </c>
    </row>
    <row r="184" spans="1:22" s="3" customFormat="1">
      <c r="B184" s="3" t="s">
        <v>143</v>
      </c>
      <c r="G184" s="3">
        <f t="shared" ref="G184:M184" si="155">+SUM(G182:G183)</f>
        <v>1563</v>
      </c>
      <c r="H184" s="3">
        <f t="shared" si="155"/>
        <v>1520</v>
      </c>
      <c r="I184" s="3">
        <f t="shared" si="155"/>
        <v>1810</v>
      </c>
      <c r="J184" s="3">
        <f t="shared" si="155"/>
        <v>874</v>
      </c>
      <c r="K184" s="3">
        <f t="shared" si="155"/>
        <v>895</v>
      </c>
      <c r="L184" s="3">
        <f t="shared" si="155"/>
        <v>810</v>
      </c>
      <c r="M184" s="3">
        <f t="shared" si="155"/>
        <v>1415</v>
      </c>
      <c r="T184" s="3">
        <f>+SUM(T182:T183)</f>
        <v>1533</v>
      </c>
      <c r="U184" s="3">
        <f>+SUM(U182:U183)</f>
        <v>1560</v>
      </c>
      <c r="V184" s="3">
        <f>+SUM(V182:V183)</f>
        <v>1087</v>
      </c>
    </row>
    <row r="186" spans="1:22">
      <c r="B186" s="1" t="s">
        <v>144</v>
      </c>
      <c r="G186" s="1">
        <f t="shared" ref="G186:L186" si="156">+G160+G162</f>
        <v>251</v>
      </c>
      <c r="H186" s="1">
        <f t="shared" si="156"/>
        <v>448</v>
      </c>
      <c r="I186" s="1">
        <f t="shared" si="156"/>
        <v>486</v>
      </c>
      <c r="J186" s="1">
        <f t="shared" si="156"/>
        <v>435</v>
      </c>
      <c r="K186" s="1">
        <f t="shared" si="156"/>
        <v>224</v>
      </c>
      <c r="L186" s="1">
        <f t="shared" si="156"/>
        <v>438</v>
      </c>
      <c r="M186" s="1">
        <f>+M160+M162</f>
        <v>353</v>
      </c>
      <c r="T186" s="1">
        <f>+T160+T162</f>
        <v>1414</v>
      </c>
      <c r="U186" s="1">
        <f t="shared" ref="U186:V186" si="157">+U160+U162</f>
        <v>804</v>
      </c>
      <c r="V186" s="1">
        <f t="shared" si="157"/>
        <v>1620</v>
      </c>
    </row>
    <row r="187" spans="1:22">
      <c r="B187" s="1" t="s">
        <v>112</v>
      </c>
      <c r="G187" s="1">
        <f t="shared" ref="G187:L187" si="158">+G97</f>
        <v>271</v>
      </c>
      <c r="H187" s="1">
        <f t="shared" si="158"/>
        <v>391</v>
      </c>
      <c r="I187" s="1">
        <f t="shared" si="158"/>
        <v>329</v>
      </c>
      <c r="J187" s="1">
        <f t="shared" si="158"/>
        <v>262</v>
      </c>
      <c r="K187" s="1">
        <f t="shared" si="158"/>
        <v>270</v>
      </c>
      <c r="L187" s="1">
        <f t="shared" si="158"/>
        <v>346</v>
      </c>
      <c r="M187" s="1">
        <f>+M97</f>
        <v>530</v>
      </c>
      <c r="T187" s="1">
        <f>+T97</f>
        <v>1111</v>
      </c>
      <c r="U187" s="1">
        <f t="shared" ref="U187:V187" si="159">+U97</f>
        <v>750</v>
      </c>
      <c r="V187" s="1">
        <f t="shared" si="159"/>
        <v>1253</v>
      </c>
    </row>
    <row r="188" spans="1:22">
      <c r="B188" s="1" t="s">
        <v>145</v>
      </c>
      <c r="G188" s="1">
        <f>+G186-G187</f>
        <v>-20</v>
      </c>
      <c r="H188" s="1">
        <f t="shared" ref="H188:M188" si="160">+H186-H187</f>
        <v>57</v>
      </c>
      <c r="I188" s="1">
        <f t="shared" si="160"/>
        <v>157</v>
      </c>
      <c r="J188" s="1">
        <f t="shared" si="160"/>
        <v>173</v>
      </c>
      <c r="K188" s="1">
        <f t="shared" si="160"/>
        <v>-46</v>
      </c>
      <c r="L188" s="1">
        <f t="shared" si="160"/>
        <v>92</v>
      </c>
      <c r="M188" s="1">
        <f t="shared" si="160"/>
        <v>-177</v>
      </c>
      <c r="T188" s="1">
        <f t="shared" ref="T188" si="161">+T186-T187</f>
        <v>303</v>
      </c>
      <c r="U188" s="1">
        <f t="shared" ref="U188" si="162">+U186-U187</f>
        <v>54</v>
      </c>
      <c r="V188" s="1">
        <f t="shared" ref="V188" si="163">+V186-V187</f>
        <v>367</v>
      </c>
    </row>
    <row r="190" spans="1:22">
      <c r="B190" s="1" t="s">
        <v>146</v>
      </c>
      <c r="J190" s="1">
        <f t="shared" ref="J190:L190" si="164">SUM(G186:J186)</f>
        <v>1620</v>
      </c>
      <c r="K190" s="1">
        <f t="shared" si="164"/>
        <v>1593</v>
      </c>
      <c r="L190" s="1">
        <f t="shared" si="164"/>
        <v>1583</v>
      </c>
      <c r="M190" s="1">
        <f>SUM(J186:M186)</f>
        <v>1450</v>
      </c>
    </row>
    <row r="191" spans="1:22">
      <c r="A191" s="1" t="s">
        <v>53</v>
      </c>
      <c r="B191" s="1" t="s">
        <v>147</v>
      </c>
      <c r="J191" s="1">
        <f t="shared" ref="J191:L191" si="165">SUM(G187:J187)</f>
        <v>1253</v>
      </c>
      <c r="K191" s="1">
        <f t="shared" si="165"/>
        <v>1252</v>
      </c>
      <c r="L191" s="1">
        <f t="shared" si="165"/>
        <v>1207</v>
      </c>
      <c r="M191" s="1">
        <f>SUM(J187:M187)</f>
        <v>1408</v>
      </c>
    </row>
    <row r="192" spans="1:22" s="3" customFormat="1">
      <c r="B192" s="3" t="s">
        <v>145</v>
      </c>
      <c r="J192" s="3">
        <f t="shared" ref="J192:L192" si="166">+J190-J191</f>
        <v>367</v>
      </c>
      <c r="K192" s="3">
        <f t="shared" si="166"/>
        <v>341</v>
      </c>
      <c r="L192" s="3">
        <f t="shared" si="166"/>
        <v>376</v>
      </c>
      <c r="M192" s="3">
        <f>+M190-M191</f>
        <v>42</v>
      </c>
    </row>
    <row r="195" spans="8:13">
      <c r="M195" s="1">
        <v>24194166</v>
      </c>
    </row>
    <row r="196" spans="8:13">
      <c r="M196" s="1">
        <v>1286646000</v>
      </c>
    </row>
    <row r="197" spans="8:13">
      <c r="M197" s="38">
        <f>+M196/M195</f>
        <v>53.180010420693982</v>
      </c>
    </row>
    <row r="201" spans="8:13">
      <c r="H201" s="1" t="s">
        <v>161</v>
      </c>
    </row>
  </sheetData>
  <pageMargins left="0.7" right="0.7" top="0.75" bottom="0.75" header="0.3" footer="0.3"/>
  <ignoredErrors>
    <ignoredError sqref="J84:J92 F81:F101 J93:J101 J75 M73:N73 M72:N72 W91 Z91:AF91 W92 Z92:AF92 W94 W95 W96 Y96:AF96 W97 Y97:AF97 W99 Y99:AF99 W100 Y100:AF100 AA101:AF101" formula="1"/>
  </ignoredErrors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8B52A9-EC01-6F42-9167-16B210A4C098}">
  <dimension ref="B2:J26"/>
  <sheetViews>
    <sheetView showGridLines="0" zoomScale="206" workbookViewId="0">
      <selection activeCell="H6" sqref="H6"/>
    </sheetView>
  </sheetViews>
  <sheetFormatPr baseColWidth="10" defaultRowHeight="14"/>
  <cols>
    <col min="1" max="1" width="10.83203125" style="1"/>
    <col min="2" max="2" width="16" style="1" bestFit="1" customWidth="1"/>
    <col min="3" max="3" width="19.1640625" style="34" bestFit="1" customWidth="1"/>
    <col min="4" max="4" width="26.33203125" style="1" bestFit="1" customWidth="1"/>
    <col min="5" max="5" width="7.1640625" style="1" bestFit="1" customWidth="1"/>
    <col min="6" max="6" width="10.83203125" style="1"/>
    <col min="7" max="8" width="6.33203125" style="1" bestFit="1" customWidth="1"/>
    <col min="9" max="9" width="6.5" style="1" bestFit="1" customWidth="1"/>
    <col min="10" max="10" width="5.6640625" style="2" customWidth="1"/>
    <col min="11" max="16384" width="10.83203125" style="1"/>
  </cols>
  <sheetData>
    <row r="2" spans="2:9">
      <c r="B2" s="1" t="s">
        <v>149</v>
      </c>
      <c r="C2" s="1" t="s">
        <v>150</v>
      </c>
    </row>
    <row r="3" spans="2:9">
      <c r="C3" s="1"/>
    </row>
    <row r="4" spans="2:9">
      <c r="B4" s="1" t="s">
        <v>156</v>
      </c>
      <c r="C4" s="1"/>
    </row>
    <row r="5" spans="2:9">
      <c r="C5" s="1"/>
    </row>
    <row r="6" spans="2:9">
      <c r="C6" s="1"/>
      <c r="H6" s="1">
        <v>65</v>
      </c>
    </row>
    <row r="7" spans="2:9">
      <c r="B7" s="3"/>
      <c r="C7" s="13" t="s">
        <v>18</v>
      </c>
      <c r="D7" s="13" t="s">
        <v>23</v>
      </c>
      <c r="E7" s="13" t="s">
        <v>70</v>
      </c>
      <c r="G7" s="1" t="s">
        <v>12</v>
      </c>
      <c r="H7" s="1">
        <v>66.430000000000007</v>
      </c>
      <c r="I7" s="2"/>
    </row>
    <row r="8" spans="2:9">
      <c r="C8" s="10" t="s">
        <v>20</v>
      </c>
      <c r="D8" s="10" t="s">
        <v>24</v>
      </c>
      <c r="E8" s="33">
        <f>+Model!K35</f>
        <v>0.5169300225733634</v>
      </c>
      <c r="G8" s="1" t="s">
        <v>13</v>
      </c>
      <c r="H8" s="1">
        <v>305.90462000000002</v>
      </c>
      <c r="I8" s="2" t="s">
        <v>9</v>
      </c>
    </row>
    <row r="9" spans="2:9">
      <c r="C9" s="10" t="s">
        <v>22</v>
      </c>
      <c r="D9" s="10" t="s">
        <v>26</v>
      </c>
      <c r="E9" s="33">
        <f>+Model!K69</f>
        <v>0.41935483870967744</v>
      </c>
      <c r="G9" s="1" t="s">
        <v>14</v>
      </c>
      <c r="H9" s="1">
        <f>+H7*H8</f>
        <v>20321.243906600004</v>
      </c>
      <c r="I9" s="2"/>
    </row>
    <row r="10" spans="2:9">
      <c r="C10" s="10" t="s">
        <v>21</v>
      </c>
      <c r="D10" s="10" t="s">
        <v>25</v>
      </c>
      <c r="E10" s="33">
        <f>+Model!K52</f>
        <v>0.3783783783783784</v>
      </c>
      <c r="G10" s="1" t="s">
        <v>15</v>
      </c>
      <c r="H10" s="1">
        <v>946</v>
      </c>
      <c r="I10" s="2" t="str">
        <f>+I8</f>
        <v>Q222</v>
      </c>
    </row>
    <row r="11" spans="2:9">
      <c r="C11" s="10" t="s">
        <v>19</v>
      </c>
      <c r="D11" s="10" t="s">
        <v>155</v>
      </c>
      <c r="E11" s="33">
        <f>+Model!K18</f>
        <v>0.27864897466827504</v>
      </c>
      <c r="G11" s="1" t="s">
        <v>16</v>
      </c>
      <c r="H11" s="1">
        <f>117+12853</f>
        <v>12970</v>
      </c>
      <c r="I11" s="2" t="str">
        <f>+I10</f>
        <v>Q222</v>
      </c>
    </row>
    <row r="12" spans="2:9">
      <c r="C12" s="1"/>
      <c r="G12" s="1" t="s">
        <v>17</v>
      </c>
      <c r="H12" s="1">
        <f>+H9-H10+H11</f>
        <v>32345.243906600004</v>
      </c>
      <c r="I12" s="2"/>
    </row>
    <row r="13" spans="2:9">
      <c r="C13" s="32" t="s">
        <v>151</v>
      </c>
      <c r="H13" s="1">
        <f>+H11-H10</f>
        <v>12024</v>
      </c>
    </row>
    <row r="14" spans="2:9">
      <c r="C14" s="1"/>
    </row>
    <row r="15" spans="2:9">
      <c r="C15" s="37" t="s">
        <v>152</v>
      </c>
    </row>
    <row r="16" spans="2:9">
      <c r="C16" s="35">
        <v>44881</v>
      </c>
    </row>
    <row r="17" spans="3:3">
      <c r="C17" s="35">
        <v>44868</v>
      </c>
    </row>
    <row r="18" spans="3:3">
      <c r="C18" s="35">
        <v>44813</v>
      </c>
    </row>
    <row r="25" spans="3:3">
      <c r="C25" s="36" t="s">
        <v>153</v>
      </c>
    </row>
    <row r="26" spans="3:3">
      <c r="C26" s="35" t="s">
        <v>154</v>
      </c>
    </row>
  </sheetData>
  <hyperlinks>
    <hyperlink ref="C13" r:id="rId1" xr:uid="{479FEB85-9608-5D42-BF6E-814FC4B5EB7D}"/>
    <hyperlink ref="C16" r:id="rId2" display="https://www.rbi.com/English/news/news-details/2022/Restaurant-Brands-International-Inc.-Appoints-Patrick-Doyle-as-Executive-Chairman-to-Accelerate-Growth/default.aspx" xr:uid="{E8D1610F-95B2-C741-87BE-C05A04F2218F}"/>
    <hyperlink ref="C17" r:id="rId3" display="https://www.rbi.com/English/news/news-details/2022/Restaurant-Brands-International-Inc.-Reports-Third-Quarter-2022-Results/default.aspx" xr:uid="{C0B563FF-7C0C-0A47-A02B-EF6AEEC2918F}"/>
    <hyperlink ref="C18" r:id="rId4" display="https://www.rbi.com/English/news/news-details/2022/Burger-King-Announces-Reclaim-the-Flame-Plan-to-Accelerate-Growth-in-the-U.S/default.aspx" xr:uid="{9750C035-1110-CA43-B497-81DA523BE433}"/>
    <hyperlink ref="C26" r:id="rId5" display="$400M BK Investmnet" xr:uid="{F2835B71-7C0E-F946-BD6C-2CEEB832EC73}"/>
    <hyperlink ref="C15" r:id="rId6" xr:uid="{5669D5C8-FEE7-B847-821F-6B4D0A1FBF6B}"/>
  </hyperlinks>
  <pageMargins left="0.7" right="0.7" top="0.75" bottom="0.75" header="0.3" footer="0.3"/>
  <legacyDrawing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Model</vt:lpstr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Brannon, Jameel A.</dc:creator>
  <cp:lastModifiedBy>Brannon, Jameel A.</cp:lastModifiedBy>
  <dcterms:created xsi:type="dcterms:W3CDTF">2022-07-25T16:00:21Z</dcterms:created>
  <dcterms:modified xsi:type="dcterms:W3CDTF">2022-12-02T23:48:38Z</dcterms:modified>
</cp:coreProperties>
</file>