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0A6BDE50-8C87-3545-8C1B-9586BCD3C057}" xr6:coauthVersionLast="47" xr6:coauthVersionMax="47" xr10:uidLastSave="{00000000-0000-0000-0000-000000000000}"/>
  <bookViews>
    <workbookView xWindow="51560" yWindow="500" windowWidth="23000" windowHeight="28300" activeTab="1" xr2:uid="{A3B08A1F-1CC9-5042-8389-99D1D3DAFAFB}"/>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4" i="2" l="1"/>
  <c r="L58" i="2"/>
  <c r="G74" i="2"/>
  <c r="G58" i="2"/>
  <c r="H74" i="2"/>
  <c r="H58" i="2"/>
  <c r="F74" i="2"/>
  <c r="F58" i="2"/>
  <c r="I74" i="2"/>
  <c r="I58" i="2"/>
  <c r="J74" i="2"/>
  <c r="J58" i="2"/>
  <c r="K74" i="2"/>
  <c r="K58" i="2"/>
  <c r="O39" i="2"/>
  <c r="O40" i="2" s="1"/>
  <c r="M39" i="2"/>
  <c r="M40" i="2" s="1"/>
  <c r="L39" i="2"/>
  <c r="L40" i="2" s="1"/>
  <c r="K39" i="2"/>
  <c r="K40" i="2" s="1"/>
  <c r="J39" i="2"/>
  <c r="J40" i="2" s="1"/>
  <c r="I39" i="2"/>
  <c r="I40" i="2" s="1"/>
  <c r="H39" i="2"/>
  <c r="H40" i="2" s="1"/>
  <c r="G39" i="2"/>
  <c r="G40" i="2" s="1"/>
  <c r="F39" i="2"/>
  <c r="F40" i="2" s="1"/>
  <c r="E39" i="2"/>
  <c r="E40" i="2" s="1"/>
  <c r="D39" i="2"/>
  <c r="D40" i="2" s="1"/>
  <c r="C39" i="2"/>
  <c r="C40" i="2" s="1"/>
  <c r="P39" i="2"/>
  <c r="P40" i="2" l="1"/>
  <c r="AA8" i="2"/>
  <c r="AA14" i="2" s="1"/>
  <c r="P4" i="2"/>
  <c r="P5" i="2" s="1"/>
  <c r="P74" i="2"/>
  <c r="P58" i="2"/>
  <c r="P37" i="2"/>
  <c r="P36" i="2"/>
  <c r="P35" i="2"/>
  <c r="P34" i="2"/>
  <c r="P33" i="2"/>
  <c r="P32" i="2"/>
  <c r="P31" i="2"/>
  <c r="P27" i="2"/>
  <c r="P16" i="2"/>
  <c r="P20" i="2" l="1"/>
  <c r="P22" i="2" s="1"/>
  <c r="P24" i="2" s="1"/>
  <c r="AA9" i="2"/>
  <c r="AA31" i="2" s="1"/>
  <c r="AA10" i="2"/>
  <c r="AA15" i="2"/>
  <c r="AA11" i="2"/>
  <c r="AA12" i="2"/>
  <c r="AA13" i="2"/>
  <c r="O113" i="2"/>
  <c r="O110" i="2"/>
  <c r="O105" i="2"/>
  <c r="O100" i="2"/>
  <c r="AN33" i="2"/>
  <c r="AN29" i="2"/>
  <c r="AA23" i="2"/>
  <c r="AB23" i="2" s="1"/>
  <c r="AC23" i="2" s="1"/>
  <c r="AD23" i="2" s="1"/>
  <c r="AE23" i="2" s="1"/>
  <c r="AF23" i="2" s="1"/>
  <c r="AG23" i="2" s="1"/>
  <c r="AH23" i="2" s="1"/>
  <c r="AI23" i="2" s="1"/>
  <c r="AJ23" i="2" s="1"/>
  <c r="W37" i="2"/>
  <c r="W36" i="2"/>
  <c r="W35" i="2"/>
  <c r="W34" i="2"/>
  <c r="W33" i="2"/>
  <c r="W32" i="2"/>
  <c r="W31" i="2"/>
  <c r="O37" i="2"/>
  <c r="M37" i="2"/>
  <c r="L37" i="2"/>
  <c r="K37" i="2"/>
  <c r="J37" i="2"/>
  <c r="I37" i="2"/>
  <c r="H37" i="2"/>
  <c r="G37" i="2"/>
  <c r="F37" i="2"/>
  <c r="E37" i="2"/>
  <c r="D37" i="2"/>
  <c r="O36" i="2"/>
  <c r="M36" i="2"/>
  <c r="L36" i="2"/>
  <c r="K36" i="2"/>
  <c r="J36" i="2"/>
  <c r="I36" i="2"/>
  <c r="H36" i="2"/>
  <c r="G36" i="2"/>
  <c r="F36" i="2"/>
  <c r="E36" i="2"/>
  <c r="D36" i="2"/>
  <c r="O35" i="2"/>
  <c r="M35" i="2"/>
  <c r="L35" i="2"/>
  <c r="K35" i="2"/>
  <c r="J35" i="2"/>
  <c r="I35" i="2"/>
  <c r="H35" i="2"/>
  <c r="G35" i="2"/>
  <c r="F35" i="2"/>
  <c r="E35" i="2"/>
  <c r="D35" i="2"/>
  <c r="O34" i="2"/>
  <c r="M34" i="2"/>
  <c r="L34" i="2"/>
  <c r="K34" i="2"/>
  <c r="J34" i="2"/>
  <c r="I34" i="2"/>
  <c r="H34" i="2"/>
  <c r="G34" i="2"/>
  <c r="F34" i="2"/>
  <c r="E34" i="2"/>
  <c r="D34" i="2"/>
  <c r="O33" i="2"/>
  <c r="M33" i="2"/>
  <c r="L33" i="2"/>
  <c r="K33" i="2"/>
  <c r="J33" i="2"/>
  <c r="I33" i="2"/>
  <c r="H33" i="2"/>
  <c r="G33" i="2"/>
  <c r="F33" i="2"/>
  <c r="E33" i="2"/>
  <c r="D33" i="2"/>
  <c r="O32" i="2"/>
  <c r="M32" i="2"/>
  <c r="L32" i="2"/>
  <c r="K32" i="2"/>
  <c r="J32" i="2"/>
  <c r="I32" i="2"/>
  <c r="H32" i="2"/>
  <c r="G32" i="2"/>
  <c r="F32" i="2"/>
  <c r="E32" i="2"/>
  <c r="D32" i="2"/>
  <c r="O31" i="2"/>
  <c r="M31" i="2"/>
  <c r="L31" i="2"/>
  <c r="K31" i="2"/>
  <c r="J31" i="2"/>
  <c r="I31" i="2"/>
  <c r="H31" i="2"/>
  <c r="G31" i="2"/>
  <c r="F31" i="2"/>
  <c r="E31" i="2"/>
  <c r="D31" i="2"/>
  <c r="C37" i="2"/>
  <c r="C36" i="2"/>
  <c r="C35" i="2"/>
  <c r="C34" i="2"/>
  <c r="C33" i="2"/>
  <c r="C32" i="2"/>
  <c r="C31" i="2"/>
  <c r="O112" i="2" l="1"/>
  <c r="O114" i="2" s="1"/>
  <c r="O5" i="2"/>
  <c r="N21" i="2"/>
  <c r="N19" i="2"/>
  <c r="N18" i="2"/>
  <c r="N17" i="2"/>
  <c r="N15" i="2"/>
  <c r="N14" i="2"/>
  <c r="N13" i="2"/>
  <c r="N12" i="2"/>
  <c r="N11" i="2"/>
  <c r="N10" i="2"/>
  <c r="N9" i="2"/>
  <c r="N8" i="2"/>
  <c r="N74" i="2"/>
  <c r="N58" i="2"/>
  <c r="O74" i="2"/>
  <c r="O58" i="2"/>
  <c r="O27" i="2"/>
  <c r="O16" i="2"/>
  <c r="O20" i="2" s="1"/>
  <c r="O22" i="2" s="1"/>
  <c r="O24" i="2" s="1"/>
  <c r="K7" i="1"/>
  <c r="M74" i="2"/>
  <c r="M58" i="2"/>
  <c r="M5" i="2"/>
  <c r="L5" i="2"/>
  <c r="K5" i="2"/>
  <c r="J5" i="2"/>
  <c r="I5" i="2"/>
  <c r="H5" i="2"/>
  <c r="G5" i="2"/>
  <c r="X21" i="2"/>
  <c r="X19" i="2"/>
  <c r="X18" i="2"/>
  <c r="X17" i="2"/>
  <c r="X15" i="2"/>
  <c r="X14" i="2"/>
  <c r="X13" i="2"/>
  <c r="X12" i="2"/>
  <c r="X34" i="2" s="1"/>
  <c r="X11" i="2"/>
  <c r="X10" i="2"/>
  <c r="X32" i="2" s="1"/>
  <c r="X9" i="2"/>
  <c r="X8" i="2"/>
  <c r="X27" i="2" s="1"/>
  <c r="C16" i="2"/>
  <c r="C20" i="2" s="1"/>
  <c r="C22" i="2" s="1"/>
  <c r="C24" i="2" s="1"/>
  <c r="G27" i="2"/>
  <c r="H27" i="2"/>
  <c r="I27" i="2"/>
  <c r="J27" i="2"/>
  <c r="D16" i="2"/>
  <c r="D20" i="2" s="1"/>
  <c r="D22" i="2" s="1"/>
  <c r="D24" i="2" s="1"/>
  <c r="E16" i="2"/>
  <c r="E20" i="2" s="1"/>
  <c r="E22" i="2" s="1"/>
  <c r="E24" i="2" s="1"/>
  <c r="F16" i="2"/>
  <c r="F20" i="2" s="1"/>
  <c r="F22" i="2" s="1"/>
  <c r="F24" i="2" s="1"/>
  <c r="Y21" i="2"/>
  <c r="Y19" i="2"/>
  <c r="Y18" i="2"/>
  <c r="Y17" i="2"/>
  <c r="Y15" i="2"/>
  <c r="Y37" i="2" s="1"/>
  <c r="Y14" i="2"/>
  <c r="Y13" i="2"/>
  <c r="Y12" i="2"/>
  <c r="Y11" i="2"/>
  <c r="Y10" i="2"/>
  <c r="Y9" i="2"/>
  <c r="Y8" i="2"/>
  <c r="Z27" i="2" s="1"/>
  <c r="J16" i="2"/>
  <c r="J20" i="2" s="1"/>
  <c r="J22" i="2" s="1"/>
  <c r="J24" i="2" s="1"/>
  <c r="Y4" i="2"/>
  <c r="W16" i="2"/>
  <c r="W20" i="2" s="1"/>
  <c r="W22" i="2" s="1"/>
  <c r="W24" i="2" s="1"/>
  <c r="G16" i="2"/>
  <c r="G20" i="2" s="1"/>
  <c r="G22" i="2" s="1"/>
  <c r="G24" i="2" s="1"/>
  <c r="K27" i="2"/>
  <c r="K16" i="2"/>
  <c r="K20" i="2" s="1"/>
  <c r="K22" i="2" s="1"/>
  <c r="K24" i="2" s="1"/>
  <c r="H16" i="2"/>
  <c r="H20" i="2" s="1"/>
  <c r="H22" i="2" s="1"/>
  <c r="H24" i="2" s="1"/>
  <c r="L27" i="2"/>
  <c r="L16" i="2"/>
  <c r="M27" i="2"/>
  <c r="I16" i="2"/>
  <c r="I20" i="2" s="1"/>
  <c r="I22" i="2" s="1"/>
  <c r="I24" i="2" s="1"/>
  <c r="M16" i="2"/>
  <c r="M20" i="2" s="1"/>
  <c r="M22" i="2" s="1"/>
  <c r="M24" i="2" s="1"/>
  <c r="L9" i="1"/>
  <c r="L10" i="1" s="1"/>
  <c r="S2" i="2"/>
  <c r="T2" i="2" s="1"/>
  <c r="U2" i="2" s="1"/>
  <c r="V2" i="2" s="1"/>
  <c r="W2" i="2" s="1"/>
  <c r="X2" i="2" s="1"/>
  <c r="Y2" i="2" s="1"/>
  <c r="Z2" i="2" s="1"/>
  <c r="AA2" i="2" s="1"/>
  <c r="AB2" i="2" s="1"/>
  <c r="AC2" i="2" s="1"/>
  <c r="AD2" i="2" s="1"/>
  <c r="AE2" i="2" s="1"/>
  <c r="AF2" i="2" s="1"/>
  <c r="AG2" i="2" s="1"/>
  <c r="AH2" i="2" s="1"/>
  <c r="AI2" i="2" s="1"/>
  <c r="AJ2" i="2" s="1"/>
  <c r="AK2" i="2" s="1"/>
  <c r="AL2" i="2" s="1"/>
  <c r="AM2" i="2" s="1"/>
  <c r="AN2" i="2" s="1"/>
  <c r="AO2" i="2" s="1"/>
  <c r="AP2" i="2" s="1"/>
  <c r="AQ2" i="2" s="1"/>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EI2" i="2" s="1"/>
  <c r="EJ2" i="2" s="1"/>
  <c r="EK2" i="2" s="1"/>
  <c r="EL2" i="2" s="1"/>
  <c r="EM2" i="2" s="1"/>
  <c r="EN2" i="2" s="1"/>
  <c r="EO2" i="2" s="1"/>
  <c r="EP2" i="2" s="1"/>
  <c r="EQ2" i="2" s="1"/>
  <c r="ER2" i="2" s="1"/>
  <c r="ES2" i="2" s="1"/>
  <c r="ET2" i="2" s="1"/>
  <c r="EU2" i="2" s="1"/>
  <c r="EV2" i="2" s="1"/>
  <c r="EW2" i="2" s="1"/>
  <c r="EX2" i="2" s="1"/>
  <c r="EY2" i="2" s="1"/>
  <c r="EZ2" i="2" s="1"/>
  <c r="FA2" i="2" s="1"/>
  <c r="FB2" i="2" s="1"/>
  <c r="FC2" i="2" s="1"/>
  <c r="FD2" i="2" s="1"/>
  <c r="FE2" i="2" s="1"/>
  <c r="FF2" i="2" s="1"/>
  <c r="FG2" i="2" s="1"/>
  <c r="FH2" i="2" s="1"/>
  <c r="FI2" i="2" s="1"/>
  <c r="FJ2" i="2" s="1"/>
  <c r="FK2" i="2" s="1"/>
  <c r="FL2" i="2" s="1"/>
  <c r="FM2" i="2" s="1"/>
  <c r="FN2" i="2" s="1"/>
  <c r="FO2" i="2" s="1"/>
  <c r="FP2" i="2" s="1"/>
  <c r="FQ2" i="2" s="1"/>
  <c r="FR2" i="2" s="1"/>
  <c r="FS2" i="2" s="1"/>
  <c r="FT2" i="2" s="1"/>
  <c r="FU2" i="2" s="1"/>
  <c r="FV2" i="2" s="1"/>
  <c r="FW2" i="2" s="1"/>
  <c r="FX2" i="2" s="1"/>
  <c r="FY2" i="2" s="1"/>
  <c r="FZ2" i="2" s="1"/>
  <c r="GA2" i="2" s="1"/>
  <c r="GB2" i="2" s="1"/>
  <c r="GC2" i="2" s="1"/>
  <c r="GD2" i="2" s="1"/>
  <c r="GE2" i="2" s="1"/>
  <c r="GF2" i="2" s="1"/>
  <c r="GG2" i="2" s="1"/>
  <c r="GH2" i="2" s="1"/>
  <c r="GI2" i="2" s="1"/>
  <c r="GJ2" i="2" s="1"/>
  <c r="GK2" i="2" s="1"/>
  <c r="GL2" i="2" s="1"/>
  <c r="GM2" i="2" s="1"/>
  <c r="GN2" i="2" s="1"/>
  <c r="GO2" i="2" s="1"/>
  <c r="GP2" i="2" s="1"/>
  <c r="GQ2" i="2" s="1"/>
  <c r="GR2" i="2" s="1"/>
  <c r="GS2" i="2" s="1"/>
  <c r="GT2" i="2" s="1"/>
  <c r="GU2" i="2" s="1"/>
  <c r="GV2" i="2" s="1"/>
  <c r="GW2" i="2" s="1"/>
  <c r="GX2" i="2" s="1"/>
  <c r="GY2" i="2" s="1"/>
  <c r="GZ2" i="2" s="1"/>
  <c r="HA2" i="2" s="1"/>
  <c r="HB2" i="2" s="1"/>
  <c r="HC2" i="2" s="1"/>
  <c r="HD2" i="2" s="1"/>
  <c r="HE2" i="2" s="1"/>
  <c r="HF2" i="2" s="1"/>
  <c r="HG2" i="2" s="1"/>
  <c r="HH2" i="2" s="1"/>
  <c r="HI2" i="2" s="1"/>
  <c r="HJ2" i="2" s="1"/>
  <c r="HK2" i="2" s="1"/>
  <c r="HL2" i="2" s="1"/>
  <c r="HM2" i="2" s="1"/>
  <c r="HN2" i="2" s="1"/>
  <c r="HO2" i="2" s="1"/>
  <c r="HP2" i="2" s="1"/>
  <c r="HQ2" i="2" s="1"/>
  <c r="HR2" i="2" s="1"/>
  <c r="HS2" i="2" s="1"/>
  <c r="HT2" i="2" s="1"/>
  <c r="HU2" i="2" s="1"/>
  <c r="HV2" i="2" s="1"/>
  <c r="HW2" i="2" s="1"/>
  <c r="HX2" i="2" s="1"/>
  <c r="HY2" i="2" s="1"/>
  <c r="HZ2" i="2" s="1"/>
  <c r="IA2" i="2" s="1"/>
  <c r="IB2" i="2" s="1"/>
  <c r="X36" i="2" l="1"/>
  <c r="Y36" i="2"/>
  <c r="X33" i="2"/>
  <c r="X37" i="2"/>
  <c r="N36" i="2"/>
  <c r="N27" i="2"/>
  <c r="N39" i="2"/>
  <c r="N40" i="2" s="1"/>
  <c r="N37" i="2"/>
  <c r="L20" i="2"/>
  <c r="L22" i="2" s="1"/>
  <c r="L24" i="2" s="1"/>
  <c r="X35" i="2"/>
  <c r="Y35" i="2"/>
  <c r="X31" i="2"/>
  <c r="N35" i="2"/>
  <c r="N31" i="2"/>
  <c r="N32" i="2"/>
  <c r="Y31" i="2"/>
  <c r="Y32" i="2"/>
  <c r="Y33" i="2"/>
  <c r="N33" i="2"/>
  <c r="Y34" i="2"/>
  <c r="N34" i="2"/>
  <c r="K8" i="1"/>
  <c r="K11" i="1" s="1"/>
  <c r="AN36" i="2" s="1"/>
  <c r="AN31" i="2"/>
  <c r="Y5" i="2"/>
  <c r="Z24" i="2"/>
  <c r="N16" i="2"/>
  <c r="N20" i="2" s="1"/>
  <c r="N22" i="2" s="1"/>
  <c r="Z22" i="2"/>
  <c r="Z4" i="2"/>
  <c r="AA4" i="2" s="1"/>
  <c r="AA5" i="2" s="1"/>
  <c r="AB5" i="2" s="1"/>
  <c r="Z16" i="2"/>
  <c r="X24" i="2"/>
  <c r="Z20" i="2"/>
  <c r="Y24" i="2"/>
  <c r="Y27" i="2"/>
  <c r="Y16" i="2"/>
  <c r="X5" i="2"/>
  <c r="X20" i="2"/>
  <c r="X22" i="2"/>
  <c r="Y20" i="2"/>
  <c r="X16" i="2"/>
  <c r="Y22" i="2"/>
  <c r="N24" i="2" l="1"/>
  <c r="N23" i="2"/>
  <c r="AC5" i="2"/>
  <c r="AD5" i="2" s="1"/>
  <c r="AE5" i="2" s="1"/>
  <c r="AF5" i="2" s="1"/>
  <c r="AG5" i="2" s="1"/>
  <c r="AH5" i="2" s="1"/>
  <c r="AI5" i="2" s="1"/>
  <c r="AJ5" i="2" s="1"/>
  <c r="AB4" i="2"/>
  <c r="AB8" i="2" s="1"/>
  <c r="X23" i="2"/>
  <c r="N4" i="2"/>
  <c r="N5" i="2" s="1"/>
  <c r="Z5" i="2"/>
  <c r="Y23" i="2"/>
  <c r="Z6" i="2" l="1"/>
  <c r="AC4" i="2"/>
  <c r="AD4" i="2" l="1"/>
  <c r="AA35" i="2" l="1"/>
  <c r="AA37" i="2"/>
  <c r="AA32" i="2"/>
  <c r="AA33" i="2"/>
  <c r="AA34" i="2"/>
  <c r="AA36" i="2"/>
  <c r="AA27" i="2"/>
  <c r="AE4" i="2"/>
  <c r="AF4" i="2" l="1"/>
  <c r="AB13" i="2"/>
  <c r="AB35" i="2" s="1"/>
  <c r="AB9" i="2"/>
  <c r="AB31" i="2" s="1"/>
  <c r="AB27" i="2"/>
  <c r="AB12" i="2"/>
  <c r="AB34" i="2" s="1"/>
  <c r="AB10" i="2"/>
  <c r="AB32" i="2" s="1"/>
  <c r="AB14" i="2"/>
  <c r="AB36" i="2" s="1"/>
  <c r="AB11" i="2"/>
  <c r="AB33" i="2" s="1"/>
  <c r="AB15" i="2"/>
  <c r="AB37" i="2" s="1"/>
  <c r="AC8" i="2"/>
  <c r="AA16" i="2"/>
  <c r="AA18" i="2" l="1"/>
  <c r="AA17" i="2"/>
  <c r="AA19" i="2"/>
  <c r="AC15" i="2"/>
  <c r="AC37" i="2" s="1"/>
  <c r="AC13" i="2"/>
  <c r="AC35" i="2" s="1"/>
  <c r="AC14" i="2"/>
  <c r="AC36" i="2" s="1"/>
  <c r="AC27" i="2"/>
  <c r="AC10" i="2"/>
  <c r="AC32" i="2" s="1"/>
  <c r="AC9" i="2"/>
  <c r="AC31" i="2" s="1"/>
  <c r="AC12" i="2"/>
  <c r="AC34" i="2" s="1"/>
  <c r="AC11" i="2"/>
  <c r="AC33" i="2" s="1"/>
  <c r="AD8" i="2"/>
  <c r="AB16" i="2"/>
  <c r="AG4" i="2"/>
  <c r="AA20" i="2" l="1"/>
  <c r="AA21" i="2" s="1"/>
  <c r="AA22" i="2" s="1"/>
  <c r="AA24" i="2" s="1"/>
  <c r="AD11" i="2"/>
  <c r="AD33" i="2" s="1"/>
  <c r="AD12" i="2"/>
  <c r="AD34" i="2" s="1"/>
  <c r="AD15" i="2"/>
  <c r="AD37" i="2" s="1"/>
  <c r="AD10" i="2"/>
  <c r="AD32" i="2" s="1"/>
  <c r="AD27" i="2"/>
  <c r="AD13" i="2"/>
  <c r="AD35" i="2" s="1"/>
  <c r="AD9" i="2"/>
  <c r="AD31" i="2" s="1"/>
  <c r="AD14" i="2"/>
  <c r="AD36" i="2" s="1"/>
  <c r="AE8" i="2"/>
  <c r="AC16" i="2"/>
  <c r="AB17" i="2"/>
  <c r="AB19" i="2"/>
  <c r="AB18" i="2"/>
  <c r="AB20" i="2" s="1"/>
  <c r="AH4" i="2"/>
  <c r="AN37" i="2" l="1"/>
  <c r="AB21" i="2"/>
  <c r="AB22" i="2" s="1"/>
  <c r="AB24" i="2" s="1"/>
  <c r="AF8" i="2"/>
  <c r="AI4" i="2"/>
  <c r="AC17" i="2"/>
  <c r="AC19" i="2"/>
  <c r="AC18" i="2"/>
  <c r="AE11" i="2"/>
  <c r="AE33" i="2" s="1"/>
  <c r="AE12" i="2"/>
  <c r="AE34" i="2" s="1"/>
  <c r="AE10" i="2"/>
  <c r="AE32" i="2" s="1"/>
  <c r="AE15" i="2"/>
  <c r="AE37" i="2" s="1"/>
  <c r="AE13" i="2"/>
  <c r="AE35" i="2" s="1"/>
  <c r="AE9" i="2"/>
  <c r="AE31" i="2" s="1"/>
  <c r="AE14" i="2"/>
  <c r="AE36" i="2" s="1"/>
  <c r="AE27" i="2"/>
  <c r="AD16" i="2"/>
  <c r="AN38" i="2" l="1"/>
  <c r="AJ4" i="2"/>
  <c r="AD18" i="2"/>
  <c r="AD19" i="2"/>
  <c r="AD17" i="2"/>
  <c r="AD20" i="2" s="1"/>
  <c r="AE16" i="2"/>
  <c r="AF13" i="2"/>
  <c r="AF35" i="2" s="1"/>
  <c r="AF15" i="2"/>
  <c r="AF37" i="2" s="1"/>
  <c r="AF11" i="2"/>
  <c r="AF33" i="2" s="1"/>
  <c r="AF12" i="2"/>
  <c r="AF34" i="2" s="1"/>
  <c r="AF14" i="2"/>
  <c r="AF36" i="2" s="1"/>
  <c r="AF27" i="2"/>
  <c r="AF10" i="2"/>
  <c r="AF32" i="2" s="1"/>
  <c r="AF9" i="2"/>
  <c r="AF31" i="2" s="1"/>
  <c r="AG8" i="2"/>
  <c r="AC20" i="2"/>
  <c r="AC21" i="2" s="1"/>
  <c r="AC22" i="2" s="1"/>
  <c r="AD21" i="2" l="1"/>
  <c r="AD22" i="2" s="1"/>
  <c r="AD24" i="2" s="1"/>
  <c r="AF16" i="2"/>
  <c r="AC24" i="2"/>
  <c r="AE18" i="2"/>
  <c r="AE17" i="2"/>
  <c r="AE19" i="2"/>
  <c r="AG10" i="2"/>
  <c r="AG32" i="2" s="1"/>
  <c r="AG15" i="2"/>
  <c r="AG37" i="2" s="1"/>
  <c r="AG9" i="2"/>
  <c r="AG31" i="2" s="1"/>
  <c r="AG27" i="2"/>
  <c r="AG12" i="2"/>
  <c r="AG34" i="2" s="1"/>
  <c r="AG13" i="2"/>
  <c r="AG35" i="2" s="1"/>
  <c r="AG11" i="2"/>
  <c r="AG33" i="2" s="1"/>
  <c r="AG14" i="2"/>
  <c r="AG36" i="2" s="1"/>
  <c r="AH8" i="2"/>
  <c r="AF19" i="2" l="1"/>
  <c r="AF18" i="2"/>
  <c r="AE20" i="2"/>
  <c r="AE21" i="2" s="1"/>
  <c r="AJ8" i="2"/>
  <c r="AI8" i="2"/>
  <c r="AH14" i="2"/>
  <c r="AH36" i="2" s="1"/>
  <c r="AH13" i="2"/>
  <c r="AH35" i="2" s="1"/>
  <c r="AH11" i="2"/>
  <c r="AH33" i="2" s="1"/>
  <c r="AH12" i="2"/>
  <c r="AH34" i="2" s="1"/>
  <c r="AH15" i="2"/>
  <c r="AH37" i="2" s="1"/>
  <c r="AH9" i="2"/>
  <c r="AH31" i="2" s="1"/>
  <c r="AH27" i="2"/>
  <c r="AH10" i="2"/>
  <c r="AH32" i="2" s="1"/>
  <c r="AG16" i="2"/>
  <c r="AF17" i="2"/>
  <c r="AF20" i="2" l="1"/>
  <c r="AF21" i="2" s="1"/>
  <c r="AF22" i="2" s="1"/>
  <c r="AF24" i="2" s="1"/>
  <c r="AE22" i="2"/>
  <c r="AE24" i="2" s="1"/>
  <c r="AG19" i="2"/>
  <c r="AG17" i="2"/>
  <c r="AG18" i="2"/>
  <c r="AH16" i="2"/>
  <c r="AJ27" i="2"/>
  <c r="AI10" i="2"/>
  <c r="AI32" i="2" s="1"/>
  <c r="AI13" i="2"/>
  <c r="AI35" i="2" s="1"/>
  <c r="AI11" i="2"/>
  <c r="AI33" i="2" s="1"/>
  <c r="AI15" i="2"/>
  <c r="AI37" i="2" s="1"/>
  <c r="AI14" i="2"/>
  <c r="AI36" i="2" s="1"/>
  <c r="AI27" i="2"/>
  <c r="AI9" i="2"/>
  <c r="AI31" i="2" s="1"/>
  <c r="AI12" i="2"/>
  <c r="AI34" i="2" s="1"/>
  <c r="AG20" i="2" l="1"/>
  <c r="AG21" i="2"/>
  <c r="AG22" i="2" s="1"/>
  <c r="AG24" i="2" s="1"/>
  <c r="AJ12" i="2"/>
  <c r="AJ34" i="2" s="1"/>
  <c r="AJ11" i="2"/>
  <c r="AJ33" i="2" s="1"/>
  <c r="AJ15" i="2"/>
  <c r="AJ37" i="2" s="1"/>
  <c r="AJ14" i="2"/>
  <c r="AJ36" i="2" s="1"/>
  <c r="AH18" i="2"/>
  <c r="AH19" i="2"/>
  <c r="AH17" i="2"/>
  <c r="AI16" i="2"/>
  <c r="AJ10" i="2"/>
  <c r="AJ32" i="2" s="1"/>
  <c r="AJ13" i="2"/>
  <c r="AJ35" i="2" s="1"/>
  <c r="AJ9" i="2"/>
  <c r="AH20" i="2" l="1"/>
  <c r="AH21" i="2" s="1"/>
  <c r="AH22" i="2" s="1"/>
  <c r="AH24" i="2" s="1"/>
  <c r="AJ31" i="2"/>
  <c r="AJ16" i="2"/>
  <c r="AI19" i="2"/>
  <c r="AI17" i="2"/>
  <c r="AI18" i="2"/>
  <c r="AI20" i="2" l="1"/>
  <c r="AI21" i="2" s="1"/>
  <c r="AI22" i="2" s="1"/>
  <c r="AI24" i="2" s="1"/>
  <c r="AJ17" i="2"/>
  <c r="AJ18" i="2"/>
  <c r="AJ19" i="2"/>
  <c r="AJ20" i="2" l="1"/>
  <c r="AJ21" i="2" s="1"/>
  <c r="AJ22" i="2" s="1"/>
  <c r="AJ24" i="2" s="1"/>
  <c r="AK22" i="2" l="1"/>
  <c r="AL22" i="2" s="1"/>
  <c r="AM22" i="2" s="1"/>
  <c r="AN22" i="2" s="1"/>
  <c r="AO22" i="2" s="1"/>
  <c r="AP22" i="2" s="1"/>
  <c r="AQ22" i="2" s="1"/>
  <c r="AR22" i="2" s="1"/>
  <c r="AS22" i="2" s="1"/>
  <c r="AT22" i="2" s="1"/>
  <c r="AU22" i="2" s="1"/>
  <c r="AV22" i="2" s="1"/>
  <c r="AW22" i="2" s="1"/>
  <c r="AX22" i="2" s="1"/>
  <c r="AY22" i="2" s="1"/>
  <c r="AZ22" i="2" s="1"/>
  <c r="BA22" i="2" s="1"/>
  <c r="BB22" i="2" s="1"/>
  <c r="BC22" i="2" s="1"/>
  <c r="BD22" i="2" s="1"/>
  <c r="BE22" i="2" s="1"/>
  <c r="BF22" i="2" s="1"/>
  <c r="BG22" i="2" s="1"/>
  <c r="BH22" i="2" s="1"/>
  <c r="BI22" i="2" s="1"/>
  <c r="BJ22" i="2" s="1"/>
  <c r="BK22" i="2" s="1"/>
  <c r="BL22" i="2" s="1"/>
  <c r="BM22" i="2" s="1"/>
  <c r="BN22" i="2" s="1"/>
  <c r="BO22" i="2" s="1"/>
  <c r="BP22" i="2" s="1"/>
  <c r="BQ22" i="2" s="1"/>
  <c r="BR22" i="2" s="1"/>
  <c r="BS22" i="2" s="1"/>
  <c r="BT22" i="2" s="1"/>
  <c r="BU22" i="2" s="1"/>
  <c r="BV22" i="2" s="1"/>
  <c r="BW22" i="2" s="1"/>
  <c r="BX22" i="2" s="1"/>
  <c r="BY22" i="2" s="1"/>
  <c r="BZ22" i="2" s="1"/>
  <c r="CA22" i="2" s="1"/>
  <c r="CB22" i="2" s="1"/>
  <c r="CC22" i="2" s="1"/>
  <c r="CD22" i="2" s="1"/>
  <c r="CE22" i="2" s="1"/>
  <c r="CF22" i="2" s="1"/>
  <c r="CG22" i="2" s="1"/>
  <c r="CH22" i="2" s="1"/>
  <c r="CI22" i="2" s="1"/>
  <c r="CJ22" i="2" s="1"/>
  <c r="CK22" i="2" s="1"/>
  <c r="CL22" i="2" s="1"/>
  <c r="CM22" i="2" s="1"/>
  <c r="CN22" i="2" s="1"/>
  <c r="CO22" i="2" s="1"/>
  <c r="CP22" i="2" s="1"/>
  <c r="CQ22" i="2" s="1"/>
  <c r="CR22" i="2" s="1"/>
  <c r="CS22" i="2" s="1"/>
  <c r="CT22" i="2" s="1"/>
  <c r="CU22" i="2" s="1"/>
  <c r="CV22" i="2" s="1"/>
  <c r="CW22" i="2" s="1"/>
  <c r="CX22" i="2" s="1"/>
  <c r="CY22" i="2" s="1"/>
  <c r="CZ22" i="2" s="1"/>
  <c r="DA22" i="2" s="1"/>
  <c r="DB22" i="2" s="1"/>
  <c r="DC22" i="2" s="1"/>
  <c r="DD22" i="2" s="1"/>
  <c r="DE22" i="2" s="1"/>
  <c r="DF22" i="2" s="1"/>
  <c r="DG22" i="2" s="1"/>
  <c r="DH22" i="2" s="1"/>
  <c r="DI22" i="2" s="1"/>
  <c r="DJ22" i="2" s="1"/>
  <c r="DK22" i="2" s="1"/>
  <c r="DL22" i="2" s="1"/>
  <c r="DM22" i="2" s="1"/>
  <c r="DN22" i="2" s="1"/>
  <c r="DO22" i="2" s="1"/>
  <c r="DP22" i="2" s="1"/>
  <c r="DQ22" i="2" s="1"/>
  <c r="DR22" i="2" s="1"/>
  <c r="DS22" i="2" s="1"/>
  <c r="DT22" i="2" s="1"/>
  <c r="DU22" i="2" s="1"/>
  <c r="DV22" i="2" s="1"/>
  <c r="DW22" i="2" s="1"/>
  <c r="DX22" i="2" s="1"/>
  <c r="DY22" i="2" s="1"/>
  <c r="DZ22" i="2" s="1"/>
  <c r="EA22" i="2" s="1"/>
  <c r="EB22" i="2" s="1"/>
  <c r="EC22" i="2" s="1"/>
  <c r="ED22" i="2" s="1"/>
  <c r="EE22" i="2" s="1"/>
  <c r="EF22" i="2" s="1"/>
  <c r="EG22" i="2" s="1"/>
  <c r="EH22" i="2" s="1"/>
  <c r="EI22" i="2" s="1"/>
  <c r="EJ22" i="2" s="1"/>
  <c r="EK22" i="2" s="1"/>
  <c r="EL22" i="2" s="1"/>
  <c r="EM22" i="2" s="1"/>
  <c r="EN22" i="2" s="1"/>
  <c r="EO22" i="2" s="1"/>
  <c r="EP22" i="2" s="1"/>
  <c r="EQ22" i="2" s="1"/>
  <c r="ER22" i="2" s="1"/>
  <c r="ES22" i="2" s="1"/>
  <c r="ET22" i="2" s="1"/>
  <c r="EU22" i="2" s="1"/>
  <c r="EV22" i="2" s="1"/>
  <c r="EW22" i="2" s="1"/>
  <c r="EX22" i="2" s="1"/>
  <c r="EY22" i="2" s="1"/>
  <c r="EZ22" i="2" s="1"/>
  <c r="FA22" i="2" s="1"/>
  <c r="FB22" i="2" s="1"/>
  <c r="FC22" i="2" s="1"/>
  <c r="FD22" i="2" s="1"/>
  <c r="FE22" i="2" s="1"/>
  <c r="FF22" i="2" s="1"/>
  <c r="FG22" i="2" s="1"/>
  <c r="FH22" i="2" s="1"/>
  <c r="FI22" i="2" s="1"/>
  <c r="FJ22" i="2" s="1"/>
  <c r="FK22" i="2" s="1"/>
  <c r="FL22" i="2" s="1"/>
  <c r="FM22" i="2" s="1"/>
  <c r="FN22" i="2" s="1"/>
  <c r="FO22" i="2" s="1"/>
  <c r="FP22" i="2" s="1"/>
  <c r="FQ22" i="2" s="1"/>
  <c r="FR22" i="2" s="1"/>
  <c r="FS22" i="2" s="1"/>
  <c r="FT22" i="2" s="1"/>
  <c r="FU22" i="2" s="1"/>
  <c r="FV22" i="2" s="1"/>
  <c r="FW22" i="2" s="1"/>
  <c r="FX22" i="2" s="1"/>
  <c r="FY22" i="2" s="1"/>
  <c r="FZ22" i="2" s="1"/>
  <c r="GA22" i="2" s="1"/>
  <c r="GB22" i="2" s="1"/>
  <c r="GC22" i="2" s="1"/>
  <c r="GD22" i="2" s="1"/>
  <c r="GE22" i="2" s="1"/>
  <c r="GF22" i="2" s="1"/>
  <c r="GG22" i="2" s="1"/>
  <c r="GH22" i="2" s="1"/>
  <c r="GI22" i="2" s="1"/>
  <c r="GJ22" i="2" s="1"/>
  <c r="GK22" i="2" s="1"/>
  <c r="GL22" i="2" s="1"/>
  <c r="GM22" i="2" s="1"/>
  <c r="GN22" i="2" s="1"/>
  <c r="GO22" i="2" s="1"/>
  <c r="GP22" i="2" s="1"/>
  <c r="GQ22" i="2" s="1"/>
  <c r="GR22" i="2" s="1"/>
  <c r="GS22" i="2" s="1"/>
  <c r="GT22" i="2" s="1"/>
  <c r="GU22" i="2" s="1"/>
  <c r="GV22" i="2" s="1"/>
  <c r="GW22" i="2" s="1"/>
  <c r="GX22" i="2" s="1"/>
  <c r="GY22" i="2" s="1"/>
  <c r="GZ22" i="2" s="1"/>
  <c r="HA22" i="2" s="1"/>
  <c r="HB22" i="2" s="1"/>
  <c r="HC22" i="2" s="1"/>
  <c r="HD22" i="2" s="1"/>
  <c r="HE22" i="2" s="1"/>
  <c r="HF22" i="2" s="1"/>
  <c r="HG22" i="2" s="1"/>
  <c r="HH22" i="2" s="1"/>
  <c r="HI22" i="2" s="1"/>
  <c r="HJ22" i="2" s="1"/>
  <c r="HK22" i="2" s="1"/>
  <c r="HL22" i="2" s="1"/>
  <c r="HM22" i="2" s="1"/>
  <c r="HN22" i="2" s="1"/>
  <c r="HO22" i="2" s="1"/>
  <c r="HP22" i="2" s="1"/>
  <c r="HQ22" i="2" s="1"/>
  <c r="HR22" i="2" s="1"/>
  <c r="HS22" i="2" s="1"/>
  <c r="HT22" i="2" s="1"/>
  <c r="HU22" i="2" s="1"/>
  <c r="HV22" i="2" s="1"/>
  <c r="HW22" i="2" s="1"/>
  <c r="HX22" i="2" s="1"/>
  <c r="HY22" i="2" s="1"/>
  <c r="HZ22" i="2" s="1"/>
  <c r="IA22" i="2" s="1"/>
  <c r="IB22" i="2" s="1"/>
  <c r="AN28" i="2" s="1"/>
  <c r="AN30" i="2" s="1"/>
  <c r="AN32" i="2" s="1"/>
  <c r="AN34" i="2" s="1"/>
  <c r="AL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tc={8FE9F761-C761-1A4C-83AE-DC11F65355CC}</author>
  </authors>
  <commentList>
    <comment ref="O8" authorId="0" shapeId="0" xr:uid="{8FE9F761-C761-1A4C-83AE-DC11F65355CC}">
      <text>
        <t>[Threaded comment]
Your version of Excel allows you to read this threaded comment; however, any edits to it will get removed if the file is opened in a newer version of Excel. Learn more: https://go.microsoft.com/fwlink/?linkid=870924
Comment:
    $21.1M due to 41 net new units.  $6.4M was result of SSS growth of 5% due to menu price increases that were implemented after Q123</t>
      </text>
    </comment>
  </commentList>
</comments>
</file>

<file path=xl/sharedStrings.xml><?xml version="1.0" encoding="utf-8"?>
<sst xmlns="http://schemas.openxmlformats.org/spreadsheetml/2006/main" count="235" uniqueCount="205">
  <si>
    <t>P</t>
  </si>
  <si>
    <t>S</t>
  </si>
  <si>
    <t>MC</t>
  </si>
  <si>
    <t>C</t>
  </si>
  <si>
    <t>D</t>
  </si>
  <si>
    <t>EV</t>
  </si>
  <si>
    <t>Q123</t>
  </si>
  <si>
    <t>Q223</t>
  </si>
  <si>
    <t>Q323</t>
  </si>
  <si>
    <t>Q423</t>
  </si>
  <si>
    <t>Q122</t>
  </si>
  <si>
    <t>Q222</t>
  </si>
  <si>
    <t>Q322</t>
  </si>
  <si>
    <t>Q422</t>
  </si>
  <si>
    <t>Revenue</t>
  </si>
  <si>
    <t>Food, Bev, Packaging</t>
  </si>
  <si>
    <t>Labor</t>
  </si>
  <si>
    <t>Occupancy</t>
  </si>
  <si>
    <t>Other</t>
  </si>
  <si>
    <t>G&amp;A</t>
  </si>
  <si>
    <t>D&amp;A</t>
  </si>
  <si>
    <t>Pre-opening</t>
  </si>
  <si>
    <t>Op Income</t>
  </si>
  <si>
    <t>Interest income</t>
  </si>
  <si>
    <t>Interest expense</t>
  </si>
  <si>
    <t>EBT</t>
  </si>
  <si>
    <t>Taxes</t>
  </si>
  <si>
    <t>Net Income</t>
  </si>
  <si>
    <t>Diluted</t>
  </si>
  <si>
    <t>Eps</t>
  </si>
  <si>
    <t xml:space="preserve">Revenue </t>
  </si>
  <si>
    <t>Q121</t>
  </si>
  <si>
    <t>Q221</t>
  </si>
  <si>
    <t>Q321</t>
  </si>
  <si>
    <t>Q421</t>
  </si>
  <si>
    <t xml:space="preserve">Net Units </t>
  </si>
  <si>
    <t>RPU</t>
  </si>
  <si>
    <t xml:space="preserve">Growth Analysis </t>
  </si>
  <si>
    <t xml:space="preserve">Cash </t>
  </si>
  <si>
    <t>A/R</t>
  </si>
  <si>
    <t>Inventory</t>
  </si>
  <si>
    <t>Prepaid Expenses</t>
  </si>
  <si>
    <t>Current lease</t>
  </si>
  <si>
    <t>OCA</t>
  </si>
  <si>
    <t>Op lease</t>
  </si>
  <si>
    <t>PPE</t>
  </si>
  <si>
    <t>Goodwill</t>
  </si>
  <si>
    <t>Intangibles</t>
  </si>
  <si>
    <t>Lease acq</t>
  </si>
  <si>
    <t>Security deposits</t>
  </si>
  <si>
    <t>OA</t>
  </si>
  <si>
    <t>Restricted cash</t>
  </si>
  <si>
    <t xml:space="preserve">Total Assets </t>
  </si>
  <si>
    <t>Total Liabilities + E</t>
  </si>
  <si>
    <t>Current op lease</t>
  </si>
  <si>
    <t>A/P</t>
  </si>
  <si>
    <t>Accrued Exp</t>
  </si>
  <si>
    <t>Accrued payroll</t>
  </si>
  <si>
    <t>Gifts cards</t>
  </si>
  <si>
    <t>Contingent cons</t>
  </si>
  <si>
    <t>ONCL</t>
  </si>
  <si>
    <t>Deferred i/t</t>
  </si>
  <si>
    <t>Equity</t>
  </si>
  <si>
    <t>Q124</t>
  </si>
  <si>
    <t>$K</t>
  </si>
  <si>
    <t>SSS</t>
  </si>
  <si>
    <t xml:space="preserve">Net Income </t>
  </si>
  <si>
    <t>NPV</t>
  </si>
  <si>
    <t>Shares</t>
  </si>
  <si>
    <t>Current</t>
  </si>
  <si>
    <t>Term</t>
  </si>
  <si>
    <t>Disc</t>
  </si>
  <si>
    <t>NC</t>
  </si>
  <si>
    <t xml:space="preserve">Estimate </t>
  </si>
  <si>
    <t>Total Value</t>
  </si>
  <si>
    <t>Upside</t>
  </si>
  <si>
    <t>CEO</t>
  </si>
  <si>
    <t xml:space="preserve">Jonathan Newman </t>
  </si>
  <si>
    <t>Brand Officer</t>
  </si>
  <si>
    <t>Nicolas Jammet</t>
  </si>
  <si>
    <t>Concept Officer</t>
  </si>
  <si>
    <t>COO</t>
  </si>
  <si>
    <t>CFO</t>
  </si>
  <si>
    <t>CTO</t>
  </si>
  <si>
    <t>CPO</t>
  </si>
  <si>
    <t>Rossan Williams</t>
  </si>
  <si>
    <t>Wouleta Ayele</t>
  </si>
  <si>
    <t>Mitch Reback</t>
  </si>
  <si>
    <t>Adrienne Gemperle</t>
  </si>
  <si>
    <t>Nathaniel Ru</t>
  </si>
  <si>
    <t>Holders</t>
  </si>
  <si>
    <t>Baillie Gifford &amp; Co</t>
  </si>
  <si>
    <t>Vanguard Group</t>
  </si>
  <si>
    <t xml:space="preserve">BlackRock </t>
  </si>
  <si>
    <t>Invesco</t>
  </si>
  <si>
    <t>Spyglass Capital Management</t>
  </si>
  <si>
    <t>Radcliff Management</t>
  </si>
  <si>
    <t>State Street</t>
  </si>
  <si>
    <t xml:space="preserve">Geode Caital </t>
  </si>
  <si>
    <t>Contains</t>
  </si>
  <si>
    <t>Caramelized Garlic Steak offering</t>
  </si>
  <si>
    <t>modeled to mimic CMG --- this is best case scenario modeling</t>
  </si>
  <si>
    <t xml:space="preserve">CMG Ratios </t>
  </si>
  <si>
    <t>Q124 E</t>
  </si>
  <si>
    <t>Tests Carmelized steak in select locations</t>
  </si>
  <si>
    <t>Rossan Williams appointed to COO</t>
  </si>
  <si>
    <t>Debut in Seattle  |  The Village at Totem Lake in Kirkland</t>
  </si>
  <si>
    <t>Q3'23 E</t>
  </si>
  <si>
    <t xml:space="preserve">Menu innovation, miso salmon </t>
  </si>
  <si>
    <t xml:space="preserve">1st restaurant to announce it will cook proteins, veggies, and grains exclusively in extra virgin olive oil </t>
  </si>
  <si>
    <t>Loyalty program</t>
  </si>
  <si>
    <t>Partnershop with musician Renee Rapp</t>
  </si>
  <si>
    <t>Chad Brauze</t>
  </si>
  <si>
    <t>Head of Culinary</t>
  </si>
  <si>
    <t>Head of Marketing</t>
  </si>
  <si>
    <t>Michael Kotick</t>
  </si>
  <si>
    <t xml:space="preserve">ex Chipotle </t>
  </si>
  <si>
    <t>Menu innovation | Italian chopped salad</t>
  </si>
  <si>
    <t>Wisconsin restaurant</t>
  </si>
  <si>
    <t>San Antonio Unit</t>
  </si>
  <si>
    <t>Infinite Kitchen ---&gt; debuting new tech in Naperville, IL store</t>
  </si>
  <si>
    <t xml:space="preserve">Expanded into Rhode Island </t>
  </si>
  <si>
    <t xml:space="preserve">Menu innovation | Chipotle Chicken Burrito bowl </t>
  </si>
  <si>
    <t>Expanding into Tampa, FL</t>
  </si>
  <si>
    <t>Opening of advanced pickup window --&gt; Sweetlane</t>
  </si>
  <si>
    <t xml:space="preserve">Dessert category, 1st offering --&gt; Rice Krispy </t>
  </si>
  <si>
    <t>1st ever sweetlane concept | Schaumburg, IL</t>
  </si>
  <si>
    <t>Spyce acquisition</t>
  </si>
  <si>
    <t>IPO Price</t>
  </si>
  <si>
    <t>Press Releases</t>
  </si>
  <si>
    <t>Menu Offerings</t>
  </si>
  <si>
    <t xml:space="preserve">Caramelized Garlic Steak </t>
  </si>
  <si>
    <t>Steakhouse Chopped</t>
  </si>
  <si>
    <t>Kale Caesar</t>
  </si>
  <si>
    <t>Miso Glazed Salmon</t>
  </si>
  <si>
    <t xml:space="preserve">Hot Honey Chicken </t>
  </si>
  <si>
    <t xml:space="preserve">Harvest Bowl </t>
  </si>
  <si>
    <t xml:space="preserve">Crispy Rice Bowl </t>
  </si>
  <si>
    <t>Chicken Pesto Parm</t>
  </si>
  <si>
    <t>Chickem Avocado Ranch</t>
  </si>
  <si>
    <t>Shroomami</t>
  </si>
  <si>
    <t xml:space="preserve">Fish Taco </t>
  </si>
  <si>
    <t>Guacamole Greens</t>
  </si>
  <si>
    <t>BBQ Chicken Salad</t>
  </si>
  <si>
    <t>Hummus Crunch</t>
  </si>
  <si>
    <t>Buffalo Chciken</t>
  </si>
  <si>
    <t>Super Greens Goodness</t>
  </si>
  <si>
    <t>Garden Cobb</t>
  </si>
  <si>
    <t>Ranchy Chickemn + Rice</t>
  </si>
  <si>
    <t xml:space="preserve">Kids Menu </t>
  </si>
  <si>
    <t>Little harvest</t>
  </si>
  <si>
    <t>Mini Mezze</t>
  </si>
  <si>
    <t>Sides</t>
  </si>
  <si>
    <t>Focaccia</t>
  </si>
  <si>
    <t>Focaccia + Hummus</t>
  </si>
  <si>
    <t>Roasted Sweet Potatoes</t>
  </si>
  <si>
    <t>Price</t>
  </si>
  <si>
    <t>Founded</t>
  </si>
  <si>
    <t>HQ</t>
  </si>
  <si>
    <t>LA</t>
  </si>
  <si>
    <t>Amortization on lease</t>
  </si>
  <si>
    <t>Amortization on loan origination</t>
  </si>
  <si>
    <t>Amortization Cloud Computing Arrangements</t>
  </si>
  <si>
    <t>NC Op lease costs</t>
  </si>
  <si>
    <t>Loss on fixed asset disposal</t>
  </si>
  <si>
    <t>SBC</t>
  </si>
  <si>
    <t>NC impairment/closure costs</t>
  </si>
  <si>
    <t>Deferred income tax expense</t>
  </si>
  <si>
    <t xml:space="preserve">Change in FV contingent Cons </t>
  </si>
  <si>
    <t>Op Lease</t>
  </si>
  <si>
    <t>Accrued payroll &amp; Ben</t>
  </si>
  <si>
    <t>Gift card loyalty</t>
  </si>
  <si>
    <t>CFFO</t>
  </si>
  <si>
    <t>NC Restructuring costs</t>
  </si>
  <si>
    <t>Capex</t>
  </si>
  <si>
    <t>Intangible Assets</t>
  </si>
  <si>
    <t>Security &amp; Landlord Deposits</t>
  </si>
  <si>
    <t>CFFI</t>
  </si>
  <si>
    <t>Stock option proceeds</t>
  </si>
  <si>
    <t>Payment of contingent con</t>
  </si>
  <si>
    <t>Tax shares repurchased</t>
  </si>
  <si>
    <t>CFFF</t>
  </si>
  <si>
    <t>Cash Increase</t>
  </si>
  <si>
    <t>Beg Cash</t>
  </si>
  <si>
    <t>Ending Cash</t>
  </si>
  <si>
    <t>Locations</t>
  </si>
  <si>
    <t>Filings</t>
  </si>
  <si>
    <t>Q224 E</t>
  </si>
  <si>
    <t>Average Unit Volume (AUV)</t>
  </si>
  <si>
    <t>Q224</t>
  </si>
  <si>
    <t xml:space="preserve">Webcast </t>
  </si>
  <si>
    <t>IR Site</t>
  </si>
  <si>
    <t xml:space="preserve">Vocabulary </t>
  </si>
  <si>
    <t xml:space="preserve">Average Unit Volume </t>
  </si>
  <si>
    <t>Comparable Restaurant Base</t>
  </si>
  <si>
    <t>Net New Restaurant Openings</t>
  </si>
  <si>
    <t>AUV is defined as the average trailing revenue for the prior four fiscal quarters for all restaurants in the Comparable Restaurant Base. </t>
  </si>
  <si>
    <t>all restaurants that have operated for at least twelve full months as of the end of such measurement period</t>
  </si>
  <si>
    <t> Same-Store Sales Change reflects the percentage change in year-over-year revenue for the relevant fiscal period for all restaurants that have operated for at least 13 full fiscal months as of the end of such fiscal period excluding the 14th week in any 14-week period and the 53rd week in any 53-week period, as applicable; provided,</t>
  </si>
  <si>
    <t xml:space="preserve">Restaurant level Profit </t>
  </si>
  <si>
    <t>Restaurant level Profit Margin</t>
  </si>
  <si>
    <t>Tenant improvement recievable</t>
  </si>
  <si>
    <t>Deferred rent liab</t>
  </si>
  <si>
    <t>Accrued payrol, net of cur</t>
  </si>
  <si>
    <t>Deferred rent 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</si>
</sst>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00"/>
    <numFmt numFmtId="166" formatCode="mmm\-yyyy"/>
    <numFmt numFmtId="167" formatCode="0\x"/>
  </numFmts>
  <fonts count="6">
    <font>
      <sz val="10"/>
      <color theme="1"/>
      <name val="ArialMT"/>
      <family val="2"/>
    </font>
    <font>
      <b/>
      <sz val="10"/>
      <color theme="1"/>
      <name val="ArialMT"/>
    </font>
    <font>
      <b/>
      <u/>
      <sz val="10"/>
      <color theme="1"/>
      <name val="ArialMT"/>
    </font>
    <font>
      <sz val="10"/>
      <color theme="1"/>
      <name val="ArialMT"/>
    </font>
    <font>
      <u/>
      <sz val="10"/>
      <color theme="10"/>
      <name val="ArialMT"/>
      <family val="2"/>
    </font>
    <font>
      <i/>
      <sz val="10"/>
      <color theme="1"/>
      <name val="ArialMT"/>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3" fontId="0" fillId="0" borderId="0" xfId="0" applyNumberFormat="1"/>
    <xf numFmtId="1" fontId="0" fillId="0" borderId="0" xfId="0" applyNumberFormat="1"/>
    <xf numFmtId="9" fontId="0" fillId="0" borderId="0" xfId="0" applyNumberFormat="1"/>
    <xf numFmtId="3" fontId="1" fillId="0" borderId="0" xfId="0" applyNumberFormat="1" applyFont="1"/>
    <xf numFmtId="3" fontId="2" fillId="0" borderId="0" xfId="0" applyNumberFormat="1" applyFont="1"/>
    <xf numFmtId="3" fontId="3" fillId="0" borderId="0" xfId="0" applyNumberFormat="1" applyFont="1"/>
    <xf numFmtId="2" fontId="0" fillId="0" borderId="0" xfId="0" applyNumberFormat="1"/>
    <xf numFmtId="3" fontId="4" fillId="0" borderId="0" xfId="1" applyNumberFormat="1"/>
    <xf numFmtId="3" fontId="0" fillId="0" borderId="1" xfId="0" applyNumberFormat="1" applyBorder="1"/>
    <xf numFmtId="9" fontId="0" fillId="0" borderId="2" xfId="0" applyNumberFormat="1" applyBorder="1"/>
    <xf numFmtId="9" fontId="0" fillId="0" borderId="3" xfId="0" applyNumberFormat="1" applyBorder="1"/>
    <xf numFmtId="9" fontId="0" fillId="0" borderId="4" xfId="0" applyNumberFormat="1" applyBorder="1"/>
    <xf numFmtId="3" fontId="0" fillId="0" borderId="3" xfId="0" applyNumberFormat="1" applyBorder="1"/>
    <xf numFmtId="3" fontId="0" fillId="0" borderId="4" xfId="0" applyNumberFormat="1" applyBorder="1"/>
    <xf numFmtId="9" fontId="1" fillId="0" borderId="0" xfId="0" applyNumberFormat="1" applyFont="1"/>
    <xf numFmtId="14" fontId="0" fillId="0" borderId="0" xfId="0" applyNumberFormat="1"/>
    <xf numFmtId="14" fontId="2" fillId="0" borderId="0" xfId="0" applyNumberFormat="1" applyFont="1"/>
    <xf numFmtId="14" fontId="4" fillId="0" borderId="0" xfId="1" applyNumberFormat="1"/>
    <xf numFmtId="3" fontId="0" fillId="0" borderId="7" xfId="0" applyNumberFormat="1" applyBorder="1"/>
    <xf numFmtId="3" fontId="0" fillId="0" borderId="2" xfId="0" applyNumberFormat="1" applyBorder="1"/>
    <xf numFmtId="3" fontId="0" fillId="0" borderId="5" xfId="0" applyNumberFormat="1" applyBorder="1"/>
    <xf numFmtId="9" fontId="0" fillId="0" borderId="8" xfId="0" applyNumberFormat="1" applyBorder="1"/>
    <xf numFmtId="3" fontId="0" fillId="0" borderId="8" xfId="0" applyNumberFormat="1" applyBorder="1"/>
    <xf numFmtId="9" fontId="0" fillId="0" borderId="6" xfId="0" applyNumberFormat="1" applyBorder="1"/>
    <xf numFmtId="164" fontId="0" fillId="0" borderId="4" xfId="0" applyNumberFormat="1" applyBorder="1"/>
    <xf numFmtId="3" fontId="1" fillId="0" borderId="4" xfId="0" applyNumberFormat="1" applyFont="1" applyBorder="1"/>
    <xf numFmtId="3" fontId="1" fillId="0" borderId="3" xfId="0" applyNumberFormat="1" applyFont="1" applyBorder="1"/>
    <xf numFmtId="4" fontId="0" fillId="0" borderId="7" xfId="0" applyNumberFormat="1" applyBorder="1"/>
    <xf numFmtId="4" fontId="0" fillId="0" borderId="0" xfId="0" applyNumberFormat="1"/>
    <xf numFmtId="3" fontId="0" fillId="0" borderId="6" xfId="0" applyNumberFormat="1" applyBorder="1"/>
    <xf numFmtId="3" fontId="1" fillId="0" borderId="1" xfId="0" applyNumberFormat="1" applyFont="1" applyBorder="1"/>
    <xf numFmtId="14" fontId="0" fillId="0" borderId="7" xfId="0" applyNumberFormat="1" applyBorder="1"/>
    <xf numFmtId="14" fontId="0" fillId="0" borderId="8" xfId="0" applyNumberFormat="1" applyBorder="1"/>
    <xf numFmtId="3" fontId="2" fillId="0" borderId="9" xfId="0" applyNumberFormat="1" applyFont="1" applyBorder="1"/>
    <xf numFmtId="3" fontId="0" fillId="0" borderId="10" xfId="0" applyNumberFormat="1" applyBorder="1"/>
    <xf numFmtId="3" fontId="0" fillId="0" borderId="11" xfId="0" applyNumberFormat="1" applyBorder="1"/>
    <xf numFmtId="165" fontId="0" fillId="0" borderId="0" xfId="0" applyNumberFormat="1"/>
    <xf numFmtId="3" fontId="2" fillId="0" borderId="0" xfId="0" applyNumberFormat="1" applyFont="1" applyAlignment="1">
      <alignment horizontal="left"/>
    </xf>
    <xf numFmtId="166" fontId="0" fillId="0" borderId="0" xfId="0" applyNumberFormat="1"/>
    <xf numFmtId="3" fontId="0" fillId="2" borderId="0" xfId="0" applyNumberFormat="1" applyFill="1"/>
    <xf numFmtId="167" fontId="0" fillId="0" borderId="0" xfId="0" applyNumberFormat="1"/>
    <xf numFmtId="3" fontId="5" fillId="0" borderId="0" xfId="0" applyNumberFormat="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576331</xdr:colOff>
      <xdr:row>0</xdr:row>
      <xdr:rowOff>34018</xdr:rowOff>
    </xdr:from>
    <xdr:to>
      <xdr:col>16</xdr:col>
      <xdr:colOff>5423</xdr:colOff>
      <xdr:row>131</xdr:row>
      <xdr:rowOff>109942</xdr:rowOff>
    </xdr:to>
    <xdr:cxnSp macro="">
      <xdr:nvCxnSpPr>
        <xdr:cNvPr id="3" name="Straight Connector 2">
          <a:extLst>
            <a:ext uri="{FF2B5EF4-FFF2-40B4-BE49-F238E27FC236}">
              <a16:creationId xmlns:a16="http://schemas.microsoft.com/office/drawing/2014/main" id="{898AA234-8E6E-F3C1-484A-8E24248D659C}"/>
            </a:ext>
          </a:extLst>
        </xdr:cNvPr>
        <xdr:cNvCxnSpPr/>
      </xdr:nvCxnSpPr>
      <xdr:spPr>
        <a:xfrm flipH="1">
          <a:off x="11087849" y="34018"/>
          <a:ext cx="18735" cy="2082681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7888</xdr:colOff>
      <xdr:row>0</xdr:row>
      <xdr:rowOff>55217</xdr:rowOff>
    </xdr:from>
    <xdr:to>
      <xdr:col>26</xdr:col>
      <xdr:colOff>10584</xdr:colOff>
      <xdr:row>88</xdr:row>
      <xdr:rowOff>105833</xdr:rowOff>
    </xdr:to>
    <xdr:cxnSp macro="">
      <xdr:nvCxnSpPr>
        <xdr:cNvPr id="6" name="Straight Connector 5">
          <a:extLst>
            <a:ext uri="{FF2B5EF4-FFF2-40B4-BE49-F238E27FC236}">
              <a16:creationId xmlns:a16="http://schemas.microsoft.com/office/drawing/2014/main" id="{FC1CC895-D7BA-B125-A04F-6EB026B3FC12}"/>
            </a:ext>
          </a:extLst>
        </xdr:cNvPr>
        <xdr:cNvCxnSpPr/>
      </xdr:nvCxnSpPr>
      <xdr:spPr>
        <a:xfrm>
          <a:off x="15067971" y="55217"/>
          <a:ext cx="2696" cy="1325861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jameel" id="{7A75945A-8092-064D-869A-4F8D3CA29583}" userId="jame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O8" dT="2024-05-30T01:54:13.29" personId="{7A75945A-8092-064D-869A-4F8D3CA29583}" id="{8FE9F761-C761-1A4C-83AE-DC11F65355CC}">
    <text>$21.1M due to 41 net new units.  $6.4M was result of SSS growth of 5% due to menu price increases that were implemented after Q123</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investor.sweetgreen.com/press/news-details/2023/Sweetgreen-Expands-Loyalty-Program-and-Unlocks-More-Rewards-for-Fans-Nationwide/default.aspx" TargetMode="External"/><Relationship Id="rId13" Type="http://schemas.openxmlformats.org/officeDocument/2006/relationships/hyperlink" Target="https://investor.sweetgreen.com/press/news-details/2023/sweetgreen-Pilots-Automation-at-New-Store/default.aspx" TargetMode="External"/><Relationship Id="rId18" Type="http://schemas.openxmlformats.org/officeDocument/2006/relationships/hyperlink" Target="https://investor.sweetgreen.com/press/news-details/2022/sweetgreen-Launches-Desserts/default.aspx" TargetMode="External"/><Relationship Id="rId26" Type="http://schemas.openxmlformats.org/officeDocument/2006/relationships/hyperlink" Target="http://investor.sweetgreen.com/overview/default.aspx" TargetMode="External"/><Relationship Id="rId3" Type="http://schemas.openxmlformats.org/officeDocument/2006/relationships/hyperlink" Target="https://investor.sweetgreen.com/press/news-details/2024/Sweetgreen-Tests-New-Caramelized-Garlic-Steak-in-Select-Locations/default.aspx" TargetMode="External"/><Relationship Id="rId21" Type="http://schemas.openxmlformats.org/officeDocument/2006/relationships/hyperlink" Target="https://investor.sweetgreen.com/press/news-details/2024/Sweetgreen-Makes-Its-Pacific-Northwest-Debut-in-Seattle/default.aspx" TargetMode="External"/><Relationship Id="rId7" Type="http://schemas.openxmlformats.org/officeDocument/2006/relationships/hyperlink" Target="https://investor.sweetgreen.com/press/news-details/2023/Sweetgreen-Becomes-the-First-National-Fast-Casual-Restaurant-Chain-to-Announce-It-Will-Cook-Proteins-Veggies-and-Grains-Exclusively-in-Extra-Virgin-Olive-Oil/default.aspx" TargetMode="External"/><Relationship Id="rId12" Type="http://schemas.openxmlformats.org/officeDocument/2006/relationships/hyperlink" Target="https://investor.sweetgreen.com/press/" TargetMode="External"/><Relationship Id="rId17" Type="http://schemas.openxmlformats.org/officeDocument/2006/relationships/hyperlink" Target="https://investor.sweetgreen.com/press/news-details/2022/sweetgreen-Opens-First-Order-Ahead-Drive-up-Format-sweetlane/default.aspx" TargetMode="External"/><Relationship Id="rId25" Type="http://schemas.openxmlformats.org/officeDocument/2006/relationships/hyperlink" Target="https://events.q4inc.com/attendee/203792588" TargetMode="External"/><Relationship Id="rId2" Type="http://schemas.openxmlformats.org/officeDocument/2006/relationships/hyperlink" Target="https://investor.sweetgreen.com/press/news-details/2024/Sweetgreen-Inc.-Announces-First-Quarter-2024-Financial-Results/default.aspx" TargetMode="External"/><Relationship Id="rId16" Type="http://schemas.openxmlformats.org/officeDocument/2006/relationships/hyperlink" Target="https://investor.sweetgreen.com/press/news-details/2022/sweetgreen-Expands-to-Floridas-Sun-Coast-This-December/default.aspx" TargetMode="External"/><Relationship Id="rId20" Type="http://schemas.openxmlformats.org/officeDocument/2006/relationships/hyperlink" Target="https://investor.sweetgreen.com/press/news-details/2021/sweetgreen-to-Acquire-Boston-based-Spyce-to-Scale-the-Future-of-Healthy-Fast-Food/default.aspx" TargetMode="External"/><Relationship Id="rId1" Type="http://schemas.openxmlformats.org/officeDocument/2006/relationships/hyperlink" Target="https://investor.sweetgreen.com/press/news-details/2024/Sweetgreen-Launches-Caramelized-Garlic-Steak-Nationwide-Expanding-Its-Protein-Offerings/default.aspx" TargetMode="External"/><Relationship Id="rId6" Type="http://schemas.openxmlformats.org/officeDocument/2006/relationships/hyperlink" Target="https://investor.sweetgreen.com/press/news-details/2023/Sweetgreen-Takes-on-Dinner-With-Bold-Flavors-Featuring-Miso-Glazed-Salmon-and-Herb-Roasted-Chicken/default.aspx" TargetMode="External"/><Relationship Id="rId11" Type="http://schemas.openxmlformats.org/officeDocument/2006/relationships/hyperlink" Target="https://investor.sweetgreen.com/press/news-details/2023/Sweetgreen-Expands-Its-Midwest-Presence-Into-Wisconsin/default.aspx" TargetMode="External"/><Relationship Id="rId24" Type="http://schemas.openxmlformats.org/officeDocument/2006/relationships/hyperlink" Target="https://events.q4inc.com/attendee/164143035" TargetMode="External"/><Relationship Id="rId5" Type="http://schemas.openxmlformats.org/officeDocument/2006/relationships/hyperlink" Target="https://investor.sweetgreen.com/press/news-details/2023/Sweetgreen-Inc.-Announces-Third-Quarter-2023-Financial-Results/default.aspx" TargetMode="External"/><Relationship Id="rId15" Type="http://schemas.openxmlformats.org/officeDocument/2006/relationships/hyperlink" Target="https://investor.sweetgreen.com/press/news-details/2023/sweetgreen-Adds-Chipotle-Chicken-Burrito-Bowl-to-Its-Menu/default.aspx" TargetMode="External"/><Relationship Id="rId23" Type="http://schemas.openxmlformats.org/officeDocument/2006/relationships/hyperlink" Target="https://investor.sweetgreen.com/press/news-details/2024/Sweetgreen-Inc.-Announces-Second-Quarter-2024-Financial-Results/default.aspx" TargetMode="External"/><Relationship Id="rId10" Type="http://schemas.openxmlformats.org/officeDocument/2006/relationships/hyperlink" Target="https://investor.sweetgreen.com/press/news-details/2023/Sweetgreen-Launches-Italian-Chopped-Salad-With-Fresh-Flavors-Inspired-by-Mediterranean-Coast/default.aspx" TargetMode="External"/><Relationship Id="rId19" Type="http://schemas.openxmlformats.org/officeDocument/2006/relationships/hyperlink" Target="https://investor.sweetgreen.com/press/news-details/2022/Sweetgreen-to-Open-Its-First-Ever-sweetlane-Restaurant-Concept/default.aspx" TargetMode="External"/><Relationship Id="rId4" Type="http://schemas.openxmlformats.org/officeDocument/2006/relationships/hyperlink" Target="https://investor.sweetgreen.com/press/news-details/2024/Sweetgreen-Appoints-Rossann-Williams-as-Chief-Operating-Officer/default.aspx" TargetMode="External"/><Relationship Id="rId9" Type="http://schemas.openxmlformats.org/officeDocument/2006/relationships/hyperlink" Target="https://investor.sweetgreen.com/press/news-details/2023/Sweetgreen-Announces-Partnership-With-Musician-and-Actress-Rene-Rapp/default.aspx" TargetMode="External"/><Relationship Id="rId14" Type="http://schemas.openxmlformats.org/officeDocument/2006/relationships/hyperlink" Target="https://investor.sweetgreen.com/press/news-details/2023/sweetgreen-Expands-Its-Fleet-Into-Rhode-Island/default.aspx" TargetMode="External"/><Relationship Id="rId22" Type="http://schemas.openxmlformats.org/officeDocument/2006/relationships/hyperlink" Target="https://www.sec.gov/edgar/browse/?CIK=1477815&amp;owner=exclud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A9DB-4F78-8E45-9F2C-D2EFF3688216}">
  <dimension ref="B1:S49"/>
  <sheetViews>
    <sheetView zoomScale="125" zoomScaleNormal="100" workbookViewId="0">
      <selection activeCell="K7" sqref="K7"/>
    </sheetView>
  </sheetViews>
  <sheetFormatPr baseColWidth="10" defaultRowHeight="13"/>
  <cols>
    <col min="1" max="1" width="2" style="1" customWidth="1"/>
    <col min="2" max="2" width="25" style="1" bestFit="1" customWidth="1"/>
    <col min="3" max="3" width="16.33203125" style="16" bestFit="1" customWidth="1"/>
    <col min="4" max="4" width="14.1640625" style="1" bestFit="1" customWidth="1"/>
    <col min="5" max="9" width="10.83203125" style="1"/>
    <col min="10" max="10" width="8.5" style="1" bestFit="1" customWidth="1"/>
    <col min="11" max="11" width="7.6640625" style="1" bestFit="1" customWidth="1"/>
    <col min="12" max="12" width="5.5" style="1" bestFit="1" customWidth="1"/>
    <col min="13" max="13" width="10.83203125" style="1"/>
    <col min="14" max="14" width="21.1640625" style="1" bestFit="1" customWidth="1"/>
    <col min="15" max="16384" width="10.83203125" style="1"/>
  </cols>
  <sheetData>
    <row r="1" spans="2:12">
      <c r="B1" s="1" t="s">
        <v>158</v>
      </c>
      <c r="C1" s="16" t="s">
        <v>159</v>
      </c>
      <c r="E1" s="8" t="s">
        <v>186</v>
      </c>
    </row>
    <row r="2" spans="2:12">
      <c r="B2" s="1" t="s">
        <v>157</v>
      </c>
      <c r="C2" s="39">
        <v>39022</v>
      </c>
      <c r="E2" s="8" t="s">
        <v>191</v>
      </c>
    </row>
    <row r="4" spans="2:12">
      <c r="B4" s="31" t="s">
        <v>76</v>
      </c>
      <c r="C4" s="32" t="s">
        <v>77</v>
      </c>
      <c r="D4" s="20"/>
    </row>
    <row r="5" spans="2:12">
      <c r="B5" s="13" t="s">
        <v>78</v>
      </c>
      <c r="C5" s="16" t="s">
        <v>89</v>
      </c>
      <c r="D5" s="14"/>
      <c r="J5" s="9" t="s">
        <v>128</v>
      </c>
      <c r="K5" s="28">
        <v>33</v>
      </c>
      <c r="L5" s="20"/>
    </row>
    <row r="6" spans="2:12">
      <c r="B6" s="13" t="s">
        <v>80</v>
      </c>
      <c r="C6" s="16" t="s">
        <v>79</v>
      </c>
      <c r="D6" s="14"/>
      <c r="J6" s="13" t="s">
        <v>0</v>
      </c>
      <c r="K6" s="29">
        <v>34</v>
      </c>
      <c r="L6" s="14"/>
    </row>
    <row r="7" spans="2:12">
      <c r="B7" s="13" t="s">
        <v>81</v>
      </c>
      <c r="C7" s="16" t="s">
        <v>85</v>
      </c>
      <c r="D7" s="14"/>
      <c r="J7" s="13" t="s">
        <v>1</v>
      </c>
      <c r="K7" s="1">
        <f>100.440089+12.871027</f>
        <v>113.311116</v>
      </c>
      <c r="L7" s="14" t="s">
        <v>63</v>
      </c>
    </row>
    <row r="8" spans="2:12">
      <c r="B8" s="13" t="s">
        <v>82</v>
      </c>
      <c r="C8" s="16" t="s">
        <v>87</v>
      </c>
      <c r="D8" s="14"/>
      <c r="J8" s="13" t="s">
        <v>2</v>
      </c>
      <c r="K8" s="1">
        <f>+K6*K7</f>
        <v>3852.5779440000001</v>
      </c>
      <c r="L8" s="14"/>
    </row>
    <row r="9" spans="2:12">
      <c r="B9" s="13" t="s">
        <v>83</v>
      </c>
      <c r="C9" s="16" t="s">
        <v>86</v>
      </c>
      <c r="D9" s="14"/>
      <c r="J9" s="13" t="s">
        <v>3</v>
      </c>
      <c r="K9" s="1">
        <v>243.756</v>
      </c>
      <c r="L9" s="14" t="str">
        <f>+L7</f>
        <v>Q124</v>
      </c>
    </row>
    <row r="10" spans="2:12">
      <c r="B10" s="13" t="s">
        <v>84</v>
      </c>
      <c r="C10" s="16" t="s">
        <v>88</v>
      </c>
      <c r="D10" s="14"/>
      <c r="J10" s="13" t="s">
        <v>4</v>
      </c>
      <c r="K10" s="1">
        <v>0</v>
      </c>
      <c r="L10" s="14" t="str">
        <f>+L9</f>
        <v>Q124</v>
      </c>
    </row>
    <row r="11" spans="2:12">
      <c r="B11" s="13" t="s">
        <v>113</v>
      </c>
      <c r="C11" s="16" t="s">
        <v>112</v>
      </c>
      <c r="D11" s="14" t="s">
        <v>116</v>
      </c>
      <c r="J11" s="21" t="s">
        <v>5</v>
      </c>
      <c r="K11" s="23">
        <f>+K8-K9+K10</f>
        <v>3608.8219440000003</v>
      </c>
      <c r="L11" s="30"/>
    </row>
    <row r="12" spans="2:12">
      <c r="B12" s="21" t="s">
        <v>114</v>
      </c>
      <c r="C12" s="33" t="s">
        <v>115</v>
      </c>
      <c r="D12" s="30"/>
    </row>
    <row r="15" spans="2:12">
      <c r="B15" s="34" t="s">
        <v>90</v>
      </c>
      <c r="D15" s="5" t="s">
        <v>192</v>
      </c>
    </row>
    <row r="16" spans="2:12">
      <c r="B16" s="35" t="s">
        <v>91</v>
      </c>
      <c r="D16" s="1" t="s">
        <v>193</v>
      </c>
      <c r="E16" s="1" t="s">
        <v>196</v>
      </c>
    </row>
    <row r="17" spans="2:19">
      <c r="B17" s="35" t="s">
        <v>92</v>
      </c>
      <c r="D17" s="1" t="s">
        <v>194</v>
      </c>
      <c r="E17" s="1" t="s">
        <v>197</v>
      </c>
    </row>
    <row r="18" spans="2:19">
      <c r="B18" s="35" t="s">
        <v>93</v>
      </c>
      <c r="D18" s="1" t="s">
        <v>195</v>
      </c>
      <c r="E18" s="1" t="s">
        <v>198</v>
      </c>
    </row>
    <row r="19" spans="2:19">
      <c r="B19" s="35" t="s">
        <v>94</v>
      </c>
    </row>
    <row r="20" spans="2:19">
      <c r="B20" s="35" t="s">
        <v>95</v>
      </c>
    </row>
    <row r="21" spans="2:19">
      <c r="B21" s="35" t="s">
        <v>96</v>
      </c>
    </row>
    <row r="22" spans="2:19">
      <c r="B22" s="35" t="s">
        <v>97</v>
      </c>
    </row>
    <row r="23" spans="2:19">
      <c r="B23" s="35" t="s">
        <v>98</v>
      </c>
    </row>
    <row r="24" spans="2:19">
      <c r="B24" s="35"/>
      <c r="D24" s="17" t="s">
        <v>129</v>
      </c>
      <c r="E24" s="5" t="s">
        <v>99</v>
      </c>
      <c r="N24" s="5" t="s">
        <v>130</v>
      </c>
      <c r="O24" s="38" t="s">
        <v>156</v>
      </c>
      <c r="S24" s="5" t="s">
        <v>185</v>
      </c>
    </row>
    <row r="25" spans="2:19">
      <c r="B25" s="36"/>
      <c r="D25" s="18">
        <v>45512</v>
      </c>
      <c r="E25" s="1" t="s">
        <v>187</v>
      </c>
      <c r="N25" s="1" t="s">
        <v>131</v>
      </c>
      <c r="O25" s="37">
        <v>18.149999999999999</v>
      </c>
    </row>
    <row r="26" spans="2:19">
      <c r="D26" s="18">
        <v>45421</v>
      </c>
      <c r="E26" s="1" t="s">
        <v>103</v>
      </c>
      <c r="N26" s="1" t="s">
        <v>132</v>
      </c>
      <c r="O26" s="37">
        <v>18.149999999999999</v>
      </c>
    </row>
    <row r="27" spans="2:19">
      <c r="D27" s="18">
        <v>45419</v>
      </c>
      <c r="E27" s="1" t="s">
        <v>100</v>
      </c>
      <c r="N27" s="1" t="s">
        <v>133</v>
      </c>
      <c r="O27" s="37">
        <v>17.149999999999999</v>
      </c>
    </row>
    <row r="28" spans="2:19">
      <c r="D28" s="18">
        <v>45328</v>
      </c>
      <c r="E28" s="1" t="s">
        <v>104</v>
      </c>
      <c r="N28" s="1" t="s">
        <v>134</v>
      </c>
      <c r="O28" s="37">
        <v>17.95</v>
      </c>
    </row>
    <row r="29" spans="2:19">
      <c r="D29" s="18">
        <v>45324</v>
      </c>
      <c r="E29" s="1" t="s">
        <v>105</v>
      </c>
      <c r="N29" s="1" t="s">
        <v>135</v>
      </c>
      <c r="O29" s="37">
        <v>16.45</v>
      </c>
    </row>
    <row r="30" spans="2:19">
      <c r="D30" s="18">
        <v>45307</v>
      </c>
      <c r="E30" s="1" t="s">
        <v>106</v>
      </c>
      <c r="N30" s="1" t="s">
        <v>136</v>
      </c>
      <c r="O30" s="37">
        <v>15.45</v>
      </c>
    </row>
    <row r="31" spans="2:19">
      <c r="C31" s="16" t="s">
        <v>190</v>
      </c>
      <c r="D31" s="18">
        <v>45232</v>
      </c>
      <c r="E31" s="1" t="s">
        <v>107</v>
      </c>
      <c r="N31" s="1" t="s">
        <v>137</v>
      </c>
      <c r="O31" s="37">
        <v>16.25</v>
      </c>
    </row>
    <row r="32" spans="2:19">
      <c r="C32" s="18" t="s">
        <v>189</v>
      </c>
      <c r="D32" s="18">
        <v>45223</v>
      </c>
      <c r="E32" s="1" t="s">
        <v>108</v>
      </c>
      <c r="N32" s="1" t="s">
        <v>138</v>
      </c>
      <c r="O32" s="37">
        <v>15.75</v>
      </c>
    </row>
    <row r="33" spans="3:15">
      <c r="C33" s="18" t="s">
        <v>63</v>
      </c>
      <c r="D33" s="18">
        <v>45217</v>
      </c>
      <c r="E33" s="1" t="s">
        <v>109</v>
      </c>
      <c r="N33" s="1" t="s">
        <v>139</v>
      </c>
      <c r="O33" s="37">
        <v>15.25</v>
      </c>
    </row>
    <row r="34" spans="3:15">
      <c r="C34" s="16" t="s">
        <v>9</v>
      </c>
      <c r="D34" s="18">
        <v>45195</v>
      </c>
      <c r="E34" s="1" t="s">
        <v>110</v>
      </c>
      <c r="N34" s="1" t="s">
        <v>140</v>
      </c>
      <c r="O34" s="37">
        <v>14.95</v>
      </c>
    </row>
    <row r="35" spans="3:15">
      <c r="C35" s="16" t="s">
        <v>8</v>
      </c>
      <c r="D35" s="18">
        <v>45181</v>
      </c>
      <c r="E35" s="1" t="s">
        <v>111</v>
      </c>
      <c r="N35" s="1" t="s">
        <v>141</v>
      </c>
      <c r="O35" s="37">
        <v>17.95</v>
      </c>
    </row>
    <row r="36" spans="3:15">
      <c r="C36" s="16" t="s">
        <v>7</v>
      </c>
      <c r="D36" s="18">
        <v>45152</v>
      </c>
      <c r="E36" s="1" t="s">
        <v>117</v>
      </c>
      <c r="N36" s="1" t="s">
        <v>142</v>
      </c>
      <c r="O36" s="37">
        <v>15.25</v>
      </c>
    </row>
    <row r="37" spans="3:15">
      <c r="C37" s="16" t="s">
        <v>6</v>
      </c>
      <c r="D37" s="18">
        <v>45114</v>
      </c>
      <c r="E37" s="1" t="s">
        <v>118</v>
      </c>
      <c r="N37" s="1" t="s">
        <v>143</v>
      </c>
      <c r="O37" s="37">
        <v>14.95</v>
      </c>
    </row>
    <row r="38" spans="3:15">
      <c r="C38" s="16" t="s">
        <v>13</v>
      </c>
      <c r="D38" s="18">
        <v>45082</v>
      </c>
      <c r="E38" s="1" t="s">
        <v>119</v>
      </c>
      <c r="N38" s="1" t="s">
        <v>144</v>
      </c>
      <c r="O38" s="37">
        <v>13.95</v>
      </c>
    </row>
    <row r="39" spans="3:15">
      <c r="C39" s="16" t="s">
        <v>12</v>
      </c>
      <c r="D39" s="18">
        <v>45056</v>
      </c>
      <c r="E39" s="1" t="s">
        <v>120</v>
      </c>
      <c r="N39" s="1" t="s">
        <v>145</v>
      </c>
      <c r="O39" s="37">
        <v>16.25</v>
      </c>
    </row>
    <row r="40" spans="3:15">
      <c r="C40" s="16" t="s">
        <v>11</v>
      </c>
      <c r="D40" s="18">
        <v>45033</v>
      </c>
      <c r="E40" s="1" t="s">
        <v>121</v>
      </c>
      <c r="N40" s="1" t="s">
        <v>146</v>
      </c>
      <c r="O40" s="37">
        <v>11.45</v>
      </c>
    </row>
    <row r="41" spans="3:15">
      <c r="C41" s="16" t="s">
        <v>10</v>
      </c>
      <c r="D41" s="18">
        <v>45015</v>
      </c>
      <c r="E41" s="1" t="s">
        <v>122</v>
      </c>
      <c r="N41" s="1" t="s">
        <v>147</v>
      </c>
      <c r="O41" s="37">
        <v>15.75</v>
      </c>
    </row>
    <row r="42" spans="3:15">
      <c r="D42" s="18">
        <v>44908</v>
      </c>
      <c r="E42" s="1" t="s">
        <v>123</v>
      </c>
      <c r="N42" s="5" t="s">
        <v>149</v>
      </c>
      <c r="O42" s="37"/>
    </row>
    <row r="43" spans="3:15">
      <c r="D43" s="18">
        <v>44879</v>
      </c>
      <c r="E43" s="1" t="s">
        <v>124</v>
      </c>
      <c r="N43" s="1" t="s">
        <v>148</v>
      </c>
      <c r="O43" s="37">
        <v>8.5500000000000007</v>
      </c>
    </row>
    <row r="44" spans="3:15">
      <c r="D44" s="18">
        <v>44872</v>
      </c>
      <c r="E44" s="1" t="s">
        <v>125</v>
      </c>
      <c r="N44" s="1" t="s">
        <v>150</v>
      </c>
      <c r="O44" s="37">
        <v>8.5500000000000007</v>
      </c>
    </row>
    <row r="45" spans="3:15">
      <c r="D45" s="18">
        <v>44643</v>
      </c>
      <c r="E45" s="1" t="s">
        <v>126</v>
      </c>
      <c r="N45" s="1" t="s">
        <v>151</v>
      </c>
      <c r="O45" s="37">
        <v>8.5500000000000007</v>
      </c>
    </row>
    <row r="46" spans="3:15">
      <c r="D46" s="18">
        <v>44432</v>
      </c>
      <c r="E46" s="1" t="s">
        <v>127</v>
      </c>
      <c r="N46" s="4" t="s">
        <v>152</v>
      </c>
      <c r="O46" s="37"/>
    </row>
    <row r="47" spans="3:15">
      <c r="N47" s="1" t="s">
        <v>153</v>
      </c>
      <c r="O47" s="37">
        <v>2.65</v>
      </c>
    </row>
    <row r="48" spans="3:15">
      <c r="N48" s="1" t="s">
        <v>154</v>
      </c>
      <c r="O48" s="37">
        <v>4.45</v>
      </c>
    </row>
    <row r="49" spans="14:15">
      <c r="N49" s="1" t="s">
        <v>155</v>
      </c>
      <c r="O49" s="37">
        <v>4.3499999999999996</v>
      </c>
    </row>
  </sheetData>
  <hyperlinks>
    <hyperlink ref="D27" r:id="rId1" display="https://investor.sweetgreen.com/press/news-details/2024/Sweetgreen-Launches-Caramelized-Garlic-Steak-Nationwide-Expanding-Its-Protein-Offerings/default.aspx" xr:uid="{EDC556E0-3A69-384D-880B-960AD95DC183}"/>
    <hyperlink ref="D26" r:id="rId2" display="https://investor.sweetgreen.com/press/news-details/2024/Sweetgreen-Inc.-Announces-First-Quarter-2024-Financial-Results/default.aspx" xr:uid="{858ACF7E-662D-C24A-8EC8-D47EEC77404D}"/>
    <hyperlink ref="D28" r:id="rId3" display="https://investor.sweetgreen.com/press/news-details/2024/Sweetgreen-Tests-New-Caramelized-Garlic-Steak-in-Select-Locations/default.aspx" xr:uid="{F0A11525-AC60-6445-BD8A-CED03CD7EC94}"/>
    <hyperlink ref="D29" r:id="rId4" display="https://investor.sweetgreen.com/press/news-details/2024/Sweetgreen-Appoints-Rossann-Williams-as-Chief-Operating-Officer/default.aspx" xr:uid="{52A9F649-5C26-5947-BEB4-7C9CFF64B134}"/>
    <hyperlink ref="D31" r:id="rId5" display="https://investor.sweetgreen.com/press/news-details/2023/Sweetgreen-Inc.-Announces-Third-Quarter-2023-Financial-Results/default.aspx" xr:uid="{C8FBF2B4-4FF2-8247-A8FF-1D0252698CA5}"/>
    <hyperlink ref="D32" r:id="rId6" display="https://investor.sweetgreen.com/press/news-details/2023/Sweetgreen-Takes-on-Dinner-With-Bold-Flavors-Featuring-Miso-Glazed-Salmon-and-Herb-Roasted-Chicken/default.aspx" xr:uid="{DDBE860F-7F9D-7641-B056-7731D04DED57}"/>
    <hyperlink ref="D33" r:id="rId7" display="https://investor.sweetgreen.com/press/news-details/2023/Sweetgreen-Becomes-the-First-National-Fast-Casual-Restaurant-Chain-to-Announce-It-Will-Cook-Proteins-Veggies-and-Grains-Exclusively-in-Extra-Virgin-Olive-Oil/default.aspx" xr:uid="{58E57E00-033C-F54E-9137-22AD96B96449}"/>
    <hyperlink ref="D34" r:id="rId8" display="https://investor.sweetgreen.com/press/news-details/2023/Sweetgreen-Expands-Loyalty-Program-and-Unlocks-More-Rewards-for-Fans-Nationwide/default.aspx" xr:uid="{B922242E-1022-3B43-A0FF-EB3037D29A96}"/>
    <hyperlink ref="D35" r:id="rId9" display="https://investor.sweetgreen.com/press/news-details/2023/Sweetgreen-Announces-Partnership-With-Musician-and-Actress-Rene-Rapp/default.aspx" xr:uid="{38E3A15D-02F9-6A4B-93A0-DEBD2033923A}"/>
    <hyperlink ref="D36" r:id="rId10" display="https://investor.sweetgreen.com/press/news-details/2023/Sweetgreen-Launches-Italian-Chopped-Salad-With-Fresh-Flavors-Inspired-by-Mediterranean-Coast/default.aspx" xr:uid="{23591797-6F80-F348-B0F5-2BA6DB8A3D01}"/>
    <hyperlink ref="D37" r:id="rId11" display="https://investor.sweetgreen.com/press/news-details/2023/Sweetgreen-Expands-Its-Midwest-Presence-Into-Wisconsin/default.aspx" xr:uid="{C117B3F0-895B-2841-97B5-CC8557F8F5B0}"/>
    <hyperlink ref="D38" r:id="rId12" display="https://investor.sweetgreen.com/press/" xr:uid="{3650CA77-29F1-134E-A845-E2F05CE51698}"/>
    <hyperlink ref="D39" r:id="rId13" display="https://investor.sweetgreen.com/press/news-details/2023/sweetgreen-Pilots-Automation-at-New-Store/default.aspx" xr:uid="{2F32CCC4-CDAA-DA4A-874A-95B1752201F1}"/>
    <hyperlink ref="D40" r:id="rId14" display="https://investor.sweetgreen.com/press/news-details/2023/sweetgreen-Expands-Its-Fleet-Into-Rhode-Island/default.aspx" xr:uid="{D195BDB1-B3C6-CD4C-94D8-A2FD3FD4DF0D}"/>
    <hyperlink ref="D41" r:id="rId15" display="https://investor.sweetgreen.com/press/news-details/2023/sweetgreen-Adds-Chipotle-Chicken-Burrito-Bowl-to-Its-Menu/default.aspx" xr:uid="{1869DE2D-2B8C-8F46-8FAD-7B7D8285391B}"/>
    <hyperlink ref="D42" r:id="rId16" display="https://investor.sweetgreen.com/press/news-details/2022/sweetgreen-Expands-to-Floridas-Sun-Coast-This-December/default.aspx" xr:uid="{AD3E32F7-B56C-9A4C-AEFB-7C5F9C83A461}"/>
    <hyperlink ref="D43" r:id="rId17" display="https://investor.sweetgreen.com/press/news-details/2022/sweetgreen-Opens-First-Order-Ahead-Drive-up-Format-sweetlane/default.aspx" xr:uid="{A99AD64F-7A9F-1B4D-A8EF-34FD1277112D}"/>
    <hyperlink ref="D44" r:id="rId18" display="https://investor.sweetgreen.com/press/news-details/2022/sweetgreen-Launches-Desserts/default.aspx" xr:uid="{DDB39F4D-413E-894B-BF49-78E349AE4F93}"/>
    <hyperlink ref="D45" r:id="rId19" display="https://investor.sweetgreen.com/press/news-details/2022/Sweetgreen-to-Open-Its-First-Ever-sweetlane-Restaurant-Concept/default.aspx" xr:uid="{A1553039-9F75-6749-9FE9-97C416013D71}"/>
    <hyperlink ref="D46" r:id="rId20" display="https://investor.sweetgreen.com/press/news-details/2021/sweetgreen-to-Acquire-Boston-based-Spyce-to-Scale-the-Future-of-Healthy-Fast-Food/default.aspx" xr:uid="{C637578B-21D2-1D46-96A7-C7FFB329C108}"/>
    <hyperlink ref="D30" r:id="rId21" display="https://investor.sweetgreen.com/press/news-details/2024/Sweetgreen-Makes-Its-Pacific-Northwest-Debut-in-Seattle/default.aspx" xr:uid="{3A8E2388-F58C-DA44-8ED4-87A83CABD377}"/>
    <hyperlink ref="E1" r:id="rId22" display="sec.gov" xr:uid="{85EF4AC4-84CB-6543-9F20-A6FFEB336E62}"/>
    <hyperlink ref="D25" r:id="rId23" display="https://investor.sweetgreen.com/press/news-details/2024/Sweetgreen-Inc.-Announces-Second-Quarter-2024-Financial-Results/default.aspx" xr:uid="{45B85A1A-15C3-1548-B5AF-BCEE784C99C1}"/>
    <hyperlink ref="C32" r:id="rId24" display="Q424" xr:uid="{45E9BFCE-9BDE-034F-A5C4-827D66EFD41B}"/>
    <hyperlink ref="C33" r:id="rId25" xr:uid="{0ABDEAAA-D044-6549-B427-CF806BF29E54}"/>
    <hyperlink ref="E2" r:id="rId26" xr:uid="{7D447A07-92D6-3342-8414-11C7095E2E8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872FD-27E2-8840-935A-09595DF08E27}">
  <dimension ref="A2:IB114"/>
  <sheetViews>
    <sheetView tabSelected="1" zoomScaleNormal="100" workbookViewId="0">
      <pane xSplit="2" ySplit="2" topLeftCell="C3" activePane="bottomRight" state="frozen"/>
      <selection pane="topRight" activeCell="C1" sqref="C1"/>
      <selection pane="bottomLeft" activeCell="A3" sqref="A3"/>
      <selection pane="bottomRight" activeCell="B76" sqref="B76"/>
    </sheetView>
  </sheetViews>
  <sheetFormatPr baseColWidth="10" defaultColWidth="10.6640625" defaultRowHeight="13" outlineLevelRow="1"/>
  <cols>
    <col min="1" max="1" width="3.33203125" style="1" bestFit="1" customWidth="1"/>
    <col min="2" max="2" width="36.5" style="1" bestFit="1" customWidth="1"/>
    <col min="3" max="5" width="7.1640625" style="1" bestFit="1" customWidth="1"/>
    <col min="6" max="8" width="7.6640625" style="1" bestFit="1" customWidth="1"/>
    <col min="9" max="9" width="9.1640625" style="1" bestFit="1" customWidth="1"/>
    <col min="10" max="16" width="7.6640625" style="1" bestFit="1" customWidth="1"/>
    <col min="17" max="17" width="10.6640625" style="1"/>
    <col min="18" max="19" width="7.6640625" style="1" bestFit="1" customWidth="1"/>
    <col min="20" max="22" width="5.1640625" style="1" bestFit="1" customWidth="1"/>
    <col min="23" max="26" width="8.1640625" style="1" bestFit="1" customWidth="1"/>
    <col min="27" max="27" width="8.33203125" style="1" bestFit="1" customWidth="1"/>
    <col min="28" max="30" width="7.6640625" style="1" bestFit="1" customWidth="1"/>
    <col min="31" max="36" width="9.1640625" style="1" bestFit="1" customWidth="1"/>
    <col min="37" max="37" width="7.6640625" style="1" bestFit="1" customWidth="1"/>
    <col min="38" max="38" width="9.1640625" style="1" bestFit="1" customWidth="1"/>
    <col min="39" max="39" width="10" style="1" bestFit="1" customWidth="1"/>
    <col min="40" max="40" width="9.1640625" style="1" bestFit="1" customWidth="1"/>
    <col min="41" max="147" width="7.6640625" style="1" bestFit="1" customWidth="1"/>
    <col min="148" max="236" width="9.1640625" style="1" bestFit="1" customWidth="1"/>
    <col min="237" max="16384" width="10.6640625" style="1"/>
  </cols>
  <sheetData>
    <row r="2" spans="1:236">
      <c r="A2" s="40" t="s">
        <v>64</v>
      </c>
      <c r="C2" s="1" t="s">
        <v>31</v>
      </c>
      <c r="D2" s="1" t="s">
        <v>32</v>
      </c>
      <c r="E2" s="1" t="s">
        <v>33</v>
      </c>
      <c r="F2" s="1" t="s">
        <v>34</v>
      </c>
      <c r="G2" s="1" t="s">
        <v>10</v>
      </c>
      <c r="H2" s="1" t="s">
        <v>11</v>
      </c>
      <c r="I2" s="1" t="s">
        <v>12</v>
      </c>
      <c r="J2" s="1" t="s">
        <v>13</v>
      </c>
      <c r="K2" s="1" t="s">
        <v>6</v>
      </c>
      <c r="L2" s="1" t="s">
        <v>7</v>
      </c>
      <c r="M2" s="1" t="s">
        <v>8</v>
      </c>
      <c r="N2" s="1" t="s">
        <v>9</v>
      </c>
      <c r="O2" s="1" t="s">
        <v>63</v>
      </c>
      <c r="P2" s="1" t="s">
        <v>189</v>
      </c>
      <c r="R2" s="2">
        <v>2015</v>
      </c>
      <c r="S2" s="2">
        <f>+R2+1</f>
        <v>2016</v>
      </c>
      <c r="T2" s="2">
        <f t="shared" ref="T2:AH2" si="0">+S2+1</f>
        <v>2017</v>
      </c>
      <c r="U2" s="2">
        <f t="shared" si="0"/>
        <v>2018</v>
      </c>
      <c r="V2" s="2">
        <f t="shared" si="0"/>
        <v>2019</v>
      </c>
      <c r="W2" s="2">
        <f t="shared" si="0"/>
        <v>2020</v>
      </c>
      <c r="X2" s="2">
        <f t="shared" si="0"/>
        <v>2021</v>
      </c>
      <c r="Y2" s="2">
        <f t="shared" si="0"/>
        <v>2022</v>
      </c>
      <c r="Z2" s="2">
        <f t="shared" si="0"/>
        <v>2023</v>
      </c>
      <c r="AA2" s="2">
        <f t="shared" si="0"/>
        <v>2024</v>
      </c>
      <c r="AB2" s="2">
        <f t="shared" si="0"/>
        <v>2025</v>
      </c>
      <c r="AC2" s="2">
        <f t="shared" si="0"/>
        <v>2026</v>
      </c>
      <c r="AD2" s="2">
        <f t="shared" si="0"/>
        <v>2027</v>
      </c>
      <c r="AE2" s="2">
        <f t="shared" si="0"/>
        <v>2028</v>
      </c>
      <c r="AF2" s="2">
        <f t="shared" si="0"/>
        <v>2029</v>
      </c>
      <c r="AG2" s="2">
        <f t="shared" si="0"/>
        <v>2030</v>
      </c>
      <c r="AH2" s="2">
        <f t="shared" si="0"/>
        <v>2031</v>
      </c>
      <c r="AI2" s="2">
        <f t="shared" ref="AI2" si="1">+AH2+1</f>
        <v>2032</v>
      </c>
      <c r="AJ2" s="2">
        <f t="shared" ref="AJ2" si="2">+AI2+1</f>
        <v>2033</v>
      </c>
      <c r="AK2" s="2">
        <f>+AJ2+1</f>
        <v>2034</v>
      </c>
      <c r="AL2" s="2">
        <f t="shared" ref="AL2:CW2" si="3">+AK2+1</f>
        <v>2035</v>
      </c>
      <c r="AM2" s="2">
        <f t="shared" si="3"/>
        <v>2036</v>
      </c>
      <c r="AN2" s="2">
        <f t="shared" si="3"/>
        <v>2037</v>
      </c>
      <c r="AO2" s="2">
        <f t="shared" si="3"/>
        <v>2038</v>
      </c>
      <c r="AP2" s="2">
        <f t="shared" si="3"/>
        <v>2039</v>
      </c>
      <c r="AQ2" s="2">
        <f t="shared" si="3"/>
        <v>2040</v>
      </c>
      <c r="AR2" s="2">
        <f t="shared" si="3"/>
        <v>2041</v>
      </c>
      <c r="AS2" s="2">
        <f t="shared" si="3"/>
        <v>2042</v>
      </c>
      <c r="AT2" s="2">
        <f t="shared" si="3"/>
        <v>2043</v>
      </c>
      <c r="AU2" s="2">
        <f t="shared" si="3"/>
        <v>2044</v>
      </c>
      <c r="AV2" s="2">
        <f t="shared" si="3"/>
        <v>2045</v>
      </c>
      <c r="AW2" s="2">
        <f t="shared" si="3"/>
        <v>2046</v>
      </c>
      <c r="AX2" s="2">
        <f t="shared" si="3"/>
        <v>2047</v>
      </c>
      <c r="AY2" s="2">
        <f t="shared" si="3"/>
        <v>2048</v>
      </c>
      <c r="AZ2" s="2">
        <f t="shared" si="3"/>
        <v>2049</v>
      </c>
      <c r="BA2" s="2">
        <f t="shared" si="3"/>
        <v>2050</v>
      </c>
      <c r="BB2" s="2">
        <f t="shared" si="3"/>
        <v>2051</v>
      </c>
      <c r="BC2" s="2">
        <f t="shared" si="3"/>
        <v>2052</v>
      </c>
      <c r="BD2" s="2">
        <f t="shared" si="3"/>
        <v>2053</v>
      </c>
      <c r="BE2" s="2">
        <f t="shared" si="3"/>
        <v>2054</v>
      </c>
      <c r="BF2" s="2">
        <f t="shared" si="3"/>
        <v>2055</v>
      </c>
      <c r="BG2" s="2">
        <f t="shared" si="3"/>
        <v>2056</v>
      </c>
      <c r="BH2" s="2">
        <f t="shared" si="3"/>
        <v>2057</v>
      </c>
      <c r="BI2" s="2">
        <f t="shared" si="3"/>
        <v>2058</v>
      </c>
      <c r="BJ2" s="2">
        <f t="shared" si="3"/>
        <v>2059</v>
      </c>
      <c r="BK2" s="2">
        <f t="shared" si="3"/>
        <v>2060</v>
      </c>
      <c r="BL2" s="2">
        <f t="shared" si="3"/>
        <v>2061</v>
      </c>
      <c r="BM2" s="2">
        <f t="shared" si="3"/>
        <v>2062</v>
      </c>
      <c r="BN2" s="2">
        <f t="shared" si="3"/>
        <v>2063</v>
      </c>
      <c r="BO2" s="2">
        <f t="shared" si="3"/>
        <v>2064</v>
      </c>
      <c r="BP2" s="2">
        <f t="shared" si="3"/>
        <v>2065</v>
      </c>
      <c r="BQ2" s="2">
        <f t="shared" si="3"/>
        <v>2066</v>
      </c>
      <c r="BR2" s="2">
        <f t="shared" si="3"/>
        <v>2067</v>
      </c>
      <c r="BS2" s="2">
        <f t="shared" si="3"/>
        <v>2068</v>
      </c>
      <c r="BT2" s="2">
        <f t="shared" si="3"/>
        <v>2069</v>
      </c>
      <c r="BU2" s="2">
        <f t="shared" si="3"/>
        <v>2070</v>
      </c>
      <c r="BV2" s="2">
        <f t="shared" si="3"/>
        <v>2071</v>
      </c>
      <c r="BW2" s="2">
        <f t="shared" si="3"/>
        <v>2072</v>
      </c>
      <c r="BX2" s="2">
        <f t="shared" si="3"/>
        <v>2073</v>
      </c>
      <c r="BY2" s="2">
        <f t="shared" si="3"/>
        <v>2074</v>
      </c>
      <c r="BZ2" s="2">
        <f t="shared" si="3"/>
        <v>2075</v>
      </c>
      <c r="CA2" s="2">
        <f t="shared" si="3"/>
        <v>2076</v>
      </c>
      <c r="CB2" s="2">
        <f t="shared" si="3"/>
        <v>2077</v>
      </c>
      <c r="CC2" s="2">
        <f t="shared" si="3"/>
        <v>2078</v>
      </c>
      <c r="CD2" s="2">
        <f t="shared" si="3"/>
        <v>2079</v>
      </c>
      <c r="CE2" s="2">
        <f t="shared" si="3"/>
        <v>2080</v>
      </c>
      <c r="CF2" s="2">
        <f t="shared" si="3"/>
        <v>2081</v>
      </c>
      <c r="CG2" s="2">
        <f t="shared" si="3"/>
        <v>2082</v>
      </c>
      <c r="CH2" s="2">
        <f t="shared" si="3"/>
        <v>2083</v>
      </c>
      <c r="CI2" s="2">
        <f t="shared" si="3"/>
        <v>2084</v>
      </c>
      <c r="CJ2" s="2">
        <f t="shared" si="3"/>
        <v>2085</v>
      </c>
      <c r="CK2" s="2">
        <f t="shared" si="3"/>
        <v>2086</v>
      </c>
      <c r="CL2" s="2">
        <f t="shared" si="3"/>
        <v>2087</v>
      </c>
      <c r="CM2" s="2">
        <f t="shared" si="3"/>
        <v>2088</v>
      </c>
      <c r="CN2" s="2">
        <f t="shared" si="3"/>
        <v>2089</v>
      </c>
      <c r="CO2" s="2">
        <f t="shared" si="3"/>
        <v>2090</v>
      </c>
      <c r="CP2" s="2">
        <f t="shared" si="3"/>
        <v>2091</v>
      </c>
      <c r="CQ2" s="2">
        <f t="shared" si="3"/>
        <v>2092</v>
      </c>
      <c r="CR2" s="2">
        <f t="shared" si="3"/>
        <v>2093</v>
      </c>
      <c r="CS2" s="2">
        <f t="shared" si="3"/>
        <v>2094</v>
      </c>
      <c r="CT2" s="2">
        <f t="shared" si="3"/>
        <v>2095</v>
      </c>
      <c r="CU2" s="2">
        <f t="shared" si="3"/>
        <v>2096</v>
      </c>
      <c r="CV2" s="2">
        <f t="shared" si="3"/>
        <v>2097</v>
      </c>
      <c r="CW2" s="2">
        <f t="shared" si="3"/>
        <v>2098</v>
      </c>
      <c r="CX2" s="2">
        <f t="shared" ref="CX2:CY2" si="4">+CW2+1</f>
        <v>2099</v>
      </c>
      <c r="CY2" s="2">
        <f t="shared" si="4"/>
        <v>2100</v>
      </c>
      <c r="CZ2" s="2">
        <f t="shared" ref="CZ2:DV2" si="5">+CY2+1</f>
        <v>2101</v>
      </c>
      <c r="DA2" s="2">
        <f t="shared" si="5"/>
        <v>2102</v>
      </c>
      <c r="DB2" s="2">
        <f t="shared" si="5"/>
        <v>2103</v>
      </c>
      <c r="DC2" s="2">
        <f t="shared" si="5"/>
        <v>2104</v>
      </c>
      <c r="DD2" s="2">
        <f t="shared" si="5"/>
        <v>2105</v>
      </c>
      <c r="DE2" s="2">
        <f t="shared" si="5"/>
        <v>2106</v>
      </c>
      <c r="DF2" s="2">
        <f t="shared" si="5"/>
        <v>2107</v>
      </c>
      <c r="DG2" s="2">
        <f t="shared" si="5"/>
        <v>2108</v>
      </c>
      <c r="DH2" s="2">
        <f t="shared" si="5"/>
        <v>2109</v>
      </c>
      <c r="DI2" s="2">
        <f t="shared" si="5"/>
        <v>2110</v>
      </c>
      <c r="DJ2" s="2">
        <f t="shared" si="5"/>
        <v>2111</v>
      </c>
      <c r="DK2" s="2">
        <f t="shared" si="5"/>
        <v>2112</v>
      </c>
      <c r="DL2" s="2">
        <f t="shared" si="5"/>
        <v>2113</v>
      </c>
      <c r="DM2" s="2">
        <f t="shared" si="5"/>
        <v>2114</v>
      </c>
      <c r="DN2" s="2">
        <f t="shared" si="5"/>
        <v>2115</v>
      </c>
      <c r="DO2" s="2">
        <f t="shared" si="5"/>
        <v>2116</v>
      </c>
      <c r="DP2" s="2">
        <f t="shared" si="5"/>
        <v>2117</v>
      </c>
      <c r="DQ2" s="2">
        <f t="shared" si="5"/>
        <v>2118</v>
      </c>
      <c r="DR2" s="2">
        <f t="shared" si="5"/>
        <v>2119</v>
      </c>
      <c r="DS2" s="2">
        <f t="shared" si="5"/>
        <v>2120</v>
      </c>
      <c r="DT2" s="2">
        <f t="shared" si="5"/>
        <v>2121</v>
      </c>
      <c r="DU2" s="2">
        <f t="shared" si="5"/>
        <v>2122</v>
      </c>
      <c r="DV2" s="2">
        <f t="shared" si="5"/>
        <v>2123</v>
      </c>
      <c r="DW2" s="2">
        <f t="shared" ref="DW2:EU2" si="6">+DV2+1</f>
        <v>2124</v>
      </c>
      <c r="DX2" s="2">
        <f t="shared" si="6"/>
        <v>2125</v>
      </c>
      <c r="DY2" s="2">
        <f t="shared" si="6"/>
        <v>2126</v>
      </c>
      <c r="DZ2" s="2">
        <f t="shared" si="6"/>
        <v>2127</v>
      </c>
      <c r="EA2" s="2">
        <f t="shared" si="6"/>
        <v>2128</v>
      </c>
      <c r="EB2" s="2">
        <f t="shared" si="6"/>
        <v>2129</v>
      </c>
      <c r="EC2" s="2">
        <f t="shared" si="6"/>
        <v>2130</v>
      </c>
      <c r="ED2" s="2">
        <f t="shared" si="6"/>
        <v>2131</v>
      </c>
      <c r="EE2" s="2">
        <f t="shared" si="6"/>
        <v>2132</v>
      </c>
      <c r="EF2" s="2">
        <f t="shared" si="6"/>
        <v>2133</v>
      </c>
      <c r="EG2" s="2">
        <f t="shared" si="6"/>
        <v>2134</v>
      </c>
      <c r="EH2" s="2">
        <f t="shared" si="6"/>
        <v>2135</v>
      </c>
      <c r="EI2" s="2">
        <f t="shared" si="6"/>
        <v>2136</v>
      </c>
      <c r="EJ2" s="2">
        <f t="shared" si="6"/>
        <v>2137</v>
      </c>
      <c r="EK2" s="2">
        <f t="shared" si="6"/>
        <v>2138</v>
      </c>
      <c r="EL2" s="2">
        <f t="shared" si="6"/>
        <v>2139</v>
      </c>
      <c r="EM2" s="2">
        <f t="shared" si="6"/>
        <v>2140</v>
      </c>
      <c r="EN2" s="2">
        <f t="shared" si="6"/>
        <v>2141</v>
      </c>
      <c r="EO2" s="2">
        <f t="shared" si="6"/>
        <v>2142</v>
      </c>
      <c r="EP2" s="2">
        <f t="shared" si="6"/>
        <v>2143</v>
      </c>
      <c r="EQ2" s="2">
        <f t="shared" si="6"/>
        <v>2144</v>
      </c>
      <c r="ER2" s="2">
        <f t="shared" si="6"/>
        <v>2145</v>
      </c>
      <c r="ES2" s="2">
        <f t="shared" si="6"/>
        <v>2146</v>
      </c>
      <c r="ET2" s="2">
        <f t="shared" si="6"/>
        <v>2147</v>
      </c>
      <c r="EU2" s="2">
        <f t="shared" si="6"/>
        <v>2148</v>
      </c>
      <c r="EV2" s="2">
        <f t="shared" ref="EV2:FP2" si="7">+EU2+1</f>
        <v>2149</v>
      </c>
      <c r="EW2" s="2">
        <f t="shared" si="7"/>
        <v>2150</v>
      </c>
      <c r="EX2" s="2">
        <f t="shared" si="7"/>
        <v>2151</v>
      </c>
      <c r="EY2" s="2">
        <f t="shared" si="7"/>
        <v>2152</v>
      </c>
      <c r="EZ2" s="2">
        <f t="shared" si="7"/>
        <v>2153</v>
      </c>
      <c r="FA2" s="2">
        <f t="shared" si="7"/>
        <v>2154</v>
      </c>
      <c r="FB2" s="2">
        <f t="shared" si="7"/>
        <v>2155</v>
      </c>
      <c r="FC2" s="2">
        <f t="shared" si="7"/>
        <v>2156</v>
      </c>
      <c r="FD2" s="2">
        <f t="shared" si="7"/>
        <v>2157</v>
      </c>
      <c r="FE2" s="2">
        <f t="shared" si="7"/>
        <v>2158</v>
      </c>
      <c r="FF2" s="2">
        <f t="shared" si="7"/>
        <v>2159</v>
      </c>
      <c r="FG2" s="2">
        <f t="shared" si="7"/>
        <v>2160</v>
      </c>
      <c r="FH2" s="2">
        <f t="shared" si="7"/>
        <v>2161</v>
      </c>
      <c r="FI2" s="2">
        <f t="shared" si="7"/>
        <v>2162</v>
      </c>
      <c r="FJ2" s="2">
        <f t="shared" si="7"/>
        <v>2163</v>
      </c>
      <c r="FK2" s="2">
        <f t="shared" si="7"/>
        <v>2164</v>
      </c>
      <c r="FL2" s="2">
        <f t="shared" si="7"/>
        <v>2165</v>
      </c>
      <c r="FM2" s="2">
        <f t="shared" si="7"/>
        <v>2166</v>
      </c>
      <c r="FN2" s="2">
        <f t="shared" si="7"/>
        <v>2167</v>
      </c>
      <c r="FO2" s="2">
        <f t="shared" si="7"/>
        <v>2168</v>
      </c>
      <c r="FP2" s="2">
        <f t="shared" si="7"/>
        <v>2169</v>
      </c>
      <c r="FQ2" s="2">
        <f t="shared" ref="FQ2:GD2" si="8">+FP2+1</f>
        <v>2170</v>
      </c>
      <c r="FR2" s="2">
        <f t="shared" si="8"/>
        <v>2171</v>
      </c>
      <c r="FS2" s="2">
        <f t="shared" si="8"/>
        <v>2172</v>
      </c>
      <c r="FT2" s="2">
        <f t="shared" si="8"/>
        <v>2173</v>
      </c>
      <c r="FU2" s="2">
        <f t="shared" si="8"/>
        <v>2174</v>
      </c>
      <c r="FV2" s="2">
        <f t="shared" si="8"/>
        <v>2175</v>
      </c>
      <c r="FW2" s="2">
        <f t="shared" si="8"/>
        <v>2176</v>
      </c>
      <c r="FX2" s="2">
        <f t="shared" si="8"/>
        <v>2177</v>
      </c>
      <c r="FY2" s="2">
        <f t="shared" si="8"/>
        <v>2178</v>
      </c>
      <c r="FZ2" s="2">
        <f t="shared" si="8"/>
        <v>2179</v>
      </c>
      <c r="GA2" s="2">
        <f t="shared" si="8"/>
        <v>2180</v>
      </c>
      <c r="GB2" s="2">
        <f t="shared" si="8"/>
        <v>2181</v>
      </c>
      <c r="GC2" s="2">
        <f t="shared" si="8"/>
        <v>2182</v>
      </c>
      <c r="GD2" s="2">
        <f t="shared" si="8"/>
        <v>2183</v>
      </c>
      <c r="GE2" s="2">
        <f t="shared" ref="GE2:GY2" si="9">+GD2+1</f>
        <v>2184</v>
      </c>
      <c r="GF2" s="2">
        <f t="shared" si="9"/>
        <v>2185</v>
      </c>
      <c r="GG2" s="2">
        <f t="shared" si="9"/>
        <v>2186</v>
      </c>
      <c r="GH2" s="2">
        <f t="shared" si="9"/>
        <v>2187</v>
      </c>
      <c r="GI2" s="2">
        <f t="shared" si="9"/>
        <v>2188</v>
      </c>
      <c r="GJ2" s="2">
        <f t="shared" si="9"/>
        <v>2189</v>
      </c>
      <c r="GK2" s="2">
        <f t="shared" si="9"/>
        <v>2190</v>
      </c>
      <c r="GL2" s="2">
        <f t="shared" si="9"/>
        <v>2191</v>
      </c>
      <c r="GM2" s="2">
        <f t="shared" si="9"/>
        <v>2192</v>
      </c>
      <c r="GN2" s="2">
        <f t="shared" si="9"/>
        <v>2193</v>
      </c>
      <c r="GO2" s="2">
        <f t="shared" si="9"/>
        <v>2194</v>
      </c>
      <c r="GP2" s="2">
        <f t="shared" si="9"/>
        <v>2195</v>
      </c>
      <c r="GQ2" s="2">
        <f t="shared" si="9"/>
        <v>2196</v>
      </c>
      <c r="GR2" s="2">
        <f t="shared" si="9"/>
        <v>2197</v>
      </c>
      <c r="GS2" s="2">
        <f t="shared" si="9"/>
        <v>2198</v>
      </c>
      <c r="GT2" s="2">
        <f t="shared" si="9"/>
        <v>2199</v>
      </c>
      <c r="GU2" s="2">
        <f t="shared" si="9"/>
        <v>2200</v>
      </c>
      <c r="GV2" s="2">
        <f t="shared" si="9"/>
        <v>2201</v>
      </c>
      <c r="GW2" s="2">
        <f t="shared" si="9"/>
        <v>2202</v>
      </c>
      <c r="GX2" s="2">
        <f t="shared" si="9"/>
        <v>2203</v>
      </c>
      <c r="GY2" s="2">
        <f t="shared" si="9"/>
        <v>2204</v>
      </c>
      <c r="GZ2" s="2">
        <f t="shared" ref="GZ2:HM2" si="10">+GY2+1</f>
        <v>2205</v>
      </c>
      <c r="HA2" s="2">
        <f t="shared" si="10"/>
        <v>2206</v>
      </c>
      <c r="HB2" s="2">
        <f t="shared" si="10"/>
        <v>2207</v>
      </c>
      <c r="HC2" s="2">
        <f t="shared" si="10"/>
        <v>2208</v>
      </c>
      <c r="HD2" s="2">
        <f t="shared" si="10"/>
        <v>2209</v>
      </c>
      <c r="HE2" s="2">
        <f t="shared" si="10"/>
        <v>2210</v>
      </c>
      <c r="HF2" s="2">
        <f t="shared" si="10"/>
        <v>2211</v>
      </c>
      <c r="HG2" s="2">
        <f t="shared" si="10"/>
        <v>2212</v>
      </c>
      <c r="HH2" s="2">
        <f t="shared" si="10"/>
        <v>2213</v>
      </c>
      <c r="HI2" s="2">
        <f t="shared" si="10"/>
        <v>2214</v>
      </c>
      <c r="HJ2" s="2">
        <f t="shared" si="10"/>
        <v>2215</v>
      </c>
      <c r="HK2" s="2">
        <f t="shared" si="10"/>
        <v>2216</v>
      </c>
      <c r="HL2" s="2">
        <f t="shared" si="10"/>
        <v>2217</v>
      </c>
      <c r="HM2" s="2">
        <f t="shared" si="10"/>
        <v>2218</v>
      </c>
      <c r="HN2" s="2">
        <f t="shared" ref="HN2:HU2" si="11">+HM2+1</f>
        <v>2219</v>
      </c>
      <c r="HO2" s="2">
        <f t="shared" si="11"/>
        <v>2220</v>
      </c>
      <c r="HP2" s="2">
        <f t="shared" si="11"/>
        <v>2221</v>
      </c>
      <c r="HQ2" s="2">
        <f t="shared" si="11"/>
        <v>2222</v>
      </c>
      <c r="HR2" s="2">
        <f t="shared" si="11"/>
        <v>2223</v>
      </c>
      <c r="HS2" s="2">
        <f t="shared" si="11"/>
        <v>2224</v>
      </c>
      <c r="HT2" s="2">
        <f t="shared" si="11"/>
        <v>2225</v>
      </c>
      <c r="HU2" s="2">
        <f t="shared" si="11"/>
        <v>2226</v>
      </c>
      <c r="HV2" s="2">
        <f t="shared" ref="HV2:HX2" si="12">+HU2+1</f>
        <v>2227</v>
      </c>
      <c r="HW2" s="2">
        <f t="shared" si="12"/>
        <v>2228</v>
      </c>
      <c r="HX2" s="2">
        <f t="shared" si="12"/>
        <v>2229</v>
      </c>
      <c r="HY2" s="2">
        <f t="shared" ref="HY2:IA2" si="13">+HX2+1</f>
        <v>2230</v>
      </c>
      <c r="HZ2" s="2">
        <f t="shared" si="13"/>
        <v>2231</v>
      </c>
      <c r="IA2" s="2">
        <f t="shared" si="13"/>
        <v>2232</v>
      </c>
      <c r="IB2" s="2">
        <f t="shared" ref="IB2" si="14">+IA2+1</f>
        <v>2233</v>
      </c>
    </row>
    <row r="3" spans="1:236">
      <c r="A3" s="40"/>
      <c r="B3" s="1" t="s">
        <v>188</v>
      </c>
      <c r="C3" s="1">
        <v>2075</v>
      </c>
      <c r="D3" s="1">
        <v>2447</v>
      </c>
      <c r="E3" s="1">
        <v>2459</v>
      </c>
      <c r="F3" s="1">
        <v>2623</v>
      </c>
      <c r="G3" s="1">
        <v>2793</v>
      </c>
      <c r="H3" s="1">
        <v>2881</v>
      </c>
      <c r="I3" s="1">
        <v>2892</v>
      </c>
      <c r="J3" s="1">
        <v>2905</v>
      </c>
      <c r="K3" s="1">
        <v>2932</v>
      </c>
      <c r="L3" s="1">
        <v>2920</v>
      </c>
      <c r="M3" s="1">
        <v>2905</v>
      </c>
      <c r="N3" s="1">
        <v>2877</v>
      </c>
      <c r="O3" s="1">
        <v>2889</v>
      </c>
      <c r="P3" s="1">
        <v>2925</v>
      </c>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row>
    <row r="4" spans="1:236">
      <c r="B4" s="4" t="s">
        <v>35</v>
      </c>
      <c r="G4" s="1">
        <v>158</v>
      </c>
      <c r="H4" s="1">
        <v>166</v>
      </c>
      <c r="I4" s="1">
        <v>176</v>
      </c>
      <c r="J4" s="1">
        <v>186</v>
      </c>
      <c r="K4" s="1">
        <v>195</v>
      </c>
      <c r="L4" s="1">
        <v>205</v>
      </c>
      <c r="M4" s="1">
        <v>220</v>
      </c>
      <c r="N4" s="1">
        <f>+Z4</f>
        <v>221</v>
      </c>
      <c r="O4" s="1">
        <v>227</v>
      </c>
      <c r="P4" s="1">
        <f>+O4+4</f>
        <v>231</v>
      </c>
      <c r="X4" s="1">
        <v>150</v>
      </c>
      <c r="Y4" s="1">
        <f>+J4</f>
        <v>186</v>
      </c>
      <c r="Z4" s="1">
        <f>+Y4+35</f>
        <v>221</v>
      </c>
      <c r="AA4" s="1">
        <f>+Z4+24</f>
        <v>245</v>
      </c>
      <c r="AB4" s="1">
        <f t="shared" ref="AB4:AJ4" si="15">+AA4+24</f>
        <v>269</v>
      </c>
      <c r="AC4" s="1">
        <f t="shared" si="15"/>
        <v>293</v>
      </c>
      <c r="AD4" s="1">
        <f t="shared" si="15"/>
        <v>317</v>
      </c>
      <c r="AE4" s="1">
        <f t="shared" si="15"/>
        <v>341</v>
      </c>
      <c r="AF4" s="1">
        <f t="shared" si="15"/>
        <v>365</v>
      </c>
      <c r="AG4" s="1">
        <f t="shared" si="15"/>
        <v>389</v>
      </c>
      <c r="AH4" s="1">
        <f t="shared" si="15"/>
        <v>413</v>
      </c>
      <c r="AI4" s="1">
        <f t="shared" si="15"/>
        <v>437</v>
      </c>
      <c r="AJ4" s="1">
        <f t="shared" si="15"/>
        <v>461</v>
      </c>
    </row>
    <row r="5" spans="1:236">
      <c r="B5" s="1" t="s">
        <v>36</v>
      </c>
      <c r="G5" s="1">
        <f>+G8/G4</f>
        <v>649.31012658227849</v>
      </c>
      <c r="H5" s="1">
        <f t="shared" ref="H5:P5" si="16">+H8/H4</f>
        <v>752.51807228915663</v>
      </c>
      <c r="I5" s="1">
        <f t="shared" si="16"/>
        <v>704.69318181818187</v>
      </c>
      <c r="J5" s="1">
        <f t="shared" si="16"/>
        <v>637.47311827956992</v>
      </c>
      <c r="K5" s="1">
        <f t="shared" si="16"/>
        <v>641.34358974358975</v>
      </c>
      <c r="L5" s="1">
        <f t="shared" si="16"/>
        <v>744.02439024390242</v>
      </c>
      <c r="M5" s="1">
        <f t="shared" si="16"/>
        <v>697.4</v>
      </c>
      <c r="N5" s="1">
        <f t="shared" si="16"/>
        <v>692.4253393665158</v>
      </c>
      <c r="O5" s="1">
        <f t="shared" si="16"/>
        <v>695.3744493392071</v>
      </c>
      <c r="P5" s="1">
        <f t="shared" si="16"/>
        <v>799.31168831168827</v>
      </c>
      <c r="X5" s="1">
        <f t="shared" ref="X5" si="17">+X8/X4</f>
        <v>2265.8266666666668</v>
      </c>
      <c r="Y5" s="1">
        <f t="shared" ref="Y5:AA5" si="18">+Y8/Y4</f>
        <v>2527.4462365591398</v>
      </c>
      <c r="Z5" s="1">
        <f t="shared" si="18"/>
        <v>2642.7194570135748</v>
      </c>
      <c r="AA5" s="1">
        <f t="shared" si="18"/>
        <v>2912.3384353741499</v>
      </c>
      <c r="AB5" s="1">
        <f>+AA5*1.08</f>
        <v>3145.3255102040821</v>
      </c>
      <c r="AC5" s="1">
        <f t="shared" ref="AC5:AJ5" si="19">+AB5*1.08</f>
        <v>3396.9515510204087</v>
      </c>
      <c r="AD5" s="1">
        <f t="shared" si="19"/>
        <v>3668.7076751020418</v>
      </c>
      <c r="AE5" s="1">
        <f t="shared" si="19"/>
        <v>3962.2042891102055</v>
      </c>
      <c r="AF5" s="1">
        <f t="shared" si="19"/>
        <v>4279.1806322390221</v>
      </c>
      <c r="AG5" s="1">
        <f t="shared" si="19"/>
        <v>4621.515082818144</v>
      </c>
      <c r="AH5" s="1">
        <f t="shared" si="19"/>
        <v>4991.2362894435955</v>
      </c>
      <c r="AI5" s="1">
        <f t="shared" si="19"/>
        <v>5390.5351925990835</v>
      </c>
      <c r="AJ5" s="1">
        <f t="shared" si="19"/>
        <v>5821.7780080070106</v>
      </c>
    </row>
    <row r="6" spans="1:236">
      <c r="Z6" s="3">
        <f>+Z5/Y5-1</f>
        <v>4.5608574689749881E-2</v>
      </c>
      <c r="AA6" s="42" t="s">
        <v>101</v>
      </c>
      <c r="AB6" s="42"/>
      <c r="AC6" s="42"/>
      <c r="AD6" s="42"/>
      <c r="AE6" s="42"/>
      <c r="AF6" s="42"/>
      <c r="AG6" s="42"/>
      <c r="AH6" s="42"/>
      <c r="AI6" s="42"/>
      <c r="AJ6" s="42"/>
    </row>
    <row r="7" spans="1:236" s="15" customFormat="1">
      <c r="B7" s="15" t="s">
        <v>65</v>
      </c>
      <c r="C7" s="15">
        <v>-0.26</v>
      </c>
      <c r="D7" s="15">
        <v>0.86</v>
      </c>
      <c r="E7" s="15">
        <v>0.43</v>
      </c>
      <c r="F7" s="15">
        <v>0.36</v>
      </c>
      <c r="G7" s="15">
        <v>0.35</v>
      </c>
      <c r="H7" s="15">
        <v>0.16</v>
      </c>
      <c r="I7" s="15">
        <v>0.06</v>
      </c>
      <c r="J7" s="15">
        <v>0.04</v>
      </c>
      <c r="K7" s="15">
        <v>0.05</v>
      </c>
      <c r="L7" s="15">
        <v>0.03</v>
      </c>
      <c r="M7" s="15">
        <v>0.04</v>
      </c>
      <c r="N7" s="15">
        <v>0.06</v>
      </c>
      <c r="O7" s="15">
        <v>0.05</v>
      </c>
      <c r="P7" s="15">
        <v>0.09</v>
      </c>
    </row>
    <row r="8" spans="1:236">
      <c r="B8" s="1" t="s">
        <v>14</v>
      </c>
      <c r="C8" s="1">
        <v>61392</v>
      </c>
      <c r="D8" s="1">
        <v>86212</v>
      </c>
      <c r="E8" s="1">
        <v>95844</v>
      </c>
      <c r="F8" s="1">
        <v>96426</v>
      </c>
      <c r="G8" s="1">
        <v>102591</v>
      </c>
      <c r="H8" s="1">
        <v>124918</v>
      </c>
      <c r="I8" s="1">
        <v>124026</v>
      </c>
      <c r="J8" s="1">
        <v>118570</v>
      </c>
      <c r="K8" s="1">
        <v>125062</v>
      </c>
      <c r="L8" s="1">
        <v>152525</v>
      </c>
      <c r="M8" s="1">
        <v>153428</v>
      </c>
      <c r="N8" s="1">
        <f>+Z8-SUM(K8:M8)</f>
        <v>153026</v>
      </c>
      <c r="O8" s="1">
        <v>157850</v>
      </c>
      <c r="P8" s="1">
        <v>184641</v>
      </c>
      <c r="R8" s="3"/>
      <c r="S8" s="3"/>
      <c r="W8" s="1">
        <v>220615</v>
      </c>
      <c r="X8" s="1">
        <f>SUM(C8:F8)</f>
        <v>339874</v>
      </c>
      <c r="Y8" s="1">
        <f>SUM(G8:J8)</f>
        <v>470105</v>
      </c>
      <c r="Z8" s="1">
        <v>584041</v>
      </c>
      <c r="AA8" s="1">
        <f>SUM(O8:P8)/0.48</f>
        <v>713522.91666666674</v>
      </c>
      <c r="AB8" s="1">
        <f>+AB4*AB5</f>
        <v>846092.56224489806</v>
      </c>
      <c r="AC8" s="1">
        <f t="shared" ref="AB8:AJ8" si="20">+AC4*AC5</f>
        <v>995306.80444897979</v>
      </c>
      <c r="AD8" s="1">
        <f t="shared" si="20"/>
        <v>1162980.3330073473</v>
      </c>
      <c r="AE8" s="1">
        <f t="shared" si="20"/>
        <v>1351111.66258658</v>
      </c>
      <c r="AF8" s="1">
        <f t="shared" si="20"/>
        <v>1561900.930767243</v>
      </c>
      <c r="AG8" s="1">
        <f t="shared" si="20"/>
        <v>1797769.3672162581</v>
      </c>
      <c r="AH8" s="1">
        <f t="shared" si="20"/>
        <v>2061380.5875402049</v>
      </c>
      <c r="AI8" s="1">
        <f t="shared" si="20"/>
        <v>2355663.8791657994</v>
      </c>
      <c r="AJ8" s="1">
        <f t="shared" si="20"/>
        <v>2683839.6616912321</v>
      </c>
    </row>
    <row r="9" spans="1:236">
      <c r="B9" s="1" t="s">
        <v>15</v>
      </c>
      <c r="C9" s="1">
        <v>17268</v>
      </c>
      <c r="D9" s="1">
        <v>23156</v>
      </c>
      <c r="E9" s="1">
        <v>26701</v>
      </c>
      <c r="F9" s="1">
        <v>26574</v>
      </c>
      <c r="G9" s="1">
        <v>27106</v>
      </c>
      <c r="H9" s="1">
        <v>33897</v>
      </c>
      <c r="I9" s="1">
        <v>34474</v>
      </c>
      <c r="J9" s="1">
        <v>34659</v>
      </c>
      <c r="K9" s="1">
        <v>35587</v>
      </c>
      <c r="L9" s="1">
        <v>40992</v>
      </c>
      <c r="M9" s="1">
        <v>41754</v>
      </c>
      <c r="N9" s="1">
        <f t="shared" ref="N9:N21" si="21">+Z9-SUM(K9:M9)</f>
        <v>43392</v>
      </c>
      <c r="O9" s="1">
        <v>43718</v>
      </c>
      <c r="P9" s="1">
        <v>49883</v>
      </c>
      <c r="W9" s="1">
        <v>66154</v>
      </c>
      <c r="X9" s="1">
        <f t="shared" ref="X9:X24" si="22">SUM(C9:F9)</f>
        <v>93699</v>
      </c>
      <c r="Y9" s="1">
        <f t="shared" ref="Y9:Z24" si="23">SUM(G9:J9)</f>
        <v>130136</v>
      </c>
      <c r="Z9" s="1">
        <v>161725</v>
      </c>
      <c r="AA9" s="1">
        <f>+AA$8*Z31</f>
        <v>210520.16337476479</v>
      </c>
      <c r="AB9" s="1">
        <f>+AB$8*(AA9/AA$8)</f>
        <v>249633.95046382313</v>
      </c>
      <c r="AC9" s="1">
        <f t="shared" ref="AC9:AJ9" si="24">+AC$8*(AB9/AB$8)</f>
        <v>293658.61444153235</v>
      </c>
      <c r="AD9" s="1">
        <f t="shared" si="24"/>
        <v>343129.56737270654</v>
      </c>
      <c r="AE9" s="1">
        <f t="shared" si="24"/>
        <v>398636.45764044282</v>
      </c>
      <c r="AF9" s="1">
        <f t="shared" si="24"/>
        <v>460828.42111983156</v>
      </c>
      <c r="AG9" s="1">
        <f t="shared" si="24"/>
        <v>530419.82542702369</v>
      </c>
      <c r="AH9" s="1">
        <f t="shared" si="24"/>
        <v>608196.55252819962</v>
      </c>
      <c r="AI9" s="1">
        <f t="shared" si="24"/>
        <v>695022.86908283073</v>
      </c>
      <c r="AJ9" s="1">
        <f t="shared" si="24"/>
        <v>791848.93835002254</v>
      </c>
    </row>
    <row r="10" spans="1:236">
      <c r="B10" s="1" t="s">
        <v>16</v>
      </c>
      <c r="C10" s="1">
        <v>22292</v>
      </c>
      <c r="D10" s="1">
        <v>26735</v>
      </c>
      <c r="E10" s="1">
        <v>30316</v>
      </c>
      <c r="F10" s="1">
        <v>31025</v>
      </c>
      <c r="G10" s="1">
        <v>34302</v>
      </c>
      <c r="H10" s="1">
        <v>37013</v>
      </c>
      <c r="I10" s="1">
        <v>38006</v>
      </c>
      <c r="J10" s="1">
        <v>38153</v>
      </c>
      <c r="K10" s="1">
        <v>39243</v>
      </c>
      <c r="L10" s="1">
        <v>43513</v>
      </c>
      <c r="M10" s="1">
        <v>43750</v>
      </c>
      <c r="N10" s="1">
        <f t="shared" si="21"/>
        <v>44800</v>
      </c>
      <c r="O10" s="1">
        <v>45766</v>
      </c>
      <c r="P10" s="1">
        <v>49668</v>
      </c>
      <c r="W10" s="1">
        <v>83691</v>
      </c>
      <c r="X10" s="1">
        <f t="shared" si="22"/>
        <v>110368</v>
      </c>
      <c r="Y10" s="1">
        <f t="shared" si="23"/>
        <v>147474</v>
      </c>
      <c r="Z10" s="1">
        <v>171306</v>
      </c>
      <c r="AA10" s="1">
        <f>+AA$8*Z32</f>
        <v>176434.21035035115</v>
      </c>
      <c r="AB10" s="1">
        <f t="shared" ref="AB10:AJ15" si="25">+AB$8*(AA10/AA$8)</f>
        <v>209214.9664938123</v>
      </c>
      <c r="AC10" s="1">
        <f t="shared" si="25"/>
        <v>246111.46467398503</v>
      </c>
      <c r="AD10" s="1">
        <f t="shared" si="25"/>
        <v>287572.42677742499</v>
      </c>
      <c r="AE10" s="1">
        <f t="shared" si="25"/>
        <v>334092.02944350179</v>
      </c>
      <c r="AF10" s="1">
        <f t="shared" si="25"/>
        <v>386214.30500477541</v>
      </c>
      <c r="AG10" s="1">
        <f t="shared" si="25"/>
        <v>444537.95566741441</v>
      </c>
      <c r="AH10" s="1">
        <f t="shared" si="25"/>
        <v>509721.61888404505</v>
      </c>
      <c r="AI10" s="1">
        <f t="shared" si="25"/>
        <v>582489.62529906514</v>
      </c>
      <c r="AJ10" s="1">
        <f t="shared" si="25"/>
        <v>663638.29437963071</v>
      </c>
    </row>
    <row r="11" spans="1:236">
      <c r="B11" s="1" t="s">
        <v>17</v>
      </c>
      <c r="C11" s="1">
        <v>10049</v>
      </c>
      <c r="D11" s="1">
        <v>11817</v>
      </c>
      <c r="E11" s="1">
        <v>14053</v>
      </c>
      <c r="F11" s="1">
        <v>10129</v>
      </c>
      <c r="G11" s="1">
        <v>10517</v>
      </c>
      <c r="H11" s="1">
        <v>11150</v>
      </c>
      <c r="I11" s="1">
        <v>11504</v>
      </c>
      <c r="J11" s="1">
        <v>12067</v>
      </c>
      <c r="K11" s="1">
        <v>12630</v>
      </c>
      <c r="L11" s="1">
        <v>13526</v>
      </c>
      <c r="M11" s="1">
        <v>13961</v>
      </c>
      <c r="N11" s="1">
        <f t="shared" si="21"/>
        <v>14164</v>
      </c>
      <c r="O11" s="1">
        <v>14448</v>
      </c>
      <c r="P11" s="1">
        <v>15021</v>
      </c>
      <c r="W11" s="1">
        <v>32308</v>
      </c>
      <c r="X11" s="1">
        <f t="shared" si="22"/>
        <v>46048</v>
      </c>
      <c r="Y11" s="1">
        <f t="shared" si="23"/>
        <v>45238</v>
      </c>
      <c r="Z11" s="1">
        <v>54281</v>
      </c>
      <c r="AA11" s="1">
        <f>+AA$8*Z33</f>
        <v>36375.928391835383</v>
      </c>
      <c r="AB11" s="1">
        <f t="shared" si="25"/>
        <v>43134.427413861289</v>
      </c>
      <c r="AC11" s="1">
        <f t="shared" si="25"/>
        <v>50741.480337703593</v>
      </c>
      <c r="AD11" s="1">
        <f t="shared" si="25"/>
        <v>59289.601393911958</v>
      </c>
      <c r="AE11" s="1">
        <f t="shared" si="25"/>
        <v>68880.676344952357</v>
      </c>
      <c r="AF11" s="1">
        <f t="shared" si="25"/>
        <v>79626.869839238178</v>
      </c>
      <c r="AG11" s="1">
        <f t="shared" si="25"/>
        <v>91651.617964002042</v>
      </c>
      <c r="AH11" s="1">
        <f t="shared" si="25"/>
        <v>105090.71382175699</v>
      </c>
      <c r="AI11" s="1">
        <f t="shared" si="25"/>
        <v>120093.49466178312</v>
      </c>
      <c r="AJ11" s="1">
        <f t="shared" si="25"/>
        <v>136824.13986775422</v>
      </c>
    </row>
    <row r="12" spans="1:236">
      <c r="B12" s="1" t="s">
        <v>18</v>
      </c>
      <c r="C12" s="1">
        <v>9681</v>
      </c>
      <c r="D12" s="1">
        <v>11669</v>
      </c>
      <c r="E12" s="1">
        <v>11640</v>
      </c>
      <c r="F12" s="1">
        <v>16353</v>
      </c>
      <c r="G12" s="1">
        <v>17275</v>
      </c>
      <c r="H12" s="1">
        <v>19715</v>
      </c>
      <c r="I12" s="1">
        <v>20113</v>
      </c>
      <c r="J12" s="1">
        <v>20868</v>
      </c>
      <c r="K12" s="1">
        <v>20665</v>
      </c>
      <c r="L12" s="1">
        <v>23405</v>
      </c>
      <c r="M12" s="1">
        <v>24850</v>
      </c>
      <c r="N12" s="1">
        <f t="shared" si="21"/>
        <v>25889</v>
      </c>
      <c r="O12" s="1">
        <v>25381</v>
      </c>
      <c r="P12" s="1">
        <v>28550</v>
      </c>
      <c r="W12" s="1">
        <v>47164</v>
      </c>
      <c r="X12" s="1">
        <f t="shared" si="22"/>
        <v>49343</v>
      </c>
      <c r="Y12" s="1">
        <f t="shared" si="23"/>
        <v>77971</v>
      </c>
      <c r="Z12" s="1">
        <v>94809</v>
      </c>
      <c r="AA12" s="1">
        <f>+AA$8*Z34</f>
        <v>103269.85153328994</v>
      </c>
      <c r="AB12" s="1">
        <f t="shared" si="25"/>
        <v>122456.96843857713</v>
      </c>
      <c r="AC12" s="1">
        <f t="shared" si="25"/>
        <v>144053.09699889721</v>
      </c>
      <c r="AD12" s="1">
        <f t="shared" si="25"/>
        <v>168320.8815308616</v>
      </c>
      <c r="AE12" s="1">
        <f t="shared" si="25"/>
        <v>195549.57176714737</v>
      </c>
      <c r="AF12" s="1">
        <f t="shared" si="25"/>
        <v>226057.59879944133</v>
      </c>
      <c r="AG12" s="1">
        <f t="shared" si="25"/>
        <v>260195.3928975926</v>
      </c>
      <c r="AH12" s="1">
        <f t="shared" si="25"/>
        <v>298348.46541913162</v>
      </c>
      <c r="AI12" s="1">
        <f t="shared" si="25"/>
        <v>340940.77902957232</v>
      </c>
      <c r="AJ12" s="1">
        <f t="shared" si="25"/>
        <v>388438.43263900111</v>
      </c>
    </row>
    <row r="13" spans="1:236">
      <c r="B13" s="1" t="s">
        <v>19</v>
      </c>
      <c r="C13" s="1">
        <v>23380</v>
      </c>
      <c r="D13" s="1">
        <v>26081</v>
      </c>
      <c r="E13" s="1">
        <v>28944</v>
      </c>
      <c r="F13" s="1">
        <v>46645</v>
      </c>
      <c r="G13" s="1">
        <v>50199</v>
      </c>
      <c r="H13" s="1">
        <v>51798</v>
      </c>
      <c r="I13" s="1">
        <v>41903</v>
      </c>
      <c r="J13" s="1">
        <v>43467</v>
      </c>
      <c r="K13" s="1">
        <v>34907</v>
      </c>
      <c r="L13" s="1">
        <v>40350</v>
      </c>
      <c r="M13" s="1">
        <v>35963</v>
      </c>
      <c r="N13" s="1">
        <f t="shared" si="21"/>
        <v>35542</v>
      </c>
      <c r="O13" s="1">
        <v>36865</v>
      </c>
      <c r="P13" s="1">
        <v>39202</v>
      </c>
      <c r="W13" s="1">
        <v>99142</v>
      </c>
      <c r="X13" s="1">
        <f t="shared" si="22"/>
        <v>125050</v>
      </c>
      <c r="Y13" s="1">
        <f t="shared" si="23"/>
        <v>187367</v>
      </c>
      <c r="Z13" s="1">
        <v>146762</v>
      </c>
      <c r="AA13" s="1">
        <f>+AA$8*Z35</f>
        <v>45795.459667714422</v>
      </c>
      <c r="AB13" s="1">
        <f t="shared" si="25"/>
        <v>54304.06915373222</v>
      </c>
      <c r="AC13" s="1">
        <f t="shared" si="25"/>
        <v>63880.965215639495</v>
      </c>
      <c r="AD13" s="1">
        <f t="shared" si="25"/>
        <v>74642.618604868054</v>
      </c>
      <c r="AE13" s="1">
        <f t="shared" si="25"/>
        <v>86717.298358993081</v>
      </c>
      <c r="AF13" s="1">
        <f t="shared" si="25"/>
        <v>100246.21411470696</v>
      </c>
      <c r="AG13" s="1">
        <f t="shared" si="25"/>
        <v>115384.76568183753</v>
      </c>
      <c r="AH13" s="1">
        <f t="shared" si="25"/>
        <v>132303.90972937481</v>
      </c>
      <c r="AI13" s="1">
        <f t="shared" si="25"/>
        <v>151191.65432415434</v>
      </c>
      <c r="AJ13" s="1">
        <f t="shared" si="25"/>
        <v>172254.69303183063</v>
      </c>
    </row>
    <row r="14" spans="1:236">
      <c r="B14" s="1" t="s">
        <v>20</v>
      </c>
      <c r="C14" s="1">
        <v>7847</v>
      </c>
      <c r="D14" s="1">
        <v>8408</v>
      </c>
      <c r="E14" s="1">
        <v>9303</v>
      </c>
      <c r="F14" s="1">
        <v>9991</v>
      </c>
      <c r="G14" s="1">
        <v>10677</v>
      </c>
      <c r="H14" s="1">
        <v>11305</v>
      </c>
      <c r="I14" s="1">
        <v>11887</v>
      </c>
      <c r="J14" s="1">
        <v>12602</v>
      </c>
      <c r="K14" s="1">
        <v>13110</v>
      </c>
      <c r="L14" s="1">
        <v>14518</v>
      </c>
      <c r="M14" s="1">
        <v>15682</v>
      </c>
      <c r="N14" s="1">
        <f t="shared" si="21"/>
        <v>16181</v>
      </c>
      <c r="O14" s="1">
        <v>16427</v>
      </c>
      <c r="P14" s="1">
        <v>16737</v>
      </c>
      <c r="W14" s="1">
        <v>26851</v>
      </c>
      <c r="X14" s="1">
        <f t="shared" si="22"/>
        <v>35549</v>
      </c>
      <c r="Y14" s="1">
        <f t="shared" si="23"/>
        <v>46471</v>
      </c>
      <c r="Z14" s="1">
        <v>59491</v>
      </c>
      <c r="AA14" s="1">
        <f>+AA$8*Z36</f>
        <v>23085.802427318209</v>
      </c>
      <c r="AB14" s="1">
        <f t="shared" si="25"/>
        <v>27375.050290548923</v>
      </c>
      <c r="AC14" s="1">
        <f t="shared" si="25"/>
        <v>32202.828676361714</v>
      </c>
      <c r="AD14" s="1">
        <f t="shared" si="25"/>
        <v>37627.851282045049</v>
      </c>
      <c r="AE14" s="1">
        <f t="shared" si="25"/>
        <v>43714.779401108986</v>
      </c>
      <c r="AF14" s="1">
        <f t="shared" si="25"/>
        <v>50534.797771018078</v>
      </c>
      <c r="AG14" s="1">
        <f t="shared" si="25"/>
        <v>58166.244491945523</v>
      </c>
      <c r="AH14" s="1">
        <f t="shared" si="25"/>
        <v>66695.299982486831</v>
      </c>
      <c r="AI14" s="1">
        <f t="shared" si="25"/>
        <v>76216.740386766323</v>
      </c>
      <c r="AJ14" s="1">
        <f t="shared" si="25"/>
        <v>86834.761335842617</v>
      </c>
    </row>
    <row r="15" spans="1:236">
      <c r="B15" s="1" t="s">
        <v>21</v>
      </c>
      <c r="C15" s="1">
        <v>961</v>
      </c>
      <c r="D15" s="1">
        <v>2506</v>
      </c>
      <c r="E15" s="1">
        <v>2789</v>
      </c>
      <c r="F15" s="1">
        <v>2937</v>
      </c>
      <c r="G15" s="1">
        <v>2512</v>
      </c>
      <c r="H15" s="1">
        <v>2520</v>
      </c>
      <c r="I15" s="1">
        <v>3061</v>
      </c>
      <c r="J15" s="1">
        <v>3430</v>
      </c>
      <c r="K15" s="1">
        <v>3366</v>
      </c>
      <c r="L15" s="1">
        <v>2302</v>
      </c>
      <c r="M15" s="1">
        <v>2522</v>
      </c>
      <c r="N15" s="1">
        <f t="shared" si="21"/>
        <v>1073</v>
      </c>
      <c r="O15" s="1">
        <v>1432</v>
      </c>
      <c r="P15" s="1">
        <v>1104</v>
      </c>
      <c r="W15" s="1">
        <v>4551</v>
      </c>
      <c r="X15" s="1">
        <f t="shared" si="22"/>
        <v>9193</v>
      </c>
      <c r="Y15" s="1">
        <f t="shared" si="23"/>
        <v>11523</v>
      </c>
      <c r="Z15" s="1">
        <v>9263</v>
      </c>
      <c r="AA15" s="1">
        <f>+AA$8*Z37</f>
        <v>2669.3731549224117</v>
      </c>
      <c r="AB15" s="1">
        <f t="shared" si="25"/>
        <v>3165.3317917063632</v>
      </c>
      <c r="AC15" s="1">
        <f t="shared" si="25"/>
        <v>3723.5598221842442</v>
      </c>
      <c r="AD15" s="1">
        <f t="shared" si="25"/>
        <v>4350.8462140716656</v>
      </c>
      <c r="AE15" s="1">
        <f t="shared" si="25"/>
        <v>5054.6676457990943</v>
      </c>
      <c r="AF15" s="1">
        <f t="shared" si="25"/>
        <v>5843.2550908328531</v>
      </c>
      <c r="AG15" s="1">
        <f t="shared" si="25"/>
        <v>6725.6666541389004</v>
      </c>
      <c r="AH15" s="1">
        <f t="shared" si="25"/>
        <v>7711.8672349925828</v>
      </c>
      <c r="AI15" s="1">
        <f t="shared" si="25"/>
        <v>8812.8156421963668</v>
      </c>
      <c r="AJ15" s="1">
        <f t="shared" si="25"/>
        <v>10040.559844248806</v>
      </c>
    </row>
    <row r="16" spans="1:236">
      <c r="B16" s="1" t="s">
        <v>22</v>
      </c>
      <c r="C16" s="1">
        <f t="shared" ref="C16:O16" si="26">+C8-SUM(C9:C15)</f>
        <v>-30086</v>
      </c>
      <c r="D16" s="1">
        <f t="shared" si="26"/>
        <v>-24160</v>
      </c>
      <c r="E16" s="1">
        <f t="shared" si="26"/>
        <v>-27902</v>
      </c>
      <c r="F16" s="1">
        <f t="shared" si="26"/>
        <v>-47228</v>
      </c>
      <c r="G16" s="1">
        <f t="shared" si="26"/>
        <v>-49997</v>
      </c>
      <c r="H16" s="1">
        <f t="shared" si="26"/>
        <v>-42480</v>
      </c>
      <c r="I16" s="1">
        <f t="shared" si="26"/>
        <v>-36922</v>
      </c>
      <c r="J16" s="1">
        <f t="shared" si="26"/>
        <v>-46676</v>
      </c>
      <c r="K16" s="1">
        <f t="shared" si="26"/>
        <v>-34446</v>
      </c>
      <c r="L16" s="1">
        <f t="shared" si="26"/>
        <v>-26081</v>
      </c>
      <c r="M16" s="1">
        <f t="shared" si="26"/>
        <v>-25054</v>
      </c>
      <c r="N16" s="1">
        <f t="shared" si="26"/>
        <v>-28015</v>
      </c>
      <c r="O16" s="1">
        <f t="shared" si="26"/>
        <v>-26187</v>
      </c>
      <c r="P16" s="1">
        <f t="shared" ref="P16" si="27">+P8-SUM(P9:P15)</f>
        <v>-15524</v>
      </c>
      <c r="W16" s="1">
        <f>+W8-SUM(W9:W15)</f>
        <v>-139246</v>
      </c>
      <c r="X16" s="1">
        <f t="shared" si="22"/>
        <v>-129376</v>
      </c>
      <c r="Y16" s="1">
        <f t="shared" si="23"/>
        <v>-176075</v>
      </c>
      <c r="Z16" s="1">
        <f t="shared" si="23"/>
        <v>-160524</v>
      </c>
      <c r="AA16" s="1">
        <f>+AA8-SUM(AA9:AA15)</f>
        <v>115372.12776647054</v>
      </c>
      <c r="AB16" s="1">
        <f t="shared" ref="AB16:AJ16" si="28">+AB8-SUM(AB9:AB15)</f>
        <v>136807.79819883662</v>
      </c>
      <c r="AC16" s="1">
        <f t="shared" si="28"/>
        <v>160934.79428267619</v>
      </c>
      <c r="AD16" s="1">
        <f t="shared" si="28"/>
        <v>188046.53983145754</v>
      </c>
      <c r="AE16" s="1">
        <f t="shared" si="28"/>
        <v>218466.1819846346</v>
      </c>
      <c r="AF16" s="1">
        <f t="shared" si="28"/>
        <v>252549.46902739862</v>
      </c>
      <c r="AG16" s="1">
        <f t="shared" si="28"/>
        <v>290687.89843230345</v>
      </c>
      <c r="AH16" s="1">
        <f t="shared" si="28"/>
        <v>333312.15994021762</v>
      </c>
      <c r="AI16" s="1">
        <f t="shared" si="28"/>
        <v>380895.90073943092</v>
      </c>
      <c r="AJ16" s="1">
        <f t="shared" si="28"/>
        <v>433959.84224290121</v>
      </c>
    </row>
    <row r="17" spans="2:236">
      <c r="B17" s="1" t="s">
        <v>23</v>
      </c>
      <c r="C17" s="1">
        <v>-112</v>
      </c>
      <c r="D17" s="1">
        <v>-109</v>
      </c>
      <c r="E17" s="1">
        <v>-78</v>
      </c>
      <c r="F17" s="1">
        <v>-151</v>
      </c>
      <c r="G17" s="1">
        <v>-168</v>
      </c>
      <c r="H17" s="1">
        <v>-593</v>
      </c>
      <c r="I17" s="1">
        <v>-1644</v>
      </c>
      <c r="J17" s="1">
        <v>-2738</v>
      </c>
      <c r="K17" s="1">
        <v>-3062</v>
      </c>
      <c r="L17" s="1">
        <v>-3251</v>
      </c>
      <c r="M17" s="1">
        <v>-3381</v>
      </c>
      <c r="N17" s="1">
        <f t="shared" si="21"/>
        <v>-3248</v>
      </c>
      <c r="O17" s="1">
        <v>-3016</v>
      </c>
      <c r="P17" s="1">
        <v>-2920</v>
      </c>
      <c r="W17" s="1">
        <v>-1018</v>
      </c>
      <c r="X17" s="1">
        <f t="shared" si="22"/>
        <v>-450</v>
      </c>
      <c r="Y17" s="1">
        <f t="shared" si="23"/>
        <v>-5143</v>
      </c>
      <c r="Z17" s="1">
        <v>-12942</v>
      </c>
      <c r="AA17" s="1">
        <f>+AA16*(Z17/Z16)</f>
        <v>9301.6999174806369</v>
      </c>
      <c r="AB17" s="1">
        <f t="shared" ref="AB17:AJ17" si="29">+AB16*(AA17/AA16)</f>
        <v>11029.91779602641</v>
      </c>
      <c r="AC17" s="1">
        <f t="shared" si="29"/>
        <v>12975.119655667659</v>
      </c>
      <c r="AD17" s="1">
        <f t="shared" si="29"/>
        <v>15160.962338956937</v>
      </c>
      <c r="AE17" s="1">
        <f t="shared" si="29"/>
        <v>17613.499085776213</v>
      </c>
      <c r="AF17" s="1">
        <f t="shared" si="29"/>
        <v>20361.411553117247</v>
      </c>
      <c r="AG17" s="1">
        <f t="shared" si="29"/>
        <v>23436.263621083894</v>
      </c>
      <c r="AH17" s="1">
        <f t="shared" si="29"/>
        <v>26872.778985985249</v>
      </c>
      <c r="AI17" s="1">
        <f t="shared" si="29"/>
        <v>30709.144722095854</v>
      </c>
      <c r="AJ17" s="1">
        <f t="shared" si="29"/>
        <v>34987.343190473868</v>
      </c>
    </row>
    <row r="18" spans="2:236">
      <c r="B18" s="1" t="s">
        <v>24</v>
      </c>
      <c r="C18" s="1">
        <v>20</v>
      </c>
      <c r="D18" s="1">
        <v>23</v>
      </c>
      <c r="E18" s="1">
        <v>23</v>
      </c>
      <c r="F18" s="1">
        <v>22</v>
      </c>
      <c r="G18" s="1">
        <v>23</v>
      </c>
      <c r="H18" s="1">
        <v>22</v>
      </c>
      <c r="I18" s="1">
        <v>23</v>
      </c>
      <c r="J18" s="1">
        <v>15</v>
      </c>
      <c r="K18" s="1">
        <v>21</v>
      </c>
      <c r="L18" s="1">
        <v>18</v>
      </c>
      <c r="M18" s="1">
        <v>19</v>
      </c>
      <c r="N18" s="1">
        <f t="shared" si="21"/>
        <v>70</v>
      </c>
      <c r="O18" s="1">
        <v>19</v>
      </c>
      <c r="P18" s="1">
        <v>197</v>
      </c>
      <c r="W18" s="1">
        <v>404</v>
      </c>
      <c r="X18" s="1">
        <f t="shared" si="22"/>
        <v>88</v>
      </c>
      <c r="Y18" s="1">
        <f t="shared" si="23"/>
        <v>83</v>
      </c>
      <c r="Z18" s="1">
        <v>128</v>
      </c>
      <c r="AA18" s="1">
        <f>+AA16*(Z18/Z16)</f>
        <v>-91.996413957465734</v>
      </c>
      <c r="AB18" s="1">
        <f t="shared" ref="AB18:AJ18" si="30">+AB16*(AA18/AA16)</f>
        <v>-109.08897217519554</v>
      </c>
      <c r="AC18" s="1">
        <f t="shared" si="30"/>
        <v>-128.32756265843457</v>
      </c>
      <c r="AD18" s="1">
        <f t="shared" si="30"/>
        <v>-149.94615819707062</v>
      </c>
      <c r="AE18" s="1">
        <f t="shared" si="30"/>
        <v>-174.2024326208743</v>
      </c>
      <c r="AF18" s="1">
        <f t="shared" si="30"/>
        <v>-201.3800555400253</v>
      </c>
      <c r="AG18" s="1">
        <f t="shared" si="30"/>
        <v>-231.79120255746702</v>
      </c>
      <c r="AH18" s="1">
        <f t="shared" si="30"/>
        <v>-265.77930074224321</v>
      </c>
      <c r="AI18" s="1">
        <f t="shared" si="30"/>
        <v>-303.72203094021546</v>
      </c>
      <c r="AJ18" s="1">
        <f t="shared" si="30"/>
        <v>-346.03461044511312</v>
      </c>
    </row>
    <row r="19" spans="2:236">
      <c r="B19" s="1" t="s">
        <v>18</v>
      </c>
      <c r="C19" s="1">
        <v>0</v>
      </c>
      <c r="D19" s="1">
        <v>2804</v>
      </c>
      <c r="E19" s="1">
        <v>-2196</v>
      </c>
      <c r="F19" s="1">
        <v>18384</v>
      </c>
      <c r="G19" s="1">
        <v>-245</v>
      </c>
      <c r="H19" s="1">
        <v>-1618</v>
      </c>
      <c r="I19" s="1">
        <v>-303</v>
      </c>
      <c r="J19" s="1">
        <v>2985</v>
      </c>
      <c r="K19" s="1">
        <v>1058</v>
      </c>
      <c r="L19" s="1">
        <v>-1073</v>
      </c>
      <c r="M19" s="1">
        <v>1612</v>
      </c>
      <c r="N19" s="1">
        <f t="shared" si="21"/>
        <v>1878</v>
      </c>
      <c r="O19" s="1">
        <v>2059</v>
      </c>
      <c r="P19" s="1">
        <v>909</v>
      </c>
      <c r="W19" s="1">
        <v>245</v>
      </c>
      <c r="X19" s="1">
        <f t="shared" si="22"/>
        <v>18992</v>
      </c>
      <c r="Y19" s="1">
        <f t="shared" si="23"/>
        <v>819</v>
      </c>
      <c r="Z19" s="1">
        <v>3475</v>
      </c>
      <c r="AA19" s="1">
        <f>+AA16*(Z19/Z16)</f>
        <v>-2497.558894548386</v>
      </c>
      <c r="AB19" s="1">
        <f t="shared" ref="AB19:AJ19" si="31">+AB16*(AA19/AA16)</f>
        <v>-2961.5951430375349</v>
      </c>
      <c r="AC19" s="1">
        <f t="shared" si="31"/>
        <v>-3483.892814359845</v>
      </c>
      <c r="AD19" s="1">
        <f t="shared" si="31"/>
        <v>-4070.8039041782845</v>
      </c>
      <c r="AE19" s="1">
        <f t="shared" si="31"/>
        <v>-4729.3238543557682</v>
      </c>
      <c r="AF19" s="1">
        <f t="shared" si="31"/>
        <v>-5467.1538515749071</v>
      </c>
      <c r="AG19" s="1">
        <f t="shared" si="31"/>
        <v>-6292.768975681236</v>
      </c>
      <c r="AH19" s="1">
        <f t="shared" si="31"/>
        <v>-7215.4927349944955</v>
      </c>
      <c r="AI19" s="1">
        <f t="shared" si="31"/>
        <v>-8245.5785743535089</v>
      </c>
      <c r="AJ19" s="1">
        <f t="shared" si="31"/>
        <v>-9394.2989945060053</v>
      </c>
    </row>
    <row r="20" spans="2:236">
      <c r="B20" s="1" t="s">
        <v>25</v>
      </c>
      <c r="C20" s="1">
        <f t="shared" ref="C20:O20" si="32">+C16-SUM(C17:C19)</f>
        <v>-29994</v>
      </c>
      <c r="D20" s="1">
        <f t="shared" si="32"/>
        <v>-26878</v>
      </c>
      <c r="E20" s="1">
        <f t="shared" si="32"/>
        <v>-25651</v>
      </c>
      <c r="F20" s="1">
        <f t="shared" si="32"/>
        <v>-65483</v>
      </c>
      <c r="G20" s="1">
        <f t="shared" si="32"/>
        <v>-49607</v>
      </c>
      <c r="H20" s="1">
        <f t="shared" si="32"/>
        <v>-40291</v>
      </c>
      <c r="I20" s="1">
        <f t="shared" si="32"/>
        <v>-34998</v>
      </c>
      <c r="J20" s="1">
        <f t="shared" si="32"/>
        <v>-46938</v>
      </c>
      <c r="K20" s="1">
        <f t="shared" si="32"/>
        <v>-32463</v>
      </c>
      <c r="L20" s="1">
        <f t="shared" si="32"/>
        <v>-21775</v>
      </c>
      <c r="M20" s="1">
        <f t="shared" si="32"/>
        <v>-23304</v>
      </c>
      <c r="N20" s="1">
        <f t="shared" si="32"/>
        <v>-26715</v>
      </c>
      <c r="O20" s="1">
        <f t="shared" si="32"/>
        <v>-25249</v>
      </c>
      <c r="P20" s="1">
        <f t="shared" ref="P20" si="33">+P16-SUM(P17:P19)</f>
        <v>-13710</v>
      </c>
      <c r="W20" s="1">
        <f>+W16-SUM(W17:W19)</f>
        <v>-138877</v>
      </c>
      <c r="X20" s="1">
        <f t="shared" si="22"/>
        <v>-148006</v>
      </c>
      <c r="Y20" s="1">
        <f t="shared" si="23"/>
        <v>-171834</v>
      </c>
      <c r="Z20" s="1">
        <f t="shared" si="23"/>
        <v>-154690</v>
      </c>
      <c r="AA20" s="1">
        <f>+AA16-SUM(AA17:AA19)</f>
        <v>108659.98315749575</v>
      </c>
      <c r="AB20" s="1">
        <f t="shared" ref="AB20:AJ20" si="34">+AB16-SUM(AB17:AB19)</f>
        <v>128848.56451802295</v>
      </c>
      <c r="AC20" s="1">
        <f t="shared" si="34"/>
        <v>151571.8950040268</v>
      </c>
      <c r="AD20" s="1">
        <f t="shared" si="34"/>
        <v>177106.32755487596</v>
      </c>
      <c r="AE20" s="1">
        <f t="shared" si="34"/>
        <v>205756.20918583503</v>
      </c>
      <c r="AF20" s="1">
        <f t="shared" si="34"/>
        <v>237856.59138139631</v>
      </c>
      <c r="AG20" s="1">
        <f t="shared" si="34"/>
        <v>273776.19498945825</v>
      </c>
      <c r="AH20" s="1">
        <f t="shared" si="34"/>
        <v>313920.65298996912</v>
      </c>
      <c r="AI20" s="1">
        <f t="shared" si="34"/>
        <v>358736.05662262876</v>
      </c>
      <c r="AJ20" s="1">
        <f t="shared" si="34"/>
        <v>408712.83265737846</v>
      </c>
    </row>
    <row r="21" spans="2:236">
      <c r="B21" s="1" t="s">
        <v>26</v>
      </c>
      <c r="C21" s="1">
        <v>0</v>
      </c>
      <c r="D21" s="1">
        <v>0</v>
      </c>
      <c r="E21" s="1">
        <v>0</v>
      </c>
      <c r="F21" s="1">
        <v>147</v>
      </c>
      <c r="G21" s="1">
        <v>20</v>
      </c>
      <c r="H21" s="1">
        <v>20</v>
      </c>
      <c r="I21" s="1">
        <v>20</v>
      </c>
      <c r="J21" s="1">
        <v>1285</v>
      </c>
      <c r="K21" s="1">
        <v>318</v>
      </c>
      <c r="L21" s="1">
        <v>318</v>
      </c>
      <c r="M21" s="1">
        <v>318</v>
      </c>
      <c r="N21" s="1">
        <f t="shared" si="21"/>
        <v>-575</v>
      </c>
      <c r="O21" s="1">
        <v>90</v>
      </c>
      <c r="P21" s="1">
        <v>90</v>
      </c>
      <c r="W21" s="1">
        <v>0</v>
      </c>
      <c r="X21" s="1">
        <f t="shared" si="22"/>
        <v>147</v>
      </c>
      <c r="Y21" s="1">
        <f t="shared" si="23"/>
        <v>1345</v>
      </c>
      <c r="Z21" s="1">
        <v>379</v>
      </c>
      <c r="AA21" s="1">
        <f>+AA20*(Z21/Z20)</f>
        <v>-266.22363188758737</v>
      </c>
      <c r="AB21" s="1">
        <f t="shared" ref="AB21:AJ21" si="35">+AB20*(AA21/AA20)</f>
        <v>-315.68689606523174</v>
      </c>
      <c r="AC21" s="1">
        <f t="shared" si="35"/>
        <v>-371.36045126721928</v>
      </c>
      <c r="AD21" s="1">
        <f t="shared" si="35"/>
        <v>-433.92137916670748</v>
      </c>
      <c r="AE21" s="1">
        <f t="shared" si="35"/>
        <v>-504.1153486420032</v>
      </c>
      <c r="AF21" s="1">
        <f t="shared" si="35"/>
        <v>-582.76325640667915</v>
      </c>
      <c r="AG21" s="1">
        <f t="shared" si="35"/>
        <v>-670.76849118239488</v>
      </c>
      <c r="AH21" s="1">
        <f t="shared" si="35"/>
        <v>-769.12487868122241</v>
      </c>
      <c r="AI21" s="1">
        <f t="shared" si="35"/>
        <v>-878.92536983629384</v>
      </c>
      <c r="AJ21" s="1">
        <f t="shared" si="35"/>
        <v>-1001.3715403526177</v>
      </c>
    </row>
    <row r="22" spans="2:236">
      <c r="B22" s="1" t="s">
        <v>27</v>
      </c>
      <c r="C22" s="1">
        <f t="shared" ref="C22:O22" si="36">+C20-C21</f>
        <v>-29994</v>
      </c>
      <c r="D22" s="1">
        <f t="shared" si="36"/>
        <v>-26878</v>
      </c>
      <c r="E22" s="1">
        <f t="shared" si="36"/>
        <v>-25651</v>
      </c>
      <c r="F22" s="1">
        <f t="shared" si="36"/>
        <v>-65630</v>
      </c>
      <c r="G22" s="1">
        <f t="shared" si="36"/>
        <v>-49627</v>
      </c>
      <c r="H22" s="1">
        <f t="shared" si="36"/>
        <v>-40311</v>
      </c>
      <c r="I22" s="1">
        <f t="shared" si="36"/>
        <v>-35018</v>
      </c>
      <c r="J22" s="1">
        <f t="shared" si="36"/>
        <v>-48223</v>
      </c>
      <c r="K22" s="1">
        <f t="shared" si="36"/>
        <v>-32781</v>
      </c>
      <c r="L22" s="1">
        <f t="shared" si="36"/>
        <v>-22093</v>
      </c>
      <c r="M22" s="1">
        <f t="shared" si="36"/>
        <v>-23622</v>
      </c>
      <c r="N22" s="1">
        <f t="shared" si="36"/>
        <v>-26140</v>
      </c>
      <c r="O22" s="1">
        <f t="shared" si="36"/>
        <v>-25339</v>
      </c>
      <c r="P22" s="1">
        <f t="shared" ref="P22" si="37">+P20-P21</f>
        <v>-13800</v>
      </c>
      <c r="W22" s="1">
        <f>+W20-W21</f>
        <v>-138877</v>
      </c>
      <c r="X22" s="1">
        <f t="shared" si="22"/>
        <v>-148153</v>
      </c>
      <c r="Y22" s="1">
        <f t="shared" si="23"/>
        <v>-173179</v>
      </c>
      <c r="Z22" s="1">
        <f t="shared" si="23"/>
        <v>-156333</v>
      </c>
      <c r="AA22" s="1">
        <f>+AA20-AA21</f>
        <v>108926.20678938333</v>
      </c>
      <c r="AB22" s="1">
        <f t="shared" ref="AB22:AJ22" si="38">+AB20-AB21</f>
        <v>129164.25141408818</v>
      </c>
      <c r="AC22" s="1">
        <f t="shared" si="38"/>
        <v>151943.25545529401</v>
      </c>
      <c r="AD22" s="1">
        <f t="shared" si="38"/>
        <v>177540.24893404267</v>
      </c>
      <c r="AE22" s="1">
        <f t="shared" si="38"/>
        <v>206260.32453447703</v>
      </c>
      <c r="AF22" s="1">
        <f t="shared" si="38"/>
        <v>238439.35463780299</v>
      </c>
      <c r="AG22" s="1">
        <f t="shared" si="38"/>
        <v>274446.96348064067</v>
      </c>
      <c r="AH22" s="1">
        <f t="shared" si="38"/>
        <v>314689.77786865033</v>
      </c>
      <c r="AI22" s="1">
        <f t="shared" si="38"/>
        <v>359614.98199246504</v>
      </c>
      <c r="AJ22" s="1">
        <f t="shared" si="38"/>
        <v>409714.2041977311</v>
      </c>
      <c r="AK22" s="1">
        <f>+AJ22*(1+$AN$26)</f>
        <v>413811.34623970842</v>
      </c>
      <c r="AL22" s="1">
        <f t="shared" ref="AL22:CW22" si="39">+AK22*(1+$AN$26)</f>
        <v>417949.45970210549</v>
      </c>
      <c r="AM22" s="1">
        <f t="shared" si="39"/>
        <v>422128.95429912658</v>
      </c>
      <c r="AN22" s="1">
        <f t="shared" si="39"/>
        <v>426350.24384211784</v>
      </c>
      <c r="AO22" s="1">
        <f t="shared" si="39"/>
        <v>430613.74628053902</v>
      </c>
      <c r="AP22" s="1">
        <f t="shared" si="39"/>
        <v>434919.8837433444</v>
      </c>
      <c r="AQ22" s="1">
        <f t="shared" si="39"/>
        <v>439269.08258077787</v>
      </c>
      <c r="AR22" s="1">
        <f t="shared" si="39"/>
        <v>443661.77340658568</v>
      </c>
      <c r="AS22" s="1">
        <f t="shared" si="39"/>
        <v>448098.39114065154</v>
      </c>
      <c r="AT22" s="1">
        <f t="shared" si="39"/>
        <v>452579.37505205808</v>
      </c>
      <c r="AU22" s="1">
        <f t="shared" si="39"/>
        <v>457105.16880257864</v>
      </c>
      <c r="AV22" s="1">
        <f t="shared" si="39"/>
        <v>461676.22049060441</v>
      </c>
      <c r="AW22" s="1">
        <f t="shared" si="39"/>
        <v>466292.98269551044</v>
      </c>
      <c r="AX22" s="1">
        <f t="shared" si="39"/>
        <v>470955.91252246557</v>
      </c>
      <c r="AY22" s="1">
        <f t="shared" si="39"/>
        <v>475665.47164769022</v>
      </c>
      <c r="AZ22" s="1">
        <f t="shared" si="39"/>
        <v>480422.12636416714</v>
      </c>
      <c r="BA22" s="1">
        <f t="shared" si="39"/>
        <v>485226.34762780881</v>
      </c>
      <c r="BB22" s="1">
        <f t="shared" si="39"/>
        <v>490078.61110408691</v>
      </c>
      <c r="BC22" s="1">
        <f t="shared" si="39"/>
        <v>494979.39721512777</v>
      </c>
      <c r="BD22" s="1">
        <f t="shared" si="39"/>
        <v>499929.19118727907</v>
      </c>
      <c r="BE22" s="1">
        <f t="shared" si="39"/>
        <v>504928.48309915187</v>
      </c>
      <c r="BF22" s="1">
        <f t="shared" si="39"/>
        <v>509977.7679301434</v>
      </c>
      <c r="BG22" s="1">
        <f t="shared" si="39"/>
        <v>515077.54560944485</v>
      </c>
      <c r="BH22" s="1">
        <f t="shared" si="39"/>
        <v>520228.32106553932</v>
      </c>
      <c r="BI22" s="1">
        <f t="shared" si="39"/>
        <v>525430.6042761947</v>
      </c>
      <c r="BJ22" s="1">
        <f t="shared" si="39"/>
        <v>530684.91031895671</v>
      </c>
      <c r="BK22" s="1">
        <f t="shared" si="39"/>
        <v>535991.75942214625</v>
      </c>
      <c r="BL22" s="1">
        <f t="shared" si="39"/>
        <v>541351.67701636767</v>
      </c>
      <c r="BM22" s="1">
        <f t="shared" si="39"/>
        <v>546765.19378653134</v>
      </c>
      <c r="BN22" s="1">
        <f t="shared" si="39"/>
        <v>552232.84572439664</v>
      </c>
      <c r="BO22" s="1">
        <f t="shared" si="39"/>
        <v>557755.17418164061</v>
      </c>
      <c r="BP22" s="1">
        <f t="shared" si="39"/>
        <v>563332.72592345707</v>
      </c>
      <c r="BQ22" s="1">
        <f t="shared" si="39"/>
        <v>568966.05318269168</v>
      </c>
      <c r="BR22" s="1">
        <f t="shared" si="39"/>
        <v>574655.71371451858</v>
      </c>
      <c r="BS22" s="1">
        <f t="shared" si="39"/>
        <v>580402.27085166378</v>
      </c>
      <c r="BT22" s="1">
        <f t="shared" si="39"/>
        <v>586206.29356018046</v>
      </c>
      <c r="BU22" s="1">
        <f t="shared" si="39"/>
        <v>592068.35649578227</v>
      </c>
      <c r="BV22" s="1">
        <f t="shared" si="39"/>
        <v>597989.04006074008</v>
      </c>
      <c r="BW22" s="1">
        <f t="shared" si="39"/>
        <v>603968.93046134745</v>
      </c>
      <c r="BX22" s="1">
        <f t="shared" si="39"/>
        <v>610008.61976596096</v>
      </c>
      <c r="BY22" s="1">
        <f t="shared" si="39"/>
        <v>616108.70596362057</v>
      </c>
      <c r="BZ22" s="1">
        <f t="shared" si="39"/>
        <v>622269.79302325682</v>
      </c>
      <c r="CA22" s="1">
        <f t="shared" si="39"/>
        <v>628492.49095348944</v>
      </c>
      <c r="CB22" s="1">
        <f t="shared" si="39"/>
        <v>634777.4158630243</v>
      </c>
      <c r="CC22" s="1">
        <f t="shared" si="39"/>
        <v>641125.19002165459</v>
      </c>
      <c r="CD22" s="1">
        <f t="shared" si="39"/>
        <v>647536.44192187116</v>
      </c>
      <c r="CE22" s="1">
        <f t="shared" si="39"/>
        <v>654011.80634108989</v>
      </c>
      <c r="CF22" s="1">
        <f t="shared" si="39"/>
        <v>660551.92440450075</v>
      </c>
      <c r="CG22" s="1">
        <f t="shared" si="39"/>
        <v>667157.44364854577</v>
      </c>
      <c r="CH22" s="1">
        <f t="shared" si="39"/>
        <v>673829.01808503119</v>
      </c>
      <c r="CI22" s="1">
        <f t="shared" si="39"/>
        <v>680567.3082658815</v>
      </c>
      <c r="CJ22" s="1">
        <f t="shared" si="39"/>
        <v>687372.98134854028</v>
      </c>
      <c r="CK22" s="1">
        <f t="shared" si="39"/>
        <v>694246.71116202569</v>
      </c>
      <c r="CL22" s="1">
        <f t="shared" si="39"/>
        <v>701189.17827364593</v>
      </c>
      <c r="CM22" s="1">
        <f t="shared" si="39"/>
        <v>708201.07005638245</v>
      </c>
      <c r="CN22" s="1">
        <f t="shared" si="39"/>
        <v>715283.08075694623</v>
      </c>
      <c r="CO22" s="1">
        <f t="shared" si="39"/>
        <v>722435.91156451567</v>
      </c>
      <c r="CP22" s="1">
        <f t="shared" si="39"/>
        <v>729660.27068016084</v>
      </c>
      <c r="CQ22" s="1">
        <f t="shared" si="39"/>
        <v>736956.87338696246</v>
      </c>
      <c r="CR22" s="1">
        <f t="shared" si="39"/>
        <v>744326.44212083204</v>
      </c>
      <c r="CS22" s="1">
        <f t="shared" si="39"/>
        <v>751769.70654204034</v>
      </c>
      <c r="CT22" s="1">
        <f t="shared" si="39"/>
        <v>759287.40360746079</v>
      </c>
      <c r="CU22" s="1">
        <f t="shared" si="39"/>
        <v>766880.2776435354</v>
      </c>
      <c r="CV22" s="1">
        <f t="shared" si="39"/>
        <v>774549.08041997079</v>
      </c>
      <c r="CW22" s="1">
        <f t="shared" si="39"/>
        <v>782294.5712241705</v>
      </c>
      <c r="CX22" s="1">
        <f t="shared" ref="CX22:CY22" si="40">+CW22*(1+$AN$26)</f>
        <v>790117.5169364122</v>
      </c>
      <c r="CY22" s="1">
        <f t="shared" si="40"/>
        <v>798018.69210577628</v>
      </c>
      <c r="CZ22" s="1">
        <f t="shared" ref="CZ22:DV22" si="41">+CY22*(1+$AN$26)</f>
        <v>805998.87902683404</v>
      </c>
      <c r="DA22" s="1">
        <f t="shared" si="41"/>
        <v>814058.86781710235</v>
      </c>
      <c r="DB22" s="1">
        <f t="shared" si="41"/>
        <v>822199.45649527339</v>
      </c>
      <c r="DC22" s="1">
        <f t="shared" si="41"/>
        <v>830421.45106022619</v>
      </c>
      <c r="DD22" s="1">
        <f t="shared" si="41"/>
        <v>838725.66557082848</v>
      </c>
      <c r="DE22" s="1">
        <f t="shared" si="41"/>
        <v>847112.92222653679</v>
      </c>
      <c r="DF22" s="1">
        <f t="shared" si="41"/>
        <v>855584.05144880211</v>
      </c>
      <c r="DG22" s="1">
        <f t="shared" si="41"/>
        <v>864139.89196329017</v>
      </c>
      <c r="DH22" s="1">
        <f t="shared" si="41"/>
        <v>872781.29088292306</v>
      </c>
      <c r="DI22" s="1">
        <f t="shared" si="41"/>
        <v>881509.10379175225</v>
      </c>
      <c r="DJ22" s="1">
        <f t="shared" si="41"/>
        <v>890324.19482966978</v>
      </c>
      <c r="DK22" s="1">
        <f t="shared" si="41"/>
        <v>899227.43677796645</v>
      </c>
      <c r="DL22" s="1">
        <f t="shared" si="41"/>
        <v>908219.71114574617</v>
      </c>
      <c r="DM22" s="1">
        <f t="shared" si="41"/>
        <v>917301.90825720364</v>
      </c>
      <c r="DN22" s="1">
        <f t="shared" si="41"/>
        <v>926474.92733977572</v>
      </c>
      <c r="DO22" s="1">
        <f t="shared" si="41"/>
        <v>935739.67661317345</v>
      </c>
      <c r="DP22" s="1">
        <f t="shared" si="41"/>
        <v>945097.07337930519</v>
      </c>
      <c r="DQ22" s="1">
        <f t="shared" si="41"/>
        <v>954548.04411309829</v>
      </c>
      <c r="DR22" s="1">
        <f t="shared" si="41"/>
        <v>964093.52455422934</v>
      </c>
      <c r="DS22" s="1">
        <f t="shared" si="41"/>
        <v>973734.45979977166</v>
      </c>
      <c r="DT22" s="1">
        <f t="shared" si="41"/>
        <v>983471.80439776939</v>
      </c>
      <c r="DU22" s="1">
        <f t="shared" si="41"/>
        <v>993306.52244174713</v>
      </c>
      <c r="DV22" s="1">
        <f t="shared" si="41"/>
        <v>1003239.5876661646</v>
      </c>
      <c r="DW22" s="1">
        <f t="shared" ref="DW22:EU22" si="42">+DV22*(1+$AN$26)</f>
        <v>1013271.9835428263</v>
      </c>
      <c r="DX22" s="1">
        <f t="shared" si="42"/>
        <v>1023404.7033782545</v>
      </c>
      <c r="DY22" s="1">
        <f t="shared" si="42"/>
        <v>1033638.7504120371</v>
      </c>
      <c r="DZ22" s="1">
        <f t="shared" si="42"/>
        <v>1043975.1379161575</v>
      </c>
      <c r="EA22" s="1">
        <f t="shared" si="42"/>
        <v>1054414.8892953191</v>
      </c>
      <c r="EB22" s="1">
        <f t="shared" si="42"/>
        <v>1064959.0381882724</v>
      </c>
      <c r="EC22" s="1">
        <f t="shared" si="42"/>
        <v>1075608.628570155</v>
      </c>
      <c r="ED22" s="1">
        <f t="shared" si="42"/>
        <v>1086364.7148558565</v>
      </c>
      <c r="EE22" s="1">
        <f t="shared" si="42"/>
        <v>1097228.3620044151</v>
      </c>
      <c r="EF22" s="1">
        <f t="shared" si="42"/>
        <v>1108200.6456244593</v>
      </c>
      <c r="EG22" s="1">
        <f t="shared" si="42"/>
        <v>1119282.6520807038</v>
      </c>
      <c r="EH22" s="1">
        <f t="shared" si="42"/>
        <v>1130475.4786015109</v>
      </c>
      <c r="EI22" s="1">
        <f t="shared" si="42"/>
        <v>1141780.2333875259</v>
      </c>
      <c r="EJ22" s="1">
        <f t="shared" si="42"/>
        <v>1153198.0357214012</v>
      </c>
      <c r="EK22" s="1">
        <f t="shared" si="42"/>
        <v>1164730.0160786153</v>
      </c>
      <c r="EL22" s="1">
        <f t="shared" si="42"/>
        <v>1176377.3162394015</v>
      </c>
      <c r="EM22" s="1">
        <f t="shared" si="42"/>
        <v>1188141.0894017955</v>
      </c>
      <c r="EN22" s="1">
        <f t="shared" si="42"/>
        <v>1200022.5002958134</v>
      </c>
      <c r="EO22" s="1">
        <f t="shared" si="42"/>
        <v>1212022.7252987716</v>
      </c>
      <c r="EP22" s="1">
        <f t="shared" si="42"/>
        <v>1224142.9525517593</v>
      </c>
      <c r="EQ22" s="1">
        <f t="shared" si="42"/>
        <v>1236384.3820772769</v>
      </c>
      <c r="ER22" s="1">
        <f t="shared" si="42"/>
        <v>1248748.2258980498</v>
      </c>
      <c r="ES22" s="1">
        <f t="shared" si="42"/>
        <v>1261235.7081570302</v>
      </c>
      <c r="ET22" s="1">
        <f t="shared" si="42"/>
        <v>1273848.0652386004</v>
      </c>
      <c r="EU22" s="1">
        <f t="shared" si="42"/>
        <v>1286586.5458909865</v>
      </c>
      <c r="EV22" s="1">
        <f t="shared" ref="EV22:FP22" si="43">+EU22*(1+$AN$26)</f>
        <v>1299452.4113498963</v>
      </c>
      <c r="EW22" s="1">
        <f t="shared" si="43"/>
        <v>1312446.9354633952</v>
      </c>
      <c r="EX22" s="1">
        <f t="shared" si="43"/>
        <v>1325571.4048180291</v>
      </c>
      <c r="EY22" s="1">
        <f t="shared" si="43"/>
        <v>1338827.1188662094</v>
      </c>
      <c r="EZ22" s="1">
        <f t="shared" si="43"/>
        <v>1352215.3900548716</v>
      </c>
      <c r="FA22" s="1">
        <f t="shared" si="43"/>
        <v>1365737.5439554204</v>
      </c>
      <c r="FB22" s="1">
        <f t="shared" si="43"/>
        <v>1379394.9193949746</v>
      </c>
      <c r="FC22" s="1">
        <f t="shared" si="43"/>
        <v>1393188.8685889244</v>
      </c>
      <c r="FD22" s="1">
        <f t="shared" si="43"/>
        <v>1407120.7572748137</v>
      </c>
      <c r="FE22" s="1">
        <f t="shared" si="43"/>
        <v>1421191.9648475619</v>
      </c>
      <c r="FF22" s="1">
        <f t="shared" si="43"/>
        <v>1435403.8844960376</v>
      </c>
      <c r="FG22" s="1">
        <f t="shared" si="43"/>
        <v>1449757.9233409979</v>
      </c>
      <c r="FH22" s="1">
        <f t="shared" si="43"/>
        <v>1464255.502574408</v>
      </c>
      <c r="FI22" s="1">
        <f t="shared" si="43"/>
        <v>1478898.057600152</v>
      </c>
      <c r="FJ22" s="1">
        <f t="shared" si="43"/>
        <v>1493687.0381761536</v>
      </c>
      <c r="FK22" s="1">
        <f t="shared" si="43"/>
        <v>1508623.9085579151</v>
      </c>
      <c r="FL22" s="1">
        <f t="shared" si="43"/>
        <v>1523710.1476434942</v>
      </c>
      <c r="FM22" s="1">
        <f t="shared" si="43"/>
        <v>1538947.249119929</v>
      </c>
      <c r="FN22" s="1">
        <f t="shared" si="43"/>
        <v>1554336.7216111284</v>
      </c>
      <c r="FO22" s="1">
        <f t="shared" si="43"/>
        <v>1569880.0888272398</v>
      </c>
      <c r="FP22" s="1">
        <f t="shared" si="43"/>
        <v>1585578.8897155123</v>
      </c>
      <c r="FQ22" s="1">
        <f t="shared" ref="FQ22:GD22" si="44">+FP22*(1+$AN$26)</f>
        <v>1601434.6786126674</v>
      </c>
      <c r="FR22" s="1">
        <f t="shared" si="44"/>
        <v>1617449.0253987941</v>
      </c>
      <c r="FS22" s="1">
        <f t="shared" si="44"/>
        <v>1633623.5156527821</v>
      </c>
      <c r="FT22" s="1">
        <f t="shared" si="44"/>
        <v>1649959.7508093098</v>
      </c>
      <c r="FU22" s="1">
        <f t="shared" si="44"/>
        <v>1666459.3483174029</v>
      </c>
      <c r="FV22" s="1">
        <f t="shared" si="44"/>
        <v>1683123.9418005769</v>
      </c>
      <c r="FW22" s="1">
        <f t="shared" si="44"/>
        <v>1699955.1812185827</v>
      </c>
      <c r="FX22" s="1">
        <f t="shared" si="44"/>
        <v>1716954.7330307686</v>
      </c>
      <c r="FY22" s="1">
        <f t="shared" si="44"/>
        <v>1734124.2803610764</v>
      </c>
      <c r="FZ22" s="1">
        <f t="shared" si="44"/>
        <v>1751465.5231646872</v>
      </c>
      <c r="GA22" s="1">
        <f t="shared" si="44"/>
        <v>1768980.1783963342</v>
      </c>
      <c r="GB22" s="1">
        <f t="shared" si="44"/>
        <v>1786669.9801802975</v>
      </c>
      <c r="GC22" s="1">
        <f t="shared" si="44"/>
        <v>1804536.6799821006</v>
      </c>
      <c r="GD22" s="1">
        <f t="shared" si="44"/>
        <v>1822582.0467819215</v>
      </c>
      <c r="GE22" s="1">
        <f t="shared" ref="GE22:GY22" si="45">+GD22*(1+$AN$26)</f>
        <v>1840807.8672497408</v>
      </c>
      <c r="GF22" s="1">
        <f t="shared" si="45"/>
        <v>1859215.9459222383</v>
      </c>
      <c r="GG22" s="1">
        <f t="shared" si="45"/>
        <v>1877808.1053814606</v>
      </c>
      <c r="GH22" s="1">
        <f t="shared" si="45"/>
        <v>1896586.1864352752</v>
      </c>
      <c r="GI22" s="1">
        <f t="shared" si="45"/>
        <v>1915552.0482996281</v>
      </c>
      <c r="GJ22" s="1">
        <f t="shared" si="45"/>
        <v>1934707.5687826243</v>
      </c>
      <c r="GK22" s="1">
        <f t="shared" si="45"/>
        <v>1954054.6444704505</v>
      </c>
      <c r="GL22" s="1">
        <f t="shared" si="45"/>
        <v>1973595.190915155</v>
      </c>
      <c r="GM22" s="1">
        <f t="shared" si="45"/>
        <v>1993331.1428243066</v>
      </c>
      <c r="GN22" s="1">
        <f t="shared" si="45"/>
        <v>2013264.4542525497</v>
      </c>
      <c r="GO22" s="1">
        <f t="shared" si="45"/>
        <v>2033397.0987950752</v>
      </c>
      <c r="GP22" s="1">
        <f t="shared" si="45"/>
        <v>2053731.0697830259</v>
      </c>
      <c r="GQ22" s="1">
        <f t="shared" si="45"/>
        <v>2074268.3804808562</v>
      </c>
      <c r="GR22" s="1">
        <f t="shared" si="45"/>
        <v>2095011.0642856648</v>
      </c>
      <c r="GS22" s="1">
        <f t="shared" si="45"/>
        <v>2115961.1749285213</v>
      </c>
      <c r="GT22" s="1">
        <f t="shared" si="45"/>
        <v>2137120.7866778066</v>
      </c>
      <c r="GU22" s="1">
        <f t="shared" si="45"/>
        <v>2158491.9945445848</v>
      </c>
      <c r="GV22" s="1">
        <f t="shared" si="45"/>
        <v>2180076.9144900306</v>
      </c>
      <c r="GW22" s="1">
        <f t="shared" si="45"/>
        <v>2201877.6836349308</v>
      </c>
      <c r="GX22" s="1">
        <f t="shared" si="45"/>
        <v>2223896.4604712799</v>
      </c>
      <c r="GY22" s="1">
        <f t="shared" si="45"/>
        <v>2246135.4250759929</v>
      </c>
      <c r="GZ22" s="1">
        <f t="shared" ref="GZ22:HM22" si="46">+GY22*(1+$AN$26)</f>
        <v>2268596.7793267528</v>
      </c>
      <c r="HA22" s="1">
        <f t="shared" si="46"/>
        <v>2291282.7471200204</v>
      </c>
      <c r="HB22" s="1">
        <f t="shared" si="46"/>
        <v>2314195.5745912208</v>
      </c>
      <c r="HC22" s="1">
        <f t="shared" si="46"/>
        <v>2337337.530337133</v>
      </c>
      <c r="HD22" s="1">
        <f t="shared" si="46"/>
        <v>2360710.9056405043</v>
      </c>
      <c r="HE22" s="1">
        <f t="shared" si="46"/>
        <v>2384318.0146969096</v>
      </c>
      <c r="HF22" s="1">
        <f t="shared" si="46"/>
        <v>2408161.1948438785</v>
      </c>
      <c r="HG22" s="1">
        <f t="shared" si="46"/>
        <v>2432242.8067923174</v>
      </c>
      <c r="HH22" s="1">
        <f t="shared" si="46"/>
        <v>2456565.2348602405</v>
      </c>
      <c r="HI22" s="1">
        <f t="shared" si="46"/>
        <v>2481130.8872088431</v>
      </c>
      <c r="HJ22" s="1">
        <f t="shared" si="46"/>
        <v>2505942.1960809315</v>
      </c>
      <c r="HK22" s="1">
        <f t="shared" si="46"/>
        <v>2531001.6180417407</v>
      </c>
      <c r="HL22" s="1">
        <f t="shared" si="46"/>
        <v>2556311.6342221582</v>
      </c>
      <c r="HM22" s="1">
        <f t="shared" si="46"/>
        <v>2581874.7505643796</v>
      </c>
      <c r="HN22" s="1">
        <f t="shared" ref="HN22:HU22" si="47">+HM22*(1+$AN$26)</f>
        <v>2607693.4980700235</v>
      </c>
      <c r="HO22" s="1">
        <f t="shared" si="47"/>
        <v>2633770.4330507237</v>
      </c>
      <c r="HP22" s="1">
        <f t="shared" si="47"/>
        <v>2660108.1373812309</v>
      </c>
      <c r="HQ22" s="1">
        <f t="shared" si="47"/>
        <v>2686709.2187550431</v>
      </c>
      <c r="HR22" s="1">
        <f t="shared" si="47"/>
        <v>2713576.3109425935</v>
      </c>
      <c r="HS22" s="1">
        <f t="shared" si="47"/>
        <v>2740712.0740520195</v>
      </c>
      <c r="HT22" s="1">
        <f t="shared" si="47"/>
        <v>2768119.1947925398</v>
      </c>
      <c r="HU22" s="1">
        <f t="shared" si="47"/>
        <v>2795800.3867404652</v>
      </c>
      <c r="HV22" s="1">
        <f t="shared" ref="HV22:HX22" si="48">+HU22*(1+$AN$26)</f>
        <v>2823758.3906078697</v>
      </c>
      <c r="HW22" s="1">
        <f t="shared" si="48"/>
        <v>2851995.9745139484</v>
      </c>
      <c r="HX22" s="1">
        <f t="shared" si="48"/>
        <v>2880515.9342590878</v>
      </c>
      <c r="HY22" s="1">
        <f t="shared" ref="HY22:IA22" si="49">+HX22*(1+$AN$26)</f>
        <v>2909321.0936016785</v>
      </c>
      <c r="HZ22" s="1">
        <f t="shared" si="49"/>
        <v>2938414.3045376954</v>
      </c>
      <c r="IA22" s="1">
        <f t="shared" si="49"/>
        <v>2967798.4475830724</v>
      </c>
      <c r="IB22" s="1">
        <f t="shared" ref="IB22" si="50">+IA22*(1+$AN$26)</f>
        <v>2997476.4320589029</v>
      </c>
    </row>
    <row r="23" spans="2:236">
      <c r="B23" s="1" t="s">
        <v>28</v>
      </c>
      <c r="C23" s="1">
        <v>16962.694</v>
      </c>
      <c r="D23" s="1">
        <v>17359.717000000001</v>
      </c>
      <c r="E23" s="1">
        <v>19084.124</v>
      </c>
      <c r="F23" s="1">
        <v>57905.7</v>
      </c>
      <c r="G23" s="1">
        <v>109472.05</v>
      </c>
      <c r="H23" s="1">
        <v>109679.467</v>
      </c>
      <c r="I23" s="1">
        <v>110375.126</v>
      </c>
      <c r="J23" s="1">
        <v>110934.44500000001</v>
      </c>
      <c r="K23" s="1">
        <v>111297.064</v>
      </c>
      <c r="L23" s="1">
        <v>111585.28200000001</v>
      </c>
      <c r="M23" s="1">
        <v>112179.72199999999</v>
      </c>
      <c r="N23" s="1">
        <f>+N22/N24</f>
        <v>36768.666614000816</v>
      </c>
      <c r="O23" s="1">
        <v>117772.776</v>
      </c>
      <c r="P23" s="1">
        <v>113580.674</v>
      </c>
      <c r="W23" s="1">
        <v>16051.96</v>
      </c>
      <c r="X23" s="1">
        <f>+X22/X24</f>
        <v>25569.956025843658</v>
      </c>
      <c r="Y23" s="1">
        <f>+Y22/Y24</f>
        <v>110106.86022486637</v>
      </c>
      <c r="Z23" s="1">
        <v>111907.675</v>
      </c>
      <c r="AA23" s="1">
        <f>+Z23</f>
        <v>111907.675</v>
      </c>
      <c r="AB23" s="1">
        <f t="shared" ref="AB23:AJ23" si="51">+AA23</f>
        <v>111907.675</v>
      </c>
      <c r="AC23" s="1">
        <f t="shared" si="51"/>
        <v>111907.675</v>
      </c>
      <c r="AD23" s="1">
        <f t="shared" si="51"/>
        <v>111907.675</v>
      </c>
      <c r="AE23" s="1">
        <f t="shared" si="51"/>
        <v>111907.675</v>
      </c>
      <c r="AF23" s="1">
        <f t="shared" si="51"/>
        <v>111907.675</v>
      </c>
      <c r="AG23" s="1">
        <f t="shared" si="51"/>
        <v>111907.675</v>
      </c>
      <c r="AH23" s="1">
        <f t="shared" si="51"/>
        <v>111907.675</v>
      </c>
      <c r="AI23" s="1">
        <f t="shared" si="51"/>
        <v>111907.675</v>
      </c>
      <c r="AJ23" s="1">
        <f t="shared" si="51"/>
        <v>111907.675</v>
      </c>
    </row>
    <row r="24" spans="2:236" s="7" customFormat="1">
      <c r="B24" s="7" t="s">
        <v>29</v>
      </c>
      <c r="C24" s="7">
        <f t="shared" ref="C24:M24" si="52">+C22/C23</f>
        <v>-1.768233277096197</v>
      </c>
      <c r="D24" s="7">
        <f t="shared" si="52"/>
        <v>-1.5482971294981362</v>
      </c>
      <c r="E24" s="7">
        <f t="shared" si="52"/>
        <v>-1.3441015160035641</v>
      </c>
      <c r="F24" s="7">
        <f t="shared" si="52"/>
        <v>-1.1333944672113454</v>
      </c>
      <c r="G24" s="7">
        <f t="shared" si="52"/>
        <v>-0.45333032495509129</v>
      </c>
      <c r="H24" s="7">
        <f t="shared" si="52"/>
        <v>-0.3675346088251869</v>
      </c>
      <c r="I24" s="7">
        <f t="shared" si="52"/>
        <v>-0.31726351098344385</v>
      </c>
      <c r="J24" s="7">
        <f t="shared" si="52"/>
        <v>-0.43469816791349158</v>
      </c>
      <c r="K24" s="7">
        <f t="shared" si="52"/>
        <v>-0.29453607149960398</v>
      </c>
      <c r="L24" s="7">
        <f t="shared" si="52"/>
        <v>-0.19799206135447145</v>
      </c>
      <c r="M24" s="7">
        <f t="shared" si="52"/>
        <v>-0.21057281635980521</v>
      </c>
      <c r="N24" s="7">
        <f t="shared" ref="N24" si="53">+Z24-SUM(K24:M24)</f>
        <v>-0.71093141000784565</v>
      </c>
      <c r="O24" s="7">
        <f>+O22/O23</f>
        <v>-0.21515158987166949</v>
      </c>
      <c r="P24" s="7">
        <f>+P22/P23</f>
        <v>-0.12149954313530487</v>
      </c>
      <c r="W24" s="7">
        <f>+W22/W23</f>
        <v>-8.6517160521207384</v>
      </c>
      <c r="X24" s="7">
        <f t="shared" si="22"/>
        <v>-5.7940263898092423</v>
      </c>
      <c r="Y24" s="7">
        <f t="shared" si="23"/>
        <v>-1.5728266126772137</v>
      </c>
      <c r="Z24" s="7">
        <f t="shared" si="23"/>
        <v>-1.4140323592217263</v>
      </c>
      <c r="AA24" s="7">
        <f>+AA22/AA23</f>
        <v>0.97335778613382262</v>
      </c>
      <c r="AB24" s="7">
        <f t="shared" ref="AB24:AJ24" si="54">+AB22/AB23</f>
        <v>1.1542036899085624</v>
      </c>
      <c r="AC24" s="7">
        <f t="shared" si="54"/>
        <v>1.3577554484560064</v>
      </c>
      <c r="AD24" s="7">
        <f t="shared" si="54"/>
        <v>1.5864885847556269</v>
      </c>
      <c r="AE24" s="7">
        <f t="shared" si="54"/>
        <v>1.8431293879930668</v>
      </c>
      <c r="AF24" s="7">
        <f t="shared" si="54"/>
        <v>2.1306791928060607</v>
      </c>
      <c r="AG24" s="7">
        <f t="shared" si="54"/>
        <v>2.4524409383059802</v>
      </c>
      <c r="AH24" s="7">
        <f t="shared" si="54"/>
        <v>2.8120482162519265</v>
      </c>
      <c r="AI24" s="7">
        <f t="shared" si="54"/>
        <v>3.2134970366640627</v>
      </c>
      <c r="AJ24" s="7">
        <f t="shared" si="54"/>
        <v>3.6611805597581317</v>
      </c>
    </row>
    <row r="25" spans="2:236">
      <c r="AL25" s="1">
        <f>NPV(AN27,AA22:AO22)</f>
        <v>2416746.5964623489</v>
      </c>
    </row>
    <row r="26" spans="2:236">
      <c r="B26" s="5" t="s">
        <v>37</v>
      </c>
      <c r="AM26" s="9" t="s">
        <v>70</v>
      </c>
      <c r="AN26" s="10">
        <v>0.01</v>
      </c>
    </row>
    <row r="27" spans="2:236" s="3" customFormat="1">
      <c r="B27" s="3" t="s">
        <v>30</v>
      </c>
      <c r="G27" s="3">
        <f t="shared" ref="G27:P27" si="55">+G8/C8-1</f>
        <v>0.6710809225957779</v>
      </c>
      <c r="H27" s="3">
        <f t="shared" si="55"/>
        <v>0.4489630213891338</v>
      </c>
      <c r="I27" s="3">
        <f t="shared" si="55"/>
        <v>0.29404031551270826</v>
      </c>
      <c r="J27" s="3">
        <f t="shared" si="55"/>
        <v>0.22964760541762597</v>
      </c>
      <c r="K27" s="3">
        <f t="shared" si="55"/>
        <v>0.21903480812157006</v>
      </c>
      <c r="L27" s="3">
        <f t="shared" si="55"/>
        <v>0.22100097664067619</v>
      </c>
      <c r="M27" s="3">
        <f t="shared" si="55"/>
        <v>0.23706319642655571</v>
      </c>
      <c r="N27" s="3">
        <f t="shared" si="55"/>
        <v>0.29059627224424389</v>
      </c>
      <c r="O27" s="3">
        <f t="shared" si="55"/>
        <v>0.26217396171498941</v>
      </c>
      <c r="P27" s="3">
        <f t="shared" si="55"/>
        <v>0.21056220291755445</v>
      </c>
      <c r="X27" s="3">
        <f>+X8/W8-1</f>
        <v>0.54057521020782806</v>
      </c>
      <c r="Y27" s="3">
        <f>+Y8/X8-1</f>
        <v>0.38317435284840862</v>
      </c>
      <c r="Z27" s="3">
        <f>+Z8/Y8-1</f>
        <v>0.24236287637868137</v>
      </c>
      <c r="AA27" s="3">
        <f t="shared" ref="AA27:AJ27" si="56">+AA8/Z8-1</f>
        <v>0.22170004617255756</v>
      </c>
      <c r="AB27" s="3">
        <f t="shared" si="56"/>
        <v>0.18579591836734699</v>
      </c>
      <c r="AC27" s="3">
        <f t="shared" si="56"/>
        <v>0.17635687732342009</v>
      </c>
      <c r="AD27" s="3">
        <f t="shared" si="56"/>
        <v>0.16846416382252571</v>
      </c>
      <c r="AE27" s="3">
        <f t="shared" si="56"/>
        <v>0.16176656151419566</v>
      </c>
      <c r="AF27" s="3">
        <f t="shared" si="56"/>
        <v>0.15601173020527859</v>
      </c>
      <c r="AG27" s="3">
        <f t="shared" si="56"/>
        <v>0.15101369863013714</v>
      </c>
      <c r="AH27" s="3">
        <f t="shared" si="56"/>
        <v>0.14663239074550116</v>
      </c>
      <c r="AI27" s="3">
        <f t="shared" si="56"/>
        <v>0.14276029055690076</v>
      </c>
      <c r="AJ27" s="3">
        <f t="shared" si="56"/>
        <v>0.13931350114416508</v>
      </c>
      <c r="AM27" s="11" t="s">
        <v>71</v>
      </c>
      <c r="AN27" s="25">
        <v>7.0000000000000007E-2</v>
      </c>
    </row>
    <row r="28" spans="2:236">
      <c r="AM28" s="13" t="s">
        <v>67</v>
      </c>
      <c r="AN28" s="14">
        <f>NPV(AN27,AA22:IB22)</f>
        <v>5043962.2083328431</v>
      </c>
    </row>
    <row r="29" spans="2:236" outlineLevel="1">
      <c r="B29" s="9" t="s">
        <v>102</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20"/>
      <c r="AM29" s="13" t="s">
        <v>72</v>
      </c>
      <c r="AN29" s="14">
        <f>+O43</f>
        <v>243756</v>
      </c>
    </row>
    <row r="30" spans="2:236" outlineLevel="1">
      <c r="B30" s="13" t="s">
        <v>14</v>
      </c>
      <c r="AJ30" s="14"/>
      <c r="AM30" s="13" t="s">
        <v>74</v>
      </c>
      <c r="AN30" s="14">
        <f>SUM(AN28:AN29)</f>
        <v>5287718.2083328431</v>
      </c>
    </row>
    <row r="31" spans="2:236" outlineLevel="1">
      <c r="B31" s="13" t="s">
        <v>15</v>
      </c>
      <c r="C31" s="3">
        <f t="shared" ref="C31:O31" si="57">+C9/C$8</f>
        <v>0.28127443315089912</v>
      </c>
      <c r="D31" s="3">
        <f t="shared" si="57"/>
        <v>0.26859369925300425</v>
      </c>
      <c r="E31" s="3">
        <f t="shared" si="57"/>
        <v>0.27858812236551062</v>
      </c>
      <c r="F31" s="3">
        <f t="shared" si="57"/>
        <v>0.27558957127745631</v>
      </c>
      <c r="G31" s="3">
        <f t="shared" si="57"/>
        <v>0.26421420982347377</v>
      </c>
      <c r="H31" s="3">
        <f t="shared" si="57"/>
        <v>0.27135400822939848</v>
      </c>
      <c r="I31" s="3">
        <f t="shared" si="57"/>
        <v>0.27795784754809477</v>
      </c>
      <c r="J31" s="3">
        <f t="shared" si="57"/>
        <v>0.29230834106435016</v>
      </c>
      <c r="K31" s="3">
        <f t="shared" si="57"/>
        <v>0.28455486078904862</v>
      </c>
      <c r="L31" s="3">
        <f t="shared" si="57"/>
        <v>0.26875594164891004</v>
      </c>
      <c r="M31" s="3">
        <f t="shared" si="57"/>
        <v>0.2721406783637928</v>
      </c>
      <c r="N31" s="3">
        <f t="shared" si="57"/>
        <v>0.28355965652895587</v>
      </c>
      <c r="O31" s="3">
        <f t="shared" si="57"/>
        <v>0.27695913842255304</v>
      </c>
      <c r="P31" s="3">
        <f t="shared" ref="P31" si="58">+P9/P$8</f>
        <v>0.27016209834218835</v>
      </c>
      <c r="W31" s="3">
        <f t="shared" ref="W31:AJ31" si="59">+W9/W$8</f>
        <v>0.29986175010765359</v>
      </c>
      <c r="X31" s="3">
        <f t="shared" si="59"/>
        <v>0.27568746064718103</v>
      </c>
      <c r="Y31" s="3">
        <f t="shared" si="59"/>
        <v>0.27682326288807818</v>
      </c>
      <c r="Z31" s="3">
        <v>0.29504331039322812</v>
      </c>
      <c r="AA31" s="3">
        <f>+AA9/AA$8</f>
        <v>0.29504331039322812</v>
      </c>
      <c r="AB31" s="3">
        <f t="shared" si="59"/>
        <v>0.29504331039322812</v>
      </c>
      <c r="AC31" s="3">
        <f t="shared" si="59"/>
        <v>0.29504331039322812</v>
      </c>
      <c r="AD31" s="3">
        <f t="shared" si="59"/>
        <v>0.29504331039322812</v>
      </c>
      <c r="AE31" s="3">
        <f t="shared" si="59"/>
        <v>0.29504331039322812</v>
      </c>
      <c r="AF31" s="3">
        <f t="shared" si="59"/>
        <v>0.29504331039322812</v>
      </c>
      <c r="AG31" s="3">
        <f t="shared" si="59"/>
        <v>0.29504331039322812</v>
      </c>
      <c r="AH31" s="3">
        <f t="shared" si="59"/>
        <v>0.29504331039322812</v>
      </c>
      <c r="AI31" s="3">
        <f t="shared" si="59"/>
        <v>0.29504331039322812</v>
      </c>
      <c r="AJ31" s="12">
        <f t="shared" si="59"/>
        <v>0.29504331039322812</v>
      </c>
      <c r="AM31" s="13" t="s">
        <v>68</v>
      </c>
      <c r="AN31" s="14">
        <f>+main!K7*1000</f>
        <v>113311.11599999999</v>
      </c>
    </row>
    <row r="32" spans="2:236" outlineLevel="1">
      <c r="B32" s="13" t="s">
        <v>16</v>
      </c>
      <c r="C32" s="3">
        <f t="shared" ref="C32:O32" si="60">+C10/C$8</f>
        <v>0.36310919989575191</v>
      </c>
      <c r="D32" s="3">
        <f t="shared" si="60"/>
        <v>0.31010764162761567</v>
      </c>
      <c r="E32" s="3">
        <f t="shared" si="60"/>
        <v>0.31630566336964233</v>
      </c>
      <c r="F32" s="3">
        <f t="shared" si="60"/>
        <v>0.32174932072262669</v>
      </c>
      <c r="G32" s="3">
        <f t="shared" si="60"/>
        <v>0.33435681492528585</v>
      </c>
      <c r="H32" s="3">
        <f t="shared" si="60"/>
        <v>0.29629837173185608</v>
      </c>
      <c r="I32" s="3">
        <f t="shared" si="60"/>
        <v>0.30643574734329898</v>
      </c>
      <c r="J32" s="3">
        <f t="shared" si="60"/>
        <v>0.32177616597790337</v>
      </c>
      <c r="K32" s="3">
        <f t="shared" si="60"/>
        <v>0.31378836097295743</v>
      </c>
      <c r="L32" s="3">
        <f t="shared" si="60"/>
        <v>0.2852843796099</v>
      </c>
      <c r="M32" s="3">
        <f t="shared" si="60"/>
        <v>0.28515003780274789</v>
      </c>
      <c r="N32" s="3">
        <f t="shared" si="60"/>
        <v>0.29276070733078041</v>
      </c>
      <c r="O32" s="3">
        <f t="shared" si="60"/>
        <v>0.28993348115299333</v>
      </c>
      <c r="P32" s="3">
        <f t="shared" ref="P32" si="61">+P10/P$8</f>
        <v>0.26899767657237561</v>
      </c>
      <c r="W32" s="3">
        <f t="shared" ref="W32:AJ32" si="62">+W10/W$8</f>
        <v>0.3793531718151531</v>
      </c>
      <c r="X32" s="3">
        <f t="shared" si="62"/>
        <v>0.32473210660421215</v>
      </c>
      <c r="Y32" s="3">
        <f t="shared" si="62"/>
        <v>0.31370438519054256</v>
      </c>
      <c r="Z32" s="3">
        <v>0.247271960338136</v>
      </c>
      <c r="AA32" s="3">
        <f t="shared" si="62"/>
        <v>0.247271960338136</v>
      </c>
      <c r="AB32" s="3">
        <f t="shared" si="62"/>
        <v>0.247271960338136</v>
      </c>
      <c r="AC32" s="3">
        <f t="shared" si="62"/>
        <v>0.247271960338136</v>
      </c>
      <c r="AD32" s="3">
        <f t="shared" si="62"/>
        <v>0.247271960338136</v>
      </c>
      <c r="AE32" s="3">
        <f t="shared" si="62"/>
        <v>0.24727196033813598</v>
      </c>
      <c r="AF32" s="3">
        <f t="shared" si="62"/>
        <v>0.247271960338136</v>
      </c>
      <c r="AG32" s="3">
        <f t="shared" si="62"/>
        <v>0.247271960338136</v>
      </c>
      <c r="AH32" s="3">
        <f t="shared" si="62"/>
        <v>0.247271960338136</v>
      </c>
      <c r="AI32" s="3">
        <f t="shared" si="62"/>
        <v>0.247271960338136</v>
      </c>
      <c r="AJ32" s="12">
        <f t="shared" si="62"/>
        <v>0.247271960338136</v>
      </c>
      <c r="AM32" s="27" t="s">
        <v>73</v>
      </c>
      <c r="AN32" s="26">
        <f>+AN30/AN31</f>
        <v>46.665485214467779</v>
      </c>
    </row>
    <row r="33" spans="2:40" outlineLevel="1">
      <c r="B33" s="13" t="s">
        <v>17</v>
      </c>
      <c r="C33" s="3">
        <f t="shared" ref="C33:O33" si="63">+C11/C$8</f>
        <v>0.16368582225697159</v>
      </c>
      <c r="D33" s="3">
        <f t="shared" si="63"/>
        <v>0.1370690855101378</v>
      </c>
      <c r="E33" s="3">
        <f t="shared" si="63"/>
        <v>0.14662368014690538</v>
      </c>
      <c r="F33" s="3">
        <f t="shared" si="63"/>
        <v>0.10504428266235248</v>
      </c>
      <c r="G33" s="3">
        <f t="shared" si="63"/>
        <v>0.10251386573871002</v>
      </c>
      <c r="H33" s="3">
        <f t="shared" si="63"/>
        <v>8.9258553611168925E-2</v>
      </c>
      <c r="I33" s="3">
        <f t="shared" si="63"/>
        <v>9.2754744972828276E-2</v>
      </c>
      <c r="J33" s="3">
        <f t="shared" si="63"/>
        <v>0.101771105675972</v>
      </c>
      <c r="K33" s="3">
        <f t="shared" si="63"/>
        <v>0.10098990900513345</v>
      </c>
      <c r="L33" s="3">
        <f t="shared" si="63"/>
        <v>8.8680544173086379E-2</v>
      </c>
      <c r="M33" s="3">
        <f t="shared" si="63"/>
        <v>9.0993821206038009E-2</v>
      </c>
      <c r="N33" s="3">
        <f t="shared" si="63"/>
        <v>9.2559434344490474E-2</v>
      </c>
      <c r="O33" s="3">
        <f t="shared" si="63"/>
        <v>9.1529933481153E-2</v>
      </c>
      <c r="P33" s="3">
        <f t="shared" ref="P33" si="64">+P11/P$8</f>
        <v>8.1352462345849516E-2</v>
      </c>
      <c r="W33" s="3">
        <f t="shared" ref="W33:AJ33" si="65">+W11/W$8</f>
        <v>0.14644516465335539</v>
      </c>
      <c r="X33" s="3">
        <f t="shared" si="65"/>
        <v>0.13548550345127899</v>
      </c>
      <c r="Y33" s="3">
        <f t="shared" si="65"/>
        <v>9.6229565735314451E-2</v>
      </c>
      <c r="Z33" s="3">
        <v>5.09807429336274E-2</v>
      </c>
      <c r="AA33" s="3">
        <f t="shared" si="65"/>
        <v>5.09807429336274E-2</v>
      </c>
      <c r="AB33" s="3">
        <f t="shared" si="65"/>
        <v>5.09807429336274E-2</v>
      </c>
      <c r="AC33" s="3">
        <f t="shared" si="65"/>
        <v>5.09807429336274E-2</v>
      </c>
      <c r="AD33" s="3">
        <f t="shared" si="65"/>
        <v>5.09807429336274E-2</v>
      </c>
      <c r="AE33" s="3">
        <f t="shared" si="65"/>
        <v>5.09807429336274E-2</v>
      </c>
      <c r="AF33" s="3">
        <f t="shared" si="65"/>
        <v>5.0980742933627393E-2</v>
      </c>
      <c r="AG33" s="3">
        <f t="shared" si="65"/>
        <v>5.0980742933627393E-2</v>
      </c>
      <c r="AH33" s="3">
        <f t="shared" si="65"/>
        <v>5.0980742933627393E-2</v>
      </c>
      <c r="AI33" s="3">
        <f t="shared" si="65"/>
        <v>5.0980742933627393E-2</v>
      </c>
      <c r="AJ33" s="12">
        <f t="shared" si="65"/>
        <v>5.0980742933627393E-2</v>
      </c>
      <c r="AM33" s="13" t="s">
        <v>69</v>
      </c>
      <c r="AN33" s="14">
        <f>+main!K6</f>
        <v>34</v>
      </c>
    </row>
    <row r="34" spans="2:40" outlineLevel="1">
      <c r="B34" s="13" t="s">
        <v>18</v>
      </c>
      <c r="C34" s="3">
        <f t="shared" ref="C34:O34" si="66">+C12/C$8</f>
        <v>0.15769155590304926</v>
      </c>
      <c r="D34" s="3">
        <f t="shared" si="66"/>
        <v>0.13535238713868139</v>
      </c>
      <c r="E34" s="3">
        <f t="shared" si="66"/>
        <v>0.12144735194691374</v>
      </c>
      <c r="F34" s="3">
        <f t="shared" si="66"/>
        <v>0.16959118909837595</v>
      </c>
      <c r="G34" s="3">
        <f t="shared" si="66"/>
        <v>0.16838709048552017</v>
      </c>
      <c r="H34" s="3">
        <f t="shared" si="66"/>
        <v>0.15782353223714757</v>
      </c>
      <c r="I34" s="3">
        <f t="shared" si="66"/>
        <v>0.16216761001725444</v>
      </c>
      <c r="J34" s="3">
        <f t="shared" si="66"/>
        <v>0.17599730117230328</v>
      </c>
      <c r="K34" s="3">
        <f t="shared" si="66"/>
        <v>0.16523804193120212</v>
      </c>
      <c r="L34" s="3">
        <f t="shared" si="66"/>
        <v>0.153450254056712</v>
      </c>
      <c r="M34" s="3">
        <f t="shared" si="66"/>
        <v>0.1619652214719608</v>
      </c>
      <c r="N34" s="3">
        <f t="shared" si="66"/>
        <v>0.16918040071621815</v>
      </c>
      <c r="O34" s="3">
        <f t="shared" si="66"/>
        <v>0.16079189103579347</v>
      </c>
      <c r="P34" s="3">
        <f t="shared" ref="P34" si="67">+P12/P$8</f>
        <v>0.15462437920071923</v>
      </c>
      <c r="W34" s="3">
        <f t="shared" ref="W34:AJ34" si="68">+W12/W$8</f>
        <v>0.21378419418443895</v>
      </c>
      <c r="X34" s="3">
        <f t="shared" si="68"/>
        <v>0.14518027268929073</v>
      </c>
      <c r="Y34" s="3">
        <f t="shared" si="68"/>
        <v>0.16585869114346796</v>
      </c>
      <c r="Z34" s="3">
        <v>0.1447323542399046</v>
      </c>
      <c r="AA34" s="3">
        <f t="shared" si="68"/>
        <v>0.1447323542399046</v>
      </c>
      <c r="AB34" s="3">
        <f t="shared" si="68"/>
        <v>0.1447323542399046</v>
      </c>
      <c r="AC34" s="3">
        <f t="shared" si="68"/>
        <v>0.1447323542399046</v>
      </c>
      <c r="AD34" s="3">
        <f t="shared" si="68"/>
        <v>0.1447323542399046</v>
      </c>
      <c r="AE34" s="3">
        <f t="shared" si="68"/>
        <v>0.1447323542399046</v>
      </c>
      <c r="AF34" s="3">
        <f t="shared" si="68"/>
        <v>0.1447323542399046</v>
      </c>
      <c r="AG34" s="3">
        <f t="shared" si="68"/>
        <v>0.1447323542399046</v>
      </c>
      <c r="AH34" s="3">
        <f t="shared" si="68"/>
        <v>0.1447323542399046</v>
      </c>
      <c r="AI34" s="3">
        <f t="shared" si="68"/>
        <v>0.1447323542399046</v>
      </c>
      <c r="AJ34" s="12">
        <f t="shared" si="68"/>
        <v>0.1447323542399046</v>
      </c>
      <c r="AM34" s="21" t="s">
        <v>75</v>
      </c>
      <c r="AN34" s="24">
        <f>+AN32/AN33-1</f>
        <v>0.37251427101375811</v>
      </c>
    </row>
    <row r="35" spans="2:40" outlineLevel="1">
      <c r="B35" s="13" t="s">
        <v>19</v>
      </c>
      <c r="C35" s="3">
        <f t="shared" ref="C35:O35" si="69">+C13/C$8</f>
        <v>0.38083137868126138</v>
      </c>
      <c r="D35" s="3">
        <f t="shared" si="69"/>
        <v>0.30252169071590962</v>
      </c>
      <c r="E35" s="3">
        <f t="shared" si="69"/>
        <v>0.30199073494428447</v>
      </c>
      <c r="F35" s="3">
        <f t="shared" si="69"/>
        <v>0.48373882562794268</v>
      </c>
      <c r="G35" s="3">
        <f t="shared" si="69"/>
        <v>0.48931192794689593</v>
      </c>
      <c r="H35" s="3">
        <f t="shared" si="69"/>
        <v>0.41465601434541061</v>
      </c>
      <c r="I35" s="3">
        <f t="shared" si="69"/>
        <v>0.33785657845935529</v>
      </c>
      <c r="J35" s="3">
        <f t="shared" si="69"/>
        <v>0.36659357341654719</v>
      </c>
      <c r="K35" s="3">
        <f t="shared" si="69"/>
        <v>0.27911755769138508</v>
      </c>
      <c r="L35" s="3">
        <f t="shared" si="69"/>
        <v>0.26454679560727751</v>
      </c>
      <c r="M35" s="3">
        <f t="shared" si="69"/>
        <v>0.23439658993143364</v>
      </c>
      <c r="N35" s="3">
        <f t="shared" si="69"/>
        <v>0.23226118437389726</v>
      </c>
      <c r="O35" s="3">
        <f t="shared" si="69"/>
        <v>0.2335445042762116</v>
      </c>
      <c r="P35" s="3">
        <f t="shared" ref="P35" si="70">+P13/P$8</f>
        <v>0.21231470800093155</v>
      </c>
      <c r="W35" s="3">
        <f t="shared" ref="W35:AJ35" si="71">+W13/W$8</f>
        <v>0.44938920744283029</v>
      </c>
      <c r="X35" s="3">
        <f t="shared" si="71"/>
        <v>0.36793046835003562</v>
      </c>
      <c r="Y35" s="3">
        <f t="shared" si="71"/>
        <v>0.39856415056210848</v>
      </c>
      <c r="Z35" s="3">
        <v>6.4182184759608046E-2</v>
      </c>
      <c r="AA35" s="3">
        <f t="shared" si="71"/>
        <v>6.4182184759608046E-2</v>
      </c>
      <c r="AB35" s="3">
        <f t="shared" si="71"/>
        <v>6.4182184759608046E-2</v>
      </c>
      <c r="AC35" s="3">
        <f t="shared" si="71"/>
        <v>6.4182184759608046E-2</v>
      </c>
      <c r="AD35" s="3">
        <f t="shared" si="71"/>
        <v>6.4182184759608046E-2</v>
      </c>
      <c r="AE35" s="3">
        <f t="shared" si="71"/>
        <v>6.4182184759608046E-2</v>
      </c>
      <c r="AF35" s="3">
        <f t="shared" si="71"/>
        <v>6.4182184759608046E-2</v>
      </c>
      <c r="AG35" s="3">
        <f t="shared" si="71"/>
        <v>6.4182184759608046E-2</v>
      </c>
      <c r="AH35" s="3">
        <f t="shared" si="71"/>
        <v>6.4182184759608046E-2</v>
      </c>
      <c r="AI35" s="3">
        <f t="shared" si="71"/>
        <v>6.4182184759608046E-2</v>
      </c>
      <c r="AJ35" s="12">
        <f t="shared" si="71"/>
        <v>6.4182184759608046E-2</v>
      </c>
    </row>
    <row r="36" spans="2:40" outlineLevel="1">
      <c r="B36" s="13" t="s">
        <v>20</v>
      </c>
      <c r="C36" s="3">
        <f t="shared" ref="C36:O36" si="72">+C14/C$8</f>
        <v>0.12781795673703414</v>
      </c>
      <c r="D36" s="3">
        <f t="shared" si="72"/>
        <v>9.7527026400037117E-2</v>
      </c>
      <c r="E36" s="3">
        <f t="shared" si="72"/>
        <v>9.7063978965819461E-2</v>
      </c>
      <c r="F36" s="3">
        <f t="shared" si="72"/>
        <v>0.10361313338726069</v>
      </c>
      <c r="G36" s="3">
        <f t="shared" si="72"/>
        <v>0.10407345673597099</v>
      </c>
      <c r="H36" s="3">
        <f t="shared" si="72"/>
        <v>9.0499367585135854E-2</v>
      </c>
      <c r="I36" s="3">
        <f t="shared" si="72"/>
        <v>9.5842807153338816E-2</v>
      </c>
      <c r="J36" s="3">
        <f t="shared" si="72"/>
        <v>0.10628320823142448</v>
      </c>
      <c r="K36" s="3">
        <f t="shared" si="72"/>
        <v>0.10482800530936655</v>
      </c>
      <c r="L36" s="3">
        <f t="shared" si="72"/>
        <v>9.5184396000655633E-2</v>
      </c>
      <c r="M36" s="3">
        <f t="shared" si="72"/>
        <v>0.10221080897880438</v>
      </c>
      <c r="N36" s="3">
        <f t="shared" si="72"/>
        <v>0.1057402010115928</v>
      </c>
      <c r="O36" s="3">
        <f t="shared" si="72"/>
        <v>0.10406715235983528</v>
      </c>
      <c r="P36" s="3">
        <f t="shared" ref="P36" si="73">+P14/P$8</f>
        <v>9.0646172843517961E-2</v>
      </c>
      <c r="W36" s="3">
        <f t="shared" ref="W36:AJ36" si="74">+W14/W$8</f>
        <v>0.12170976588173968</v>
      </c>
      <c r="X36" s="3">
        <f t="shared" si="74"/>
        <v>0.10459464389744434</v>
      </c>
      <c r="Y36" s="3">
        <f t="shared" si="74"/>
        <v>9.8852384041862987E-2</v>
      </c>
      <c r="Z36" s="3">
        <v>3.2354675495451672E-2</v>
      </c>
      <c r="AA36" s="3">
        <f t="shared" si="74"/>
        <v>3.2354675495451672E-2</v>
      </c>
      <c r="AB36" s="3">
        <f t="shared" si="74"/>
        <v>3.2354675495451672E-2</v>
      </c>
      <c r="AC36" s="3">
        <f t="shared" si="74"/>
        <v>3.2354675495451672E-2</v>
      </c>
      <c r="AD36" s="3">
        <f t="shared" si="74"/>
        <v>3.2354675495451672E-2</v>
      </c>
      <c r="AE36" s="3">
        <f t="shared" si="74"/>
        <v>3.2354675495451672E-2</v>
      </c>
      <c r="AF36" s="3">
        <f t="shared" si="74"/>
        <v>3.2354675495451672E-2</v>
      </c>
      <c r="AG36" s="3">
        <f t="shared" si="74"/>
        <v>3.2354675495451672E-2</v>
      </c>
      <c r="AH36" s="3">
        <f t="shared" si="74"/>
        <v>3.2354675495451672E-2</v>
      </c>
      <c r="AI36" s="3">
        <f t="shared" si="74"/>
        <v>3.2354675495451672E-2</v>
      </c>
      <c r="AJ36" s="12">
        <f t="shared" si="74"/>
        <v>3.2354675495451672E-2</v>
      </c>
      <c r="AM36" s="1" t="s">
        <v>5</v>
      </c>
      <c r="AN36" s="1">
        <f>+main!K11*1000</f>
        <v>3608821.9440000001</v>
      </c>
    </row>
    <row r="37" spans="2:40" outlineLevel="1">
      <c r="B37" s="21" t="s">
        <v>21</v>
      </c>
      <c r="C37" s="22">
        <f t="shared" ref="C37:O37" si="75">+C15/C$8</f>
        <v>1.5653505342715663E-2</v>
      </c>
      <c r="D37" s="22">
        <f t="shared" si="75"/>
        <v>2.9067879181552451E-2</v>
      </c>
      <c r="E37" s="22">
        <f t="shared" si="75"/>
        <v>2.9099369809273402E-2</v>
      </c>
      <c r="F37" s="22">
        <f t="shared" si="75"/>
        <v>3.0458590006844626E-2</v>
      </c>
      <c r="G37" s="22">
        <f t="shared" si="75"/>
        <v>2.4485578656997204E-2</v>
      </c>
      <c r="H37" s="22">
        <f t="shared" si="75"/>
        <v>2.0173233641268672E-2</v>
      </c>
      <c r="I37" s="22">
        <f t="shared" si="75"/>
        <v>2.468030896747456E-2</v>
      </c>
      <c r="J37" s="22">
        <f t="shared" si="75"/>
        <v>2.8928059374209329E-2</v>
      </c>
      <c r="K37" s="22">
        <f t="shared" si="75"/>
        <v>2.6914650333434615E-2</v>
      </c>
      <c r="L37" s="22">
        <f t="shared" si="75"/>
        <v>1.5092607769218161E-2</v>
      </c>
      <c r="M37" s="22">
        <f t="shared" si="75"/>
        <v>1.643767760773783E-2</v>
      </c>
      <c r="N37" s="22">
        <f t="shared" si="75"/>
        <v>7.0118803340608786E-3</v>
      </c>
      <c r="O37" s="22">
        <f t="shared" si="75"/>
        <v>9.0719037060500475E-3</v>
      </c>
      <c r="P37" s="22">
        <f t="shared" ref="P37" si="76">+P15/P$8</f>
        <v>5.9791703901083725E-3</v>
      </c>
      <c r="Q37" s="23"/>
      <c r="R37" s="23"/>
      <c r="S37" s="23"/>
      <c r="T37" s="23"/>
      <c r="U37" s="23"/>
      <c r="V37" s="23"/>
      <c r="W37" s="22">
        <f t="shared" ref="W37:AJ37" si="77">+W15/W$8</f>
        <v>2.0628697051424429E-2</v>
      </c>
      <c r="X37" s="22">
        <f t="shared" si="77"/>
        <v>2.7048259060710733E-2</v>
      </c>
      <c r="Y37" s="22">
        <f t="shared" si="77"/>
        <v>2.4511545293072826E-2</v>
      </c>
      <c r="Z37" s="22">
        <v>3.7411176187483975E-3</v>
      </c>
      <c r="AA37" s="22">
        <f t="shared" si="77"/>
        <v>3.7411176187483975E-3</v>
      </c>
      <c r="AB37" s="22">
        <f t="shared" si="77"/>
        <v>3.7411176187483975E-3</v>
      </c>
      <c r="AC37" s="22">
        <f t="shared" si="77"/>
        <v>3.7411176187483975E-3</v>
      </c>
      <c r="AD37" s="22">
        <f t="shared" si="77"/>
        <v>3.7411176187483975E-3</v>
      </c>
      <c r="AE37" s="22">
        <f t="shared" si="77"/>
        <v>3.7411176187483971E-3</v>
      </c>
      <c r="AF37" s="22">
        <f t="shared" si="77"/>
        <v>3.7411176187483971E-3</v>
      </c>
      <c r="AG37" s="22">
        <f t="shared" si="77"/>
        <v>3.7411176187483971E-3</v>
      </c>
      <c r="AH37" s="22">
        <f t="shared" si="77"/>
        <v>3.7411176187483971E-3</v>
      </c>
      <c r="AI37" s="22">
        <f t="shared" si="77"/>
        <v>3.7411176187483971E-3</v>
      </c>
      <c r="AJ37" s="24">
        <f t="shared" si="77"/>
        <v>3.7411176187483971E-3</v>
      </c>
      <c r="AN37" s="41">
        <f>+$AN$36/AA22</f>
        <v>33.130887876945145</v>
      </c>
    </row>
    <row r="38" spans="2:40">
      <c r="AN38" s="41">
        <f>+$AN$36/AB22</f>
        <v>27.939789101788417</v>
      </c>
    </row>
    <row r="39" spans="2:40">
      <c r="B39" s="1" t="s">
        <v>199</v>
      </c>
      <c r="C39" s="1">
        <f t="shared" ref="C39:P39" si="78">+C8-SUM(C9:C12)</f>
        <v>2102</v>
      </c>
      <c r="D39" s="1">
        <f t="shared" si="78"/>
        <v>12835</v>
      </c>
      <c r="E39" s="1">
        <f t="shared" si="78"/>
        <v>13134</v>
      </c>
      <c r="F39" s="1">
        <f t="shared" si="78"/>
        <v>12345</v>
      </c>
      <c r="G39" s="1">
        <f t="shared" si="78"/>
        <v>13391</v>
      </c>
      <c r="H39" s="1">
        <f t="shared" si="78"/>
        <v>23143</v>
      </c>
      <c r="I39" s="1">
        <f t="shared" si="78"/>
        <v>19929</v>
      </c>
      <c r="J39" s="1">
        <f t="shared" si="78"/>
        <v>12823</v>
      </c>
      <c r="K39" s="1">
        <f t="shared" si="78"/>
        <v>16937</v>
      </c>
      <c r="L39" s="1">
        <f t="shared" si="78"/>
        <v>31089</v>
      </c>
      <c r="M39" s="1">
        <f t="shared" si="78"/>
        <v>29113</v>
      </c>
      <c r="N39" s="1">
        <f t="shared" si="78"/>
        <v>24781</v>
      </c>
      <c r="O39" s="1">
        <f t="shared" si="78"/>
        <v>28537</v>
      </c>
      <c r="P39" s="1">
        <f>+P8-SUM(P9:P12)</f>
        <v>41519</v>
      </c>
      <c r="AN39" s="41"/>
    </row>
    <row r="40" spans="2:40">
      <c r="B40" s="1" t="s">
        <v>200</v>
      </c>
      <c r="C40" s="3">
        <f t="shared" ref="C40:O40" si="79">+C39/C8</f>
        <v>3.4238988793328123E-2</v>
      </c>
      <c r="D40" s="3">
        <f t="shared" si="79"/>
        <v>0.14887718647056095</v>
      </c>
      <c r="E40" s="3">
        <f t="shared" si="79"/>
        <v>0.13703518217102792</v>
      </c>
      <c r="F40" s="3">
        <f t="shared" si="79"/>
        <v>0.12802563623918861</v>
      </c>
      <c r="G40" s="3">
        <f t="shared" si="79"/>
        <v>0.13052801902701017</v>
      </c>
      <c r="H40" s="3">
        <f t="shared" si="79"/>
        <v>0.18526553419042893</v>
      </c>
      <c r="I40" s="3">
        <f t="shared" si="79"/>
        <v>0.16068405011852355</v>
      </c>
      <c r="J40" s="3">
        <f t="shared" si="79"/>
        <v>0.1081470861094712</v>
      </c>
      <c r="K40" s="3">
        <f t="shared" si="79"/>
        <v>0.13542882730165837</v>
      </c>
      <c r="L40" s="3">
        <f t="shared" si="79"/>
        <v>0.20382888051139159</v>
      </c>
      <c r="M40" s="3">
        <f t="shared" si="79"/>
        <v>0.18975024115546055</v>
      </c>
      <c r="N40" s="3">
        <f t="shared" si="79"/>
        <v>0.16193980107955511</v>
      </c>
      <c r="O40" s="3">
        <f t="shared" si="79"/>
        <v>0.18078555590750714</v>
      </c>
      <c r="P40" s="3">
        <f>+P39/P8</f>
        <v>0.22486338353886731</v>
      </c>
      <c r="AN40" s="41"/>
    </row>
    <row r="41" spans="2:40">
      <c r="AN41" s="41"/>
    </row>
    <row r="42" spans="2:40" s="4" customFormat="1"/>
    <row r="43" spans="2:40">
      <c r="B43" s="1" t="s">
        <v>38</v>
      </c>
      <c r="F43" s="1">
        <v>471971</v>
      </c>
      <c r="G43" s="1">
        <v>436517</v>
      </c>
      <c r="H43" s="1">
        <v>406976</v>
      </c>
      <c r="I43" s="1">
        <v>381035</v>
      </c>
      <c r="J43" s="1">
        <v>331614</v>
      </c>
      <c r="K43" s="1">
        <v>296828</v>
      </c>
      <c r="L43" s="1">
        <v>280333</v>
      </c>
      <c r="M43" s="1">
        <v>274743</v>
      </c>
      <c r="N43" s="1">
        <v>257230</v>
      </c>
      <c r="O43" s="1">
        <v>243756</v>
      </c>
      <c r="P43" s="1">
        <v>244583</v>
      </c>
    </row>
    <row r="44" spans="2:40">
      <c r="B44" s="1" t="s">
        <v>39</v>
      </c>
      <c r="F44" s="1">
        <v>2644</v>
      </c>
      <c r="G44" s="1">
        <v>3831</v>
      </c>
      <c r="H44" s="1">
        <v>3513</v>
      </c>
      <c r="I44" s="1">
        <v>4579</v>
      </c>
      <c r="J44" s="1">
        <v>3244</v>
      </c>
      <c r="K44" s="1">
        <v>5064</v>
      </c>
      <c r="L44" s="1">
        <v>7816</v>
      </c>
      <c r="M44" s="1">
        <v>9891</v>
      </c>
      <c r="N44" s="1">
        <v>3502</v>
      </c>
      <c r="O44" s="1">
        <v>5590</v>
      </c>
      <c r="P44" s="1">
        <v>6494</v>
      </c>
    </row>
    <row r="45" spans="2:40">
      <c r="B45" s="1" t="s">
        <v>40</v>
      </c>
      <c r="F45" s="1">
        <v>903</v>
      </c>
      <c r="G45" s="1">
        <v>956</v>
      </c>
      <c r="H45" s="1">
        <v>1114</v>
      </c>
      <c r="I45" s="1">
        <v>1202</v>
      </c>
      <c r="J45" s="1">
        <v>1383</v>
      </c>
      <c r="K45" s="1">
        <v>1284</v>
      </c>
      <c r="L45" s="1">
        <v>3145</v>
      </c>
      <c r="M45" s="1">
        <v>3348</v>
      </c>
      <c r="N45" s="1">
        <v>2069</v>
      </c>
      <c r="O45" s="1">
        <v>1854</v>
      </c>
      <c r="P45" s="1">
        <v>2038</v>
      </c>
    </row>
    <row r="46" spans="2:40">
      <c r="B46" s="1" t="s">
        <v>41</v>
      </c>
      <c r="F46" s="1">
        <v>13763</v>
      </c>
      <c r="G46" s="1">
        <v>11357</v>
      </c>
      <c r="H46" s="1">
        <v>11531</v>
      </c>
      <c r="I46" s="1">
        <v>10087</v>
      </c>
      <c r="J46" s="1">
        <v>8161</v>
      </c>
      <c r="K46" s="1">
        <v>7537</v>
      </c>
      <c r="L46" s="1">
        <v>7614</v>
      </c>
      <c r="M46" s="1">
        <v>5975</v>
      </c>
      <c r="N46" s="1">
        <v>5767</v>
      </c>
      <c r="O46" s="1">
        <v>6773</v>
      </c>
      <c r="P46" s="1">
        <v>7574</v>
      </c>
    </row>
    <row r="47" spans="2:40">
      <c r="B47" s="1" t="s">
        <v>201</v>
      </c>
      <c r="F47" s="1">
        <v>16695</v>
      </c>
      <c r="G47" s="1">
        <v>17903</v>
      </c>
      <c r="H47" s="1">
        <v>16467</v>
      </c>
      <c r="I47" s="1">
        <v>15148</v>
      </c>
      <c r="L47" s="1">
        <v>0</v>
      </c>
    </row>
    <row r="48" spans="2:40">
      <c r="B48" s="1" t="s">
        <v>42</v>
      </c>
      <c r="F48" s="1">
        <v>525</v>
      </c>
      <c r="G48" s="1">
        <v>564</v>
      </c>
      <c r="H48" s="1">
        <v>608</v>
      </c>
      <c r="I48" s="1">
        <v>627</v>
      </c>
      <c r="J48" s="1">
        <v>93</v>
      </c>
      <c r="K48" s="1">
        <v>93</v>
      </c>
      <c r="L48" s="1">
        <v>93</v>
      </c>
      <c r="M48" s="1">
        <v>93</v>
      </c>
      <c r="N48" s="1">
        <v>93</v>
      </c>
      <c r="O48" s="1">
        <v>93</v>
      </c>
      <c r="P48" s="1">
        <v>93</v>
      </c>
    </row>
    <row r="49" spans="2:16">
      <c r="B49" s="1" t="s">
        <v>43</v>
      </c>
      <c r="F49" s="1">
        <v>155</v>
      </c>
      <c r="G49" s="1">
        <v>1520</v>
      </c>
      <c r="H49" s="1">
        <v>3480</v>
      </c>
      <c r="I49" s="1">
        <v>815</v>
      </c>
      <c r="J49" s="1">
        <v>1654</v>
      </c>
      <c r="K49" s="1">
        <v>8042</v>
      </c>
      <c r="L49" s="1">
        <v>7486</v>
      </c>
      <c r="M49" s="1">
        <v>4612</v>
      </c>
      <c r="N49" s="1">
        <v>7450</v>
      </c>
      <c r="O49" s="1">
        <v>5622</v>
      </c>
      <c r="P49" s="1">
        <v>5007</v>
      </c>
    </row>
    <row r="50" spans="2:16">
      <c r="B50" s="1" t="s">
        <v>44</v>
      </c>
      <c r="F50" s="1">
        <v>0</v>
      </c>
      <c r="G50" s="1">
        <v>0</v>
      </c>
      <c r="H50" s="1">
        <v>0</v>
      </c>
      <c r="I50" s="1">
        <v>0</v>
      </c>
      <c r="J50" s="1">
        <v>254059</v>
      </c>
      <c r="K50" s="1">
        <v>257130</v>
      </c>
      <c r="L50" s="1">
        <v>248839</v>
      </c>
      <c r="M50" s="1">
        <v>245882</v>
      </c>
      <c r="N50" s="1">
        <v>243992</v>
      </c>
      <c r="O50" s="1">
        <v>243602</v>
      </c>
      <c r="P50" s="1">
        <v>249226</v>
      </c>
    </row>
    <row r="51" spans="2:16">
      <c r="B51" s="1" t="s">
        <v>45</v>
      </c>
      <c r="F51" s="1">
        <v>180666</v>
      </c>
      <c r="G51" s="1">
        <v>190605</v>
      </c>
      <c r="H51" s="1">
        <v>209485</v>
      </c>
      <c r="I51" s="1">
        <v>208270</v>
      </c>
      <c r="J51" s="1">
        <v>235257</v>
      </c>
      <c r="K51" s="1">
        <v>246929</v>
      </c>
      <c r="L51" s="1">
        <v>259848</v>
      </c>
      <c r="M51" s="1">
        <v>264270</v>
      </c>
      <c r="N51" s="1">
        <v>266902</v>
      </c>
      <c r="O51" s="1">
        <v>267132</v>
      </c>
      <c r="P51" s="1">
        <v>276278</v>
      </c>
    </row>
    <row r="52" spans="2:16">
      <c r="B52" s="1" t="s">
        <v>46</v>
      </c>
      <c r="F52" s="1">
        <v>35970</v>
      </c>
      <c r="G52" s="1">
        <v>35970</v>
      </c>
      <c r="H52" s="1">
        <v>35970</v>
      </c>
      <c r="I52" s="1">
        <v>35970</v>
      </c>
      <c r="J52" s="1">
        <v>35970</v>
      </c>
      <c r="K52" s="1">
        <v>35970</v>
      </c>
      <c r="L52" s="1">
        <v>35970</v>
      </c>
      <c r="M52" s="1">
        <v>35970</v>
      </c>
      <c r="N52" s="1">
        <v>35970</v>
      </c>
      <c r="O52" s="1">
        <v>35970</v>
      </c>
      <c r="P52" s="1">
        <v>35970</v>
      </c>
    </row>
    <row r="53" spans="2:16">
      <c r="B53" s="1" t="s">
        <v>47</v>
      </c>
      <c r="F53" s="1">
        <v>32868</v>
      </c>
      <c r="G53" s="1">
        <v>31877</v>
      </c>
      <c r="H53" s="1">
        <v>31363</v>
      </c>
      <c r="I53" s="1">
        <v>30670</v>
      </c>
      <c r="J53" s="1">
        <v>30562</v>
      </c>
      <c r="K53" s="1">
        <v>30082</v>
      </c>
      <c r="L53" s="1">
        <v>29397</v>
      </c>
      <c r="M53" s="1">
        <v>28549</v>
      </c>
      <c r="N53" s="1">
        <v>27407</v>
      </c>
      <c r="O53" s="1">
        <v>26356</v>
      </c>
      <c r="P53" s="1">
        <v>25611</v>
      </c>
    </row>
    <row r="54" spans="2:16">
      <c r="B54" s="1" t="s">
        <v>48</v>
      </c>
      <c r="F54" s="1">
        <v>4391</v>
      </c>
      <c r="G54" s="1">
        <v>4763</v>
      </c>
      <c r="H54" s="1">
        <v>5137</v>
      </c>
      <c r="I54" s="1">
        <v>5512</v>
      </c>
      <c r="J54" s="1">
        <v>518</v>
      </c>
      <c r="K54" s="1">
        <v>495</v>
      </c>
      <c r="L54" s="1">
        <v>472</v>
      </c>
      <c r="M54" s="1">
        <v>449</v>
      </c>
      <c r="N54" s="1">
        <v>426</v>
      </c>
      <c r="O54" s="1">
        <v>403</v>
      </c>
      <c r="P54" s="1">
        <v>1406</v>
      </c>
    </row>
    <row r="55" spans="2:16">
      <c r="B55" s="1" t="s">
        <v>49</v>
      </c>
      <c r="F55" s="1">
        <v>1770</v>
      </c>
      <c r="G55" s="1">
        <v>1589</v>
      </c>
      <c r="H55" s="1">
        <v>1608</v>
      </c>
      <c r="I55" s="1">
        <v>1609</v>
      </c>
      <c r="J55" s="1">
        <v>1528</v>
      </c>
      <c r="K55" s="1">
        <v>1522</v>
      </c>
      <c r="L55" s="1">
        <v>1639</v>
      </c>
      <c r="M55" s="1">
        <v>1555</v>
      </c>
      <c r="N55" s="1">
        <v>1406</v>
      </c>
      <c r="O55" s="1">
        <v>1406</v>
      </c>
      <c r="P55" s="1">
        <v>380</v>
      </c>
    </row>
    <row r="56" spans="2:16">
      <c r="B56" s="1" t="s">
        <v>50</v>
      </c>
      <c r="F56" s="1">
        <v>0</v>
      </c>
      <c r="G56" s="1">
        <v>0</v>
      </c>
      <c r="H56" s="1">
        <v>0</v>
      </c>
      <c r="I56" s="1">
        <v>4543</v>
      </c>
      <c r="J56" s="1">
        <v>4767</v>
      </c>
      <c r="K56" s="1">
        <v>4705</v>
      </c>
      <c r="L56" s="1">
        <v>4598</v>
      </c>
      <c r="M56" s="1">
        <v>4393</v>
      </c>
      <c r="N56" s="1">
        <v>4218</v>
      </c>
      <c r="O56" s="1">
        <v>4020</v>
      </c>
      <c r="P56" s="1">
        <v>3939</v>
      </c>
    </row>
    <row r="57" spans="2:16">
      <c r="B57" s="1" t="s">
        <v>51</v>
      </c>
      <c r="F57" s="6">
        <v>328</v>
      </c>
      <c r="G57" s="6">
        <v>273</v>
      </c>
      <c r="H57" s="6">
        <v>219</v>
      </c>
      <c r="I57" s="6">
        <v>166</v>
      </c>
      <c r="J57" s="6">
        <v>125</v>
      </c>
      <c r="K57" s="6">
        <v>125</v>
      </c>
      <c r="L57" s="6">
        <v>125</v>
      </c>
      <c r="M57" s="6">
        <v>125</v>
      </c>
      <c r="N57" s="1">
        <v>125</v>
      </c>
      <c r="O57" s="1">
        <v>125</v>
      </c>
      <c r="P57" s="1">
        <v>575</v>
      </c>
    </row>
    <row r="58" spans="2:16" s="4" customFormat="1">
      <c r="B58" s="4" t="s">
        <v>52</v>
      </c>
      <c r="F58" s="4">
        <f>+SUM(F43:F57)</f>
        <v>762649</v>
      </c>
      <c r="G58" s="4">
        <f>+SUM(G43:G57)</f>
        <v>737725</v>
      </c>
      <c r="H58" s="4">
        <f>+SUM(H43:H57)</f>
        <v>727471</v>
      </c>
      <c r="I58" s="4">
        <f>+SUM(I43:I57)</f>
        <v>700233</v>
      </c>
      <c r="J58" s="4">
        <f>+SUM(J43:J57)</f>
        <v>908935</v>
      </c>
      <c r="K58" s="4">
        <f>+SUM(K43:K57)</f>
        <v>895806</v>
      </c>
      <c r="L58" s="4">
        <f>+SUM(L43:L57)</f>
        <v>887375</v>
      </c>
      <c r="M58" s="4">
        <f>+SUM(M43:M57)</f>
        <v>879855</v>
      </c>
      <c r="N58" s="4">
        <f>+SUM(N43:N57)</f>
        <v>856557</v>
      </c>
      <c r="O58" s="4">
        <f>+SUM(O43:O57)</f>
        <v>842702</v>
      </c>
      <c r="P58" s="4">
        <f>+SUM(P43:P57)</f>
        <v>859174</v>
      </c>
    </row>
    <row r="60" spans="2:16">
      <c r="B60" s="1" t="s">
        <v>54</v>
      </c>
      <c r="F60" s="1">
        <v>0</v>
      </c>
      <c r="G60" s="1">
        <v>0</v>
      </c>
      <c r="H60" s="1">
        <v>0</v>
      </c>
      <c r="I60" s="1">
        <v>29642</v>
      </c>
      <c r="J60" s="1">
        <v>29642</v>
      </c>
      <c r="K60" s="1">
        <v>28814</v>
      </c>
      <c r="L60" s="1">
        <v>29607</v>
      </c>
      <c r="M60" s="1">
        <v>30613</v>
      </c>
      <c r="N60" s="1">
        <v>31426</v>
      </c>
      <c r="O60" s="1">
        <v>32348</v>
      </c>
      <c r="P60" s="1">
        <v>33515</v>
      </c>
    </row>
    <row r="61" spans="2:16">
      <c r="B61" s="1" t="s">
        <v>55</v>
      </c>
      <c r="F61" s="1">
        <v>11197</v>
      </c>
      <c r="G61" s="1">
        <v>13823</v>
      </c>
      <c r="H61" s="1">
        <v>14353</v>
      </c>
      <c r="I61" s="1">
        <v>12242</v>
      </c>
      <c r="J61" s="1">
        <v>12242</v>
      </c>
      <c r="K61" s="1">
        <v>13124</v>
      </c>
      <c r="L61" s="1">
        <v>14657</v>
      </c>
      <c r="M61" s="1">
        <v>13609</v>
      </c>
      <c r="N61" s="1">
        <v>17380</v>
      </c>
      <c r="O61" s="1">
        <v>19722</v>
      </c>
      <c r="P61" s="1">
        <v>21599</v>
      </c>
    </row>
    <row r="62" spans="2:16">
      <c r="B62" s="1" t="s">
        <v>56</v>
      </c>
      <c r="F62" s="1">
        <v>16338</v>
      </c>
      <c r="G62" s="1">
        <v>15184</v>
      </c>
      <c r="H62" s="1">
        <v>15432</v>
      </c>
      <c r="I62" s="1">
        <v>22069</v>
      </c>
      <c r="J62" s="1">
        <v>22069</v>
      </c>
      <c r="K62" s="1">
        <v>20731</v>
      </c>
      <c r="L62" s="1">
        <v>21478</v>
      </c>
      <c r="M62" s="1">
        <v>21485</v>
      </c>
      <c r="N62" s="1">
        <v>20845</v>
      </c>
      <c r="O62" s="1">
        <v>22003</v>
      </c>
      <c r="P62" s="1">
        <v>25426</v>
      </c>
    </row>
    <row r="63" spans="2:16">
      <c r="B63" s="1" t="s">
        <v>57</v>
      </c>
      <c r="F63" s="1">
        <v>12093</v>
      </c>
      <c r="G63" s="1">
        <v>11815</v>
      </c>
      <c r="H63" s="1">
        <v>11436</v>
      </c>
      <c r="I63" s="1">
        <v>6580</v>
      </c>
      <c r="J63" s="1">
        <v>6580</v>
      </c>
      <c r="K63" s="1">
        <v>8757</v>
      </c>
      <c r="L63" s="1">
        <v>10518</v>
      </c>
      <c r="M63" s="1">
        <v>13514</v>
      </c>
      <c r="N63" s="1">
        <v>13131</v>
      </c>
      <c r="O63" s="1">
        <v>10122</v>
      </c>
      <c r="P63" s="1">
        <v>13701</v>
      </c>
    </row>
    <row r="64" spans="2:16">
      <c r="B64" s="1" t="s">
        <v>58</v>
      </c>
      <c r="F64" s="1">
        <v>1839</v>
      </c>
      <c r="G64" s="1">
        <v>1622</v>
      </c>
      <c r="H64" s="1">
        <v>1640</v>
      </c>
      <c r="I64" s="1">
        <v>2016</v>
      </c>
      <c r="J64" s="1">
        <v>2016</v>
      </c>
      <c r="K64" s="1">
        <v>1836</v>
      </c>
      <c r="L64" s="1">
        <v>1824</v>
      </c>
      <c r="M64" s="1">
        <v>1832</v>
      </c>
      <c r="N64" s="1">
        <v>2797</v>
      </c>
      <c r="O64" s="1">
        <v>3137</v>
      </c>
      <c r="P64" s="1">
        <v>3378</v>
      </c>
    </row>
    <row r="65" spans="2:16">
      <c r="B65" s="1" t="s">
        <v>202</v>
      </c>
      <c r="F65" s="1">
        <v>6061</v>
      </c>
      <c r="G65" s="1">
        <v>6993</v>
      </c>
      <c r="H65" s="1">
        <v>7668</v>
      </c>
    </row>
    <row r="66" spans="2:16">
      <c r="B66" s="1" t="s">
        <v>18</v>
      </c>
      <c r="F66" s="1">
        <v>0</v>
      </c>
      <c r="G66" s="1">
        <v>0</v>
      </c>
      <c r="H66" s="1">
        <v>0</v>
      </c>
      <c r="I66" s="1">
        <v>0</v>
      </c>
      <c r="J66" s="1">
        <v>0</v>
      </c>
      <c r="N66" s="1">
        <v>6000</v>
      </c>
    </row>
    <row r="67" spans="2:16">
      <c r="B67" s="1" t="s">
        <v>44</v>
      </c>
      <c r="F67" s="1">
        <v>0</v>
      </c>
      <c r="G67" s="1">
        <v>0</v>
      </c>
      <c r="H67" s="1">
        <v>0</v>
      </c>
      <c r="I67" s="1">
        <v>271097</v>
      </c>
      <c r="J67" s="1">
        <v>271097</v>
      </c>
      <c r="K67" s="1">
        <v>274607</v>
      </c>
      <c r="L67" s="1">
        <v>273375</v>
      </c>
      <c r="M67" s="1">
        <v>271978</v>
      </c>
      <c r="N67" s="1">
        <v>271439</v>
      </c>
      <c r="O67" s="1">
        <v>272053</v>
      </c>
      <c r="P67" s="1">
        <v>277398</v>
      </c>
    </row>
    <row r="68" spans="2:16">
      <c r="B68" s="1" t="s">
        <v>203</v>
      </c>
      <c r="F68" s="1">
        <v>2500</v>
      </c>
    </row>
    <row r="69" spans="2:16">
      <c r="B69" s="1" t="s">
        <v>204</v>
      </c>
      <c r="F69" s="1">
        <v>38402</v>
      </c>
      <c r="G69" s="1">
        <v>40469</v>
      </c>
    </row>
    <row r="70" spans="2:16">
      <c r="B70" s="1" t="s">
        <v>59</v>
      </c>
      <c r="F70" s="1">
        <v>20477</v>
      </c>
      <c r="G70" s="1">
        <v>20243</v>
      </c>
      <c r="H70" s="1">
        <v>18625</v>
      </c>
      <c r="I70" s="1">
        <v>21296</v>
      </c>
      <c r="J70" s="1">
        <v>21296</v>
      </c>
      <c r="K70" s="1">
        <v>22348</v>
      </c>
      <c r="L70" s="1">
        <v>21275</v>
      </c>
      <c r="M70" s="1">
        <v>22887</v>
      </c>
      <c r="N70" s="1">
        <v>8350</v>
      </c>
      <c r="O70" s="1">
        <v>10377</v>
      </c>
      <c r="P70" s="1">
        <v>11290</v>
      </c>
    </row>
    <row r="71" spans="2:16">
      <c r="B71" s="1" t="s">
        <v>60</v>
      </c>
      <c r="F71" s="1">
        <v>500</v>
      </c>
      <c r="G71" s="1">
        <v>500</v>
      </c>
      <c r="H71" s="1">
        <v>542</v>
      </c>
      <c r="I71" s="1">
        <v>1353</v>
      </c>
      <c r="J71" s="1">
        <v>1353</v>
      </c>
      <c r="K71" s="1">
        <v>1299</v>
      </c>
      <c r="L71" s="1">
        <v>1267</v>
      </c>
      <c r="M71" s="1">
        <v>1234</v>
      </c>
      <c r="N71" s="1">
        <v>819</v>
      </c>
      <c r="O71" s="1">
        <v>799</v>
      </c>
      <c r="P71" s="1">
        <v>779</v>
      </c>
    </row>
    <row r="72" spans="2:16">
      <c r="B72" s="1" t="s">
        <v>61</v>
      </c>
      <c r="F72" s="1">
        <v>125</v>
      </c>
      <c r="G72" s="1">
        <v>145</v>
      </c>
      <c r="H72" s="1">
        <v>164</v>
      </c>
      <c r="I72" s="1">
        <v>1414</v>
      </c>
      <c r="J72" s="1">
        <v>1414</v>
      </c>
      <c r="K72" s="1">
        <v>1733</v>
      </c>
      <c r="L72" s="1">
        <v>2050</v>
      </c>
      <c r="M72" s="1">
        <v>2369</v>
      </c>
      <c r="N72" s="1">
        <v>1773</v>
      </c>
      <c r="O72" s="1">
        <v>1863</v>
      </c>
      <c r="P72" s="1">
        <v>1953</v>
      </c>
    </row>
    <row r="73" spans="2:16" s="6" customFormat="1">
      <c r="B73" s="6" t="s">
        <v>62</v>
      </c>
      <c r="F73" s="6">
        <v>653117</v>
      </c>
      <c r="G73" s="6">
        <v>626931</v>
      </c>
      <c r="H73" s="6">
        <v>612183</v>
      </c>
      <c r="I73" s="6">
        <v>541226</v>
      </c>
      <c r="J73" s="6">
        <v>541226</v>
      </c>
      <c r="K73" s="6">
        <v>522557</v>
      </c>
      <c r="L73" s="6">
        <v>511324</v>
      </c>
      <c r="M73" s="6">
        <v>500334</v>
      </c>
      <c r="N73" s="6">
        <v>482597</v>
      </c>
      <c r="O73" s="6">
        <v>470278</v>
      </c>
      <c r="P73" s="6">
        <v>470135</v>
      </c>
    </row>
    <row r="74" spans="2:16" s="4" customFormat="1">
      <c r="B74" s="4" t="s">
        <v>53</v>
      </c>
      <c r="F74" s="4">
        <f>+SUM(F60:F73)</f>
        <v>762649</v>
      </c>
      <c r="G74" s="4">
        <f>+SUM(G60:G73)</f>
        <v>737725</v>
      </c>
      <c r="H74" s="4">
        <f>+SUM(H60:H73)</f>
        <v>682043</v>
      </c>
      <c r="I74" s="4">
        <f>+SUM(I60:I73)</f>
        <v>908935</v>
      </c>
      <c r="J74" s="4">
        <f>+SUM(J60:J73)</f>
        <v>908935</v>
      </c>
      <c r="K74" s="4">
        <f>+SUM(K60:K73)</f>
        <v>895806</v>
      </c>
      <c r="L74" s="4">
        <f>+SUM(L60:L73)</f>
        <v>887375</v>
      </c>
      <c r="M74" s="4">
        <f>+SUM(M60:M73)</f>
        <v>879855</v>
      </c>
      <c r="N74" s="4">
        <f>+SUM(N60:N73)</f>
        <v>856557</v>
      </c>
      <c r="O74" s="4">
        <f>+SUM(O60:O73)</f>
        <v>842702</v>
      </c>
      <c r="P74" s="4">
        <f>+SUM(P60:P73)</f>
        <v>859174</v>
      </c>
    </row>
    <row r="79" spans="2:16">
      <c r="B79" s="1" t="s">
        <v>66</v>
      </c>
      <c r="O79" s="1">
        <v>-26067</v>
      </c>
    </row>
    <row r="80" spans="2:16">
      <c r="B80" s="1" t="s">
        <v>20</v>
      </c>
      <c r="O80" s="1">
        <v>16427</v>
      </c>
    </row>
    <row r="81" spans="2:15">
      <c r="B81" s="1" t="s">
        <v>160</v>
      </c>
      <c r="O81" s="1">
        <v>23</v>
      </c>
    </row>
    <row r="82" spans="2:15">
      <c r="B82" s="1" t="s">
        <v>161</v>
      </c>
      <c r="O82" s="1">
        <v>19</v>
      </c>
    </row>
    <row r="83" spans="2:15">
      <c r="B83" s="1" t="s">
        <v>162</v>
      </c>
      <c r="O83" s="1">
        <v>226</v>
      </c>
    </row>
    <row r="84" spans="2:15">
      <c r="B84" s="1" t="s">
        <v>163</v>
      </c>
      <c r="O84" s="1">
        <v>7547</v>
      </c>
    </row>
    <row r="85" spans="2:15">
      <c r="B85" s="1" t="s">
        <v>164</v>
      </c>
      <c r="O85" s="1">
        <v>66</v>
      </c>
    </row>
    <row r="86" spans="2:15">
      <c r="B86" s="1" t="s">
        <v>165</v>
      </c>
      <c r="O86" s="1">
        <v>9626</v>
      </c>
    </row>
    <row r="87" spans="2:15">
      <c r="B87" s="1" t="s">
        <v>166</v>
      </c>
      <c r="O87" s="1">
        <v>24</v>
      </c>
    </row>
    <row r="88" spans="2:15">
      <c r="B88" s="1" t="s">
        <v>173</v>
      </c>
      <c r="O88" s="1">
        <v>175</v>
      </c>
    </row>
    <row r="89" spans="2:15">
      <c r="B89" s="1" t="s">
        <v>167</v>
      </c>
      <c r="O89" s="1">
        <v>90</v>
      </c>
    </row>
    <row r="90" spans="2:15">
      <c r="B90" s="1" t="s">
        <v>168</v>
      </c>
      <c r="O90" s="1">
        <v>2027</v>
      </c>
    </row>
    <row r="91" spans="2:15">
      <c r="B91" s="1" t="s">
        <v>39</v>
      </c>
      <c r="O91" s="1">
        <v>-2088</v>
      </c>
    </row>
    <row r="92" spans="2:15">
      <c r="B92" s="1" t="s">
        <v>40</v>
      </c>
      <c r="O92" s="1">
        <v>215</v>
      </c>
    </row>
    <row r="93" spans="2:15">
      <c r="B93" s="1" t="s">
        <v>41</v>
      </c>
      <c r="O93" s="1">
        <v>775</v>
      </c>
    </row>
    <row r="94" spans="2:15">
      <c r="B94" s="1" t="s">
        <v>169</v>
      </c>
      <c r="O94" s="1">
        <v>-5820</v>
      </c>
    </row>
    <row r="95" spans="2:15">
      <c r="B95" s="1" t="s">
        <v>55</v>
      </c>
      <c r="O95" s="1">
        <v>1884</v>
      </c>
    </row>
    <row r="96" spans="2:15">
      <c r="B96" s="1" t="s">
        <v>170</v>
      </c>
      <c r="O96" s="1">
        <v>-3009</v>
      </c>
    </row>
    <row r="97" spans="2:15">
      <c r="B97" s="1" t="s">
        <v>56</v>
      </c>
      <c r="O97" s="1">
        <v>966</v>
      </c>
    </row>
    <row r="98" spans="2:15">
      <c r="B98" s="1" t="s">
        <v>171</v>
      </c>
      <c r="O98" s="1">
        <v>340</v>
      </c>
    </row>
    <row r="99" spans="2:15" s="6" customFormat="1">
      <c r="B99" s="6" t="s">
        <v>60</v>
      </c>
      <c r="O99" s="6">
        <v>-20</v>
      </c>
    </row>
    <row r="100" spans="2:15" s="4" customFormat="1">
      <c r="B100" s="4" t="s">
        <v>172</v>
      </c>
      <c r="O100" s="4">
        <f>+SUM(O79:O99)</f>
        <v>3426</v>
      </c>
    </row>
    <row r="102" spans="2:15">
      <c r="B102" s="1" t="s">
        <v>174</v>
      </c>
      <c r="O102" s="1">
        <v>-13410</v>
      </c>
    </row>
    <row r="103" spans="2:15">
      <c r="B103" s="1" t="s">
        <v>175</v>
      </c>
      <c r="O103" s="1">
        <v>-1612</v>
      </c>
    </row>
    <row r="104" spans="2:15">
      <c r="B104" s="1" t="s">
        <v>176</v>
      </c>
      <c r="O104" s="1">
        <v>0</v>
      </c>
    </row>
    <row r="105" spans="2:15" s="4" customFormat="1">
      <c r="B105" s="4" t="s">
        <v>177</v>
      </c>
      <c r="O105" s="4">
        <f>+SUM(O102:O104)</f>
        <v>-15022</v>
      </c>
    </row>
    <row r="107" spans="2:15">
      <c r="B107" s="1" t="s">
        <v>178</v>
      </c>
      <c r="O107" s="1">
        <v>1990</v>
      </c>
    </row>
    <row r="108" spans="2:15">
      <c r="B108" s="1" t="s">
        <v>179</v>
      </c>
      <c r="O108" s="1">
        <v>-3868</v>
      </c>
    </row>
    <row r="109" spans="2:15">
      <c r="B109" s="1" t="s">
        <v>180</v>
      </c>
      <c r="O109" s="1">
        <v>0</v>
      </c>
    </row>
    <row r="110" spans="2:15" s="4" customFormat="1">
      <c r="B110" s="4" t="s">
        <v>181</v>
      </c>
      <c r="O110" s="4">
        <f>+SUM(O107:O109)</f>
        <v>-1878</v>
      </c>
    </row>
    <row r="112" spans="2:15">
      <c r="B112" s="1" t="s">
        <v>182</v>
      </c>
      <c r="O112" s="1">
        <f>+O100+O105+O110</f>
        <v>-13474</v>
      </c>
    </row>
    <row r="113" spans="2:15">
      <c r="B113" s="1" t="s">
        <v>183</v>
      </c>
      <c r="O113" s="1">
        <f>+N43</f>
        <v>257230</v>
      </c>
    </row>
    <row r="114" spans="2:15" s="4" customFormat="1">
      <c r="B114" s="4" t="s">
        <v>184</v>
      </c>
      <c r="O114" s="4">
        <f>+SUM(O112:O113)</f>
        <v>243756</v>
      </c>
    </row>
  </sheetData>
  <mergeCells count="1">
    <mergeCell ref="AA6:AJ6"/>
  </mergeCells>
  <pageMargins left="0.7" right="0.7" top="0.75" bottom="0.75" header="0.3" footer="0.3"/>
  <ignoredErrors>
    <ignoredError sqref="Y25 Y8 Y9:Y15 Y24 U17:V17 U18:V18 U15:V15 U14:V14 U13:V13 U12:V12 U11:V11 U10:V10 U9:V9 U24:W24 U8:V8 U25:X25 U16:W16 Q17:T17 Q16:T16 X16 O25:T25 W8:X8 Q24:T24 X24 Q9:T9 W9:X9 Q10:T10 W10:X10 Q11:T11 W11:X11 Q12:T12 W12:X12 Q13:T13 W13:X13 Q14:T14 W14:X14 Q15:T15 W15:X15 Q19:T19 Q18:T18 W18:X18 W17:X17 Q21:T21 Q20:T20 X20 W19:X19 Q23:T23 Q22:T22 X22 W21:X21 W23 Y16:Y18 N8:N15" formulaRange="1"/>
    <ignoredError sqref="Y19:Y23 U23:V23 U21:V21 U22:W22 U19:V19 U20:W20 X23 N16:N24" formula="1" formulaRange="1"/>
    <ignoredError sqref="J25:N25 J16:M24" formula="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2024-02-17T05:32:52Z</dcterms:created>
  <dcterms:modified xsi:type="dcterms:W3CDTF">2024-08-22T02:33:42Z</dcterms:modified>
</cp:coreProperties>
</file>