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61D6C799-B1AB-D344-ABF1-F06A773F06AC}" xr6:coauthVersionLast="47" xr6:coauthVersionMax="47" xr10:uidLastSave="{00000000-0000-0000-0000-000000000000}"/>
  <bookViews>
    <workbookView xWindow="51780" yWindow="9780" windowWidth="49200" windowHeight="28140" activeTab="1" xr2:uid="{EF2A3D6B-821C-A34C-B483-7C14093599E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4" i="2" l="1"/>
  <c r="AO43" i="2"/>
  <c r="AO42" i="2"/>
  <c r="L78" i="2"/>
  <c r="L77" i="2"/>
  <c r="P78" i="2"/>
  <c r="J78" i="2"/>
  <c r="J77" i="2"/>
  <c r="N78" i="2"/>
  <c r="N77" i="2"/>
  <c r="N79" i="2" s="1"/>
  <c r="P77" i="2"/>
  <c r="P79" i="2" s="1"/>
  <c r="M79" i="2"/>
  <c r="K79" i="2"/>
  <c r="O79" i="2"/>
  <c r="I79" i="2"/>
  <c r="H79" i="2"/>
  <c r="G79" i="2"/>
  <c r="F79" i="2"/>
  <c r="E79" i="2"/>
  <c r="D79" i="2"/>
  <c r="C79" i="2"/>
  <c r="AL16" i="2"/>
  <c r="AK16" i="2"/>
  <c r="AJ16" i="2"/>
  <c r="AJ39" i="2" s="1"/>
  <c r="AI16" i="2"/>
  <c r="AI39" i="2" s="1"/>
  <c r="AH16" i="2"/>
  <c r="AH39" i="2" s="1"/>
  <c r="AG16" i="2"/>
  <c r="AG39" i="2" s="1"/>
  <c r="AF16" i="2"/>
  <c r="AF39" i="2" s="1"/>
  <c r="AE16" i="2"/>
  <c r="AD16" i="2"/>
  <c r="AL15" i="2"/>
  <c r="AK15" i="2"/>
  <c r="AJ15" i="2"/>
  <c r="AJ38" i="2" s="1"/>
  <c r="AI15" i="2"/>
  <c r="AH15" i="2"/>
  <c r="AH38" i="2" s="1"/>
  <c r="AG15" i="2"/>
  <c r="AF15" i="2"/>
  <c r="AF38" i="2" s="1"/>
  <c r="AE15" i="2"/>
  <c r="AD15" i="2"/>
  <c r="AL14" i="2"/>
  <c r="AK14" i="2"/>
  <c r="AJ14" i="2"/>
  <c r="AI14" i="2"/>
  <c r="AI37" i="2" s="1"/>
  <c r="AH14" i="2"/>
  <c r="AG14" i="2"/>
  <c r="AF14" i="2"/>
  <c r="AE14" i="2"/>
  <c r="AD14" i="2"/>
  <c r="AL41" i="2"/>
  <c r="AK41" i="2"/>
  <c r="AJ41" i="2"/>
  <c r="AI41" i="2"/>
  <c r="AH41" i="2"/>
  <c r="AG41" i="2"/>
  <c r="AF41" i="2"/>
  <c r="AE41" i="2"/>
  <c r="AD41" i="2"/>
  <c r="AL40" i="2"/>
  <c r="AK40" i="2"/>
  <c r="AJ40" i="2"/>
  <c r="AI40" i="2"/>
  <c r="AH40" i="2"/>
  <c r="AG40" i="2"/>
  <c r="AF40" i="2"/>
  <c r="AE40" i="2"/>
  <c r="AD40" i="2"/>
  <c r="AL39" i="2"/>
  <c r="AK39" i="2"/>
  <c r="AE39" i="2"/>
  <c r="AD39" i="2"/>
  <c r="AL38" i="2"/>
  <c r="AK38" i="2"/>
  <c r="AI38" i="2"/>
  <c r="AG38" i="2"/>
  <c r="AE38" i="2"/>
  <c r="AD38" i="2"/>
  <c r="AL37" i="2"/>
  <c r="AK37" i="2"/>
  <c r="AJ37" i="2"/>
  <c r="AH37" i="2"/>
  <c r="AG37" i="2"/>
  <c r="AF37" i="2"/>
  <c r="AE37" i="2"/>
  <c r="AD37" i="2"/>
  <c r="AL17" i="2"/>
  <c r="AK17" i="2"/>
  <c r="AJ17" i="2"/>
  <c r="AI17" i="2"/>
  <c r="AH17" i="2"/>
  <c r="AG17" i="2"/>
  <c r="AF17" i="2"/>
  <c r="AE17" i="2"/>
  <c r="AD17" i="2"/>
  <c r="AC17" i="2"/>
  <c r="AC16" i="2"/>
  <c r="AC39" i="2" s="1"/>
  <c r="AC15" i="2"/>
  <c r="AC14" i="2"/>
  <c r="AC37" i="2" s="1"/>
  <c r="R41" i="2"/>
  <c r="R40" i="2"/>
  <c r="R39" i="2"/>
  <c r="R38" i="2"/>
  <c r="R37" i="2"/>
  <c r="AC41" i="2"/>
  <c r="AC40" i="2"/>
  <c r="AC38" i="2"/>
  <c r="AB41" i="2"/>
  <c r="AB40" i="2"/>
  <c r="AB39" i="2"/>
  <c r="AB38" i="2"/>
  <c r="AB37" i="2"/>
  <c r="AA41" i="2"/>
  <c r="AA40" i="2"/>
  <c r="AA39" i="2"/>
  <c r="AA38" i="2"/>
  <c r="AA37" i="2"/>
  <c r="Z41" i="2"/>
  <c r="Z40" i="2"/>
  <c r="Z39" i="2"/>
  <c r="Z38" i="2"/>
  <c r="Z37" i="2"/>
  <c r="Y41" i="2"/>
  <c r="Y40" i="2"/>
  <c r="Y39" i="2"/>
  <c r="Y38" i="2"/>
  <c r="Y37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41" i="2"/>
  <c r="P40" i="2"/>
  <c r="P39" i="2"/>
  <c r="P38" i="2"/>
  <c r="P37" i="2"/>
  <c r="AC18" i="2"/>
  <c r="O9" i="2"/>
  <c r="O8" i="2"/>
  <c r="P9" i="2"/>
  <c r="P8" i="2"/>
  <c r="O6" i="2"/>
  <c r="P6" i="2"/>
  <c r="O73" i="2"/>
  <c r="O74" i="2" s="1"/>
  <c r="N72" i="2"/>
  <c r="O72" i="2"/>
  <c r="P72" i="2"/>
  <c r="O71" i="2"/>
  <c r="N71" i="2"/>
  <c r="P71" i="2"/>
  <c r="P73" i="2" s="1"/>
  <c r="P74" i="2" s="1"/>
  <c r="O66" i="2"/>
  <c r="O55" i="2"/>
  <c r="O34" i="2"/>
  <c r="O33" i="2"/>
  <c r="O13" i="2"/>
  <c r="O21" i="2" s="1"/>
  <c r="N66" i="2"/>
  <c r="N68" i="2" s="1"/>
  <c r="N55" i="2"/>
  <c r="P35" i="2"/>
  <c r="P34" i="2"/>
  <c r="P33" i="2"/>
  <c r="P13" i="2"/>
  <c r="P21" i="2" s="1"/>
  <c r="P66" i="2"/>
  <c r="P68" i="2" s="1"/>
  <c r="P55" i="2"/>
  <c r="C6" i="1"/>
  <c r="C5" i="1"/>
  <c r="C4" i="1"/>
  <c r="J11" i="2"/>
  <c r="N33" i="2" s="1"/>
  <c r="AC4" i="2"/>
  <c r="AD4" i="2" s="1"/>
  <c r="AA4" i="2"/>
  <c r="AA8" i="2" s="1"/>
  <c r="G8" i="2"/>
  <c r="G5" i="2"/>
  <c r="G9" i="2" s="1"/>
  <c r="H8" i="2"/>
  <c r="H5" i="2"/>
  <c r="H9" i="2" s="1"/>
  <c r="I8" i="2"/>
  <c r="I5" i="2"/>
  <c r="I9" i="2" s="1"/>
  <c r="J5" i="2"/>
  <c r="AA5" i="2" s="1"/>
  <c r="AA9" i="2" s="1"/>
  <c r="M8" i="2"/>
  <c r="L8" i="2"/>
  <c r="K8" i="2"/>
  <c r="N4" i="2"/>
  <c r="N8" i="2" s="1"/>
  <c r="K5" i="2"/>
  <c r="K6" i="2" s="1"/>
  <c r="L5" i="2"/>
  <c r="L9" i="2" s="1"/>
  <c r="M5" i="2"/>
  <c r="M9" i="2" s="1"/>
  <c r="AB5" i="2"/>
  <c r="AB6" i="2" s="1"/>
  <c r="AO38" i="2"/>
  <c r="E4" i="1"/>
  <c r="E5" i="1" s="1"/>
  <c r="AO36" i="2"/>
  <c r="AM1" i="2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AB27" i="2"/>
  <c r="AB25" i="2"/>
  <c r="AB23" i="2"/>
  <c r="AB22" i="2"/>
  <c r="AB20" i="2"/>
  <c r="AB19" i="2"/>
  <c r="AB18" i="2"/>
  <c r="AB17" i="2"/>
  <c r="AB16" i="2"/>
  <c r="AB15" i="2"/>
  <c r="AB14" i="2"/>
  <c r="AB12" i="2"/>
  <c r="AB34" i="2" s="1"/>
  <c r="AB11" i="2"/>
  <c r="AB8" i="2" s="1"/>
  <c r="N13" i="2"/>
  <c r="N21" i="2" s="1"/>
  <c r="N24" i="2" s="1"/>
  <c r="N26" i="2" s="1"/>
  <c r="N28" i="2" s="1"/>
  <c r="N30" i="2" s="1"/>
  <c r="G34" i="2"/>
  <c r="G33" i="2"/>
  <c r="H34" i="2"/>
  <c r="H33" i="2"/>
  <c r="I34" i="2"/>
  <c r="I33" i="2"/>
  <c r="C13" i="2"/>
  <c r="C21" i="2" s="1"/>
  <c r="C24" i="2" s="1"/>
  <c r="C26" i="2" s="1"/>
  <c r="C28" i="2" s="1"/>
  <c r="C30" i="2" s="1"/>
  <c r="F27" i="2"/>
  <c r="F25" i="2"/>
  <c r="F23" i="2"/>
  <c r="F22" i="2"/>
  <c r="F20" i="2"/>
  <c r="F19" i="2"/>
  <c r="F18" i="2"/>
  <c r="F17" i="2"/>
  <c r="F16" i="2"/>
  <c r="F15" i="2"/>
  <c r="F14" i="2"/>
  <c r="F12" i="2"/>
  <c r="F11" i="2"/>
  <c r="D13" i="2"/>
  <c r="D21" i="2" s="1"/>
  <c r="D24" i="2" s="1"/>
  <c r="D26" i="2" s="1"/>
  <c r="D28" i="2" s="1"/>
  <c r="D30" i="2" s="1"/>
  <c r="E13" i="2"/>
  <c r="E21" i="2" s="1"/>
  <c r="E24" i="2" s="1"/>
  <c r="E26" i="2" s="1"/>
  <c r="E28" i="2" s="1"/>
  <c r="E30" i="2" s="1"/>
  <c r="Z34" i="2"/>
  <c r="Z33" i="2"/>
  <c r="Y13" i="2"/>
  <c r="Y21" i="2" s="1"/>
  <c r="Y24" i="2" s="1"/>
  <c r="Y26" i="2" s="1"/>
  <c r="Y28" i="2" s="1"/>
  <c r="Y30" i="2" s="1"/>
  <c r="AA34" i="2"/>
  <c r="AA33" i="2"/>
  <c r="J27" i="2"/>
  <c r="J25" i="2"/>
  <c r="J23" i="2"/>
  <c r="J22" i="2"/>
  <c r="J20" i="2"/>
  <c r="J19" i="2"/>
  <c r="J18" i="2"/>
  <c r="J17" i="2"/>
  <c r="J16" i="2"/>
  <c r="J15" i="2"/>
  <c r="J14" i="2"/>
  <c r="J12" i="2"/>
  <c r="N34" i="2" s="1"/>
  <c r="K34" i="2"/>
  <c r="K33" i="2"/>
  <c r="G13" i="2"/>
  <c r="G21" i="2" s="1"/>
  <c r="G24" i="2" s="1"/>
  <c r="G26" i="2" s="1"/>
  <c r="G28" i="2" s="1"/>
  <c r="G30" i="2" s="1"/>
  <c r="K13" i="2"/>
  <c r="K21" i="2" s="1"/>
  <c r="K24" i="2" s="1"/>
  <c r="K26" i="2" s="1"/>
  <c r="K28" i="2" s="1"/>
  <c r="K30" i="2" s="1"/>
  <c r="L34" i="2"/>
  <c r="L33" i="2"/>
  <c r="H13" i="2"/>
  <c r="H21" i="2" s="1"/>
  <c r="H24" i="2" s="1"/>
  <c r="H26" i="2" s="1"/>
  <c r="H28" i="2" s="1"/>
  <c r="H30" i="2" s="1"/>
  <c r="L13" i="2"/>
  <c r="L21" i="2" s="1"/>
  <c r="L24" i="2" s="1"/>
  <c r="L26" i="2" s="1"/>
  <c r="L28" i="2" s="1"/>
  <c r="L30" i="2" s="1"/>
  <c r="M34" i="2"/>
  <c r="M33" i="2"/>
  <c r="I13" i="2"/>
  <c r="I21" i="2" s="1"/>
  <c r="I24" i="2" s="1"/>
  <c r="I26" i="2" s="1"/>
  <c r="I28" i="2" s="1"/>
  <c r="I30" i="2" s="1"/>
  <c r="M13" i="2"/>
  <c r="M21" i="2" s="1"/>
  <c r="M24" i="2" s="1"/>
  <c r="M26" i="2" s="1"/>
  <c r="M28" i="2" s="1"/>
  <c r="M30" i="2" s="1"/>
  <c r="AA13" i="2"/>
  <c r="Z13" i="2"/>
  <c r="Z21" i="2" s="1"/>
  <c r="Z24" i="2" s="1"/>
  <c r="Z26" i="2" s="1"/>
  <c r="Z28" i="2" s="1"/>
  <c r="Z30" i="2" s="1"/>
  <c r="X3" i="2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D6" i="1"/>
  <c r="D7" i="1" s="1"/>
  <c r="L79" i="2" l="1"/>
  <c r="J79" i="2"/>
  <c r="N73" i="2"/>
  <c r="N74" i="2" s="1"/>
  <c r="O35" i="2"/>
  <c r="O24" i="2"/>
  <c r="O26" i="2" s="1"/>
  <c r="O28" i="2" s="1"/>
  <c r="O30" i="2" s="1"/>
  <c r="P24" i="2"/>
  <c r="P26" i="2" s="1"/>
  <c r="P28" i="2" s="1"/>
  <c r="P30" i="2" s="1"/>
  <c r="K9" i="2"/>
  <c r="AC5" i="2"/>
  <c r="AC8" i="2"/>
  <c r="AD8" i="2" s="1"/>
  <c r="AE8" i="2" s="1"/>
  <c r="AF8" i="2" s="1"/>
  <c r="AG8" i="2" s="1"/>
  <c r="AH8" i="2" s="1"/>
  <c r="AI8" i="2" s="1"/>
  <c r="AJ8" i="2" s="1"/>
  <c r="AK8" i="2" s="1"/>
  <c r="AL8" i="2" s="1"/>
  <c r="AB32" i="2"/>
  <c r="H6" i="2"/>
  <c r="AA6" i="2"/>
  <c r="L6" i="2"/>
  <c r="J9" i="2"/>
  <c r="G6" i="2"/>
  <c r="M6" i="2"/>
  <c r="J6" i="2"/>
  <c r="I6" i="2"/>
  <c r="AB9" i="2"/>
  <c r="AC9" i="2" s="1"/>
  <c r="N5" i="2"/>
  <c r="C8" i="1"/>
  <c r="J8" i="2"/>
  <c r="AE4" i="2"/>
  <c r="AB13" i="2"/>
  <c r="AB21" i="2" s="1"/>
  <c r="AB24" i="2" s="1"/>
  <c r="AB26" i="2" s="1"/>
  <c r="AB28" i="2" s="1"/>
  <c r="J34" i="2"/>
  <c r="J13" i="2"/>
  <c r="J21" i="2" s="1"/>
  <c r="J24" i="2" s="1"/>
  <c r="J26" i="2" s="1"/>
  <c r="J28" i="2" s="1"/>
  <c r="J33" i="2"/>
  <c r="AB30" i="2"/>
  <c r="H35" i="2"/>
  <c r="AB33" i="2"/>
  <c r="I35" i="2"/>
  <c r="F30" i="2"/>
  <c r="G35" i="2"/>
  <c r="F13" i="2"/>
  <c r="F21" i="2" s="1"/>
  <c r="F24" i="2" s="1"/>
  <c r="F26" i="2" s="1"/>
  <c r="F28" i="2" s="1"/>
  <c r="M35" i="2"/>
  <c r="K35" i="2"/>
  <c r="AA35" i="2"/>
  <c r="L35" i="2"/>
  <c r="Z35" i="2"/>
  <c r="AA21" i="2"/>
  <c r="AA24" i="2" s="1"/>
  <c r="AA26" i="2" s="1"/>
  <c r="AA28" i="2" s="1"/>
  <c r="AA30" i="2" s="1"/>
  <c r="J30" i="2" s="1"/>
  <c r="AC11" i="2" l="1"/>
  <c r="AE11" i="2"/>
  <c r="AC12" i="2"/>
  <c r="AC6" i="2"/>
  <c r="AD5" i="2"/>
  <c r="AB35" i="2"/>
  <c r="AD11" i="2"/>
  <c r="N6" i="2"/>
  <c r="N9" i="2"/>
  <c r="AB10" i="2"/>
  <c r="AF4" i="2"/>
  <c r="AF11" i="2" s="1"/>
  <c r="N35" i="2"/>
  <c r="J35" i="2"/>
  <c r="AC33" i="2"/>
  <c r="AB29" i="2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F29" i="2"/>
  <c r="J29" i="2"/>
  <c r="AE5" i="2" l="1"/>
  <c r="AD6" i="2"/>
  <c r="AD9" i="2"/>
  <c r="AG4" i="2"/>
  <c r="AG11" i="2" s="1"/>
  <c r="AD33" i="2"/>
  <c r="AF5" i="2" l="1"/>
  <c r="AE6" i="2"/>
  <c r="AC34" i="2"/>
  <c r="AC13" i="2"/>
  <c r="AE9" i="2"/>
  <c r="AD12" i="2"/>
  <c r="AH4" i="2"/>
  <c r="AH11" i="2" s="1"/>
  <c r="AE33" i="2"/>
  <c r="AG5" i="2" l="1"/>
  <c r="AF6" i="2"/>
  <c r="AD34" i="2"/>
  <c r="AD13" i="2"/>
  <c r="AF9" i="2"/>
  <c r="AE12" i="2"/>
  <c r="AC35" i="2"/>
  <c r="AI4" i="2"/>
  <c r="AI11" i="2" s="1"/>
  <c r="AF33" i="2"/>
  <c r="AC21" i="2" l="1"/>
  <c r="AC23" i="2" s="1"/>
  <c r="AH5" i="2"/>
  <c r="AG6" i="2"/>
  <c r="AE13" i="2"/>
  <c r="AE34" i="2"/>
  <c r="AG9" i="2"/>
  <c r="AF12" i="2"/>
  <c r="AD18" i="2"/>
  <c r="AD35" i="2"/>
  <c r="AJ4" i="2"/>
  <c r="AJ11" i="2" s="1"/>
  <c r="AG33" i="2"/>
  <c r="AD21" i="2" l="1"/>
  <c r="AI5" i="2"/>
  <c r="AH6" i="2"/>
  <c r="AC22" i="2"/>
  <c r="AC24" i="2" s="1"/>
  <c r="AC25" i="2" s="1"/>
  <c r="AC26" i="2" s="1"/>
  <c r="AC28" i="2" s="1"/>
  <c r="AC30" i="2" s="1"/>
  <c r="AD23" i="2"/>
  <c r="AH9" i="2"/>
  <c r="AG12" i="2"/>
  <c r="AF13" i="2"/>
  <c r="AF34" i="2"/>
  <c r="AE18" i="2"/>
  <c r="AE35" i="2"/>
  <c r="AK4" i="2"/>
  <c r="AK11" i="2" s="1"/>
  <c r="AH33" i="2"/>
  <c r="AD22" i="2" l="1"/>
  <c r="AD24" i="2"/>
  <c r="AD25" i="2"/>
  <c r="AD26" i="2"/>
  <c r="AJ5" i="2"/>
  <c r="AI6" i="2"/>
  <c r="AF18" i="2"/>
  <c r="AF35" i="2"/>
  <c r="AE21" i="2"/>
  <c r="AG13" i="2"/>
  <c r="AG34" i="2"/>
  <c r="AI9" i="2"/>
  <c r="AH12" i="2"/>
  <c r="AD28" i="2"/>
  <c r="AD30" i="2" s="1"/>
  <c r="AL4" i="2"/>
  <c r="AI33" i="2"/>
  <c r="AF21" i="2" l="1"/>
  <c r="AK5" i="2"/>
  <c r="AJ6" i="2"/>
  <c r="AE22" i="2"/>
  <c r="AE23" i="2"/>
  <c r="AG18" i="2"/>
  <c r="AH18" i="2" s="1"/>
  <c r="AG35" i="2"/>
  <c r="AH13" i="2"/>
  <c r="AH34" i="2"/>
  <c r="AJ9" i="2"/>
  <c r="AI12" i="2"/>
  <c r="AL11" i="2"/>
  <c r="AJ33" i="2"/>
  <c r="AF22" i="2" l="1"/>
  <c r="AF23" i="2"/>
  <c r="AF24" i="2" s="1"/>
  <c r="AE24" i="2"/>
  <c r="AE25" i="2" s="1"/>
  <c r="AG21" i="2"/>
  <c r="AG22" i="2" s="1"/>
  <c r="AL5" i="2"/>
  <c r="AL6" i="2" s="1"/>
  <c r="AK6" i="2"/>
  <c r="AK9" i="2"/>
  <c r="AJ12" i="2"/>
  <c r="AI13" i="2"/>
  <c r="AI34" i="2"/>
  <c r="AH35" i="2"/>
  <c r="AK33" i="2"/>
  <c r="AF25" i="2" l="1"/>
  <c r="AE26" i="2"/>
  <c r="AE28" i="2" s="1"/>
  <c r="AE30" i="2" s="1"/>
  <c r="AF26" i="2"/>
  <c r="AF28" i="2" s="1"/>
  <c r="AF30" i="2" s="1"/>
  <c r="AG23" i="2"/>
  <c r="AG24" i="2" s="1"/>
  <c r="AG25" i="2" s="1"/>
  <c r="AG26" i="2" s="1"/>
  <c r="AG28" i="2" s="1"/>
  <c r="AG30" i="2" s="1"/>
  <c r="AI18" i="2"/>
  <c r="AI21" i="2"/>
  <c r="AI35" i="2"/>
  <c r="AJ13" i="2"/>
  <c r="AJ34" i="2"/>
  <c r="AH21" i="2"/>
  <c r="AL9" i="2"/>
  <c r="AL12" i="2" s="1"/>
  <c r="AK12" i="2"/>
  <c r="AL33" i="2"/>
  <c r="AJ35" i="2" l="1"/>
  <c r="AJ18" i="2"/>
  <c r="AK13" i="2"/>
  <c r="AK34" i="2"/>
  <c r="AL34" i="2"/>
  <c r="AL13" i="2"/>
  <c r="AH23" i="2"/>
  <c r="AI23" i="2" s="1"/>
  <c r="AH22" i="2"/>
  <c r="AJ21" i="2" l="1"/>
  <c r="AJ23" i="2" s="1"/>
  <c r="AI22" i="2"/>
  <c r="AI24" i="2" s="1"/>
  <c r="AH24" i="2"/>
  <c r="AH25" i="2" s="1"/>
  <c r="AH26" i="2" s="1"/>
  <c r="AH28" i="2" s="1"/>
  <c r="AH30" i="2" s="1"/>
  <c r="AK35" i="2"/>
  <c r="AK18" i="2"/>
  <c r="AL18" i="2" s="1"/>
  <c r="AL35" i="2"/>
  <c r="AL21" i="2" l="1"/>
  <c r="AI25" i="2"/>
  <c r="AI26" i="2" s="1"/>
  <c r="AI28" i="2" s="1"/>
  <c r="AI30" i="2" s="1"/>
  <c r="AJ22" i="2"/>
  <c r="AK21" i="2"/>
  <c r="AK22" i="2" l="1"/>
  <c r="AL22" i="2" s="1"/>
  <c r="AJ24" i="2"/>
  <c r="AJ25" i="2" s="1"/>
  <c r="AJ26" i="2" s="1"/>
  <c r="AJ28" i="2" s="1"/>
  <c r="AJ30" i="2" s="1"/>
  <c r="AK23" i="2"/>
  <c r="AL23" i="2" s="1"/>
  <c r="AL24" i="2" l="1"/>
  <c r="AK24" i="2"/>
  <c r="AK25" i="2" s="1"/>
  <c r="AK26" i="2" s="1"/>
  <c r="AK28" i="2" s="1"/>
  <c r="AK30" i="2" s="1"/>
  <c r="AL25" i="2" l="1"/>
  <c r="AL26" i="2" s="1"/>
  <c r="AL28" i="2" s="1"/>
  <c r="AL30" i="2" l="1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GV28" i="2" s="1"/>
  <c r="GW28" i="2" s="1"/>
  <c r="GX28" i="2" s="1"/>
  <c r="GY28" i="2" s="1"/>
  <c r="GZ28" i="2" s="1"/>
  <c r="HA28" i="2" s="1"/>
  <c r="HB28" i="2" s="1"/>
  <c r="HC28" i="2" s="1"/>
  <c r="HD28" i="2" s="1"/>
  <c r="HE28" i="2" s="1"/>
  <c r="HF28" i="2" s="1"/>
  <c r="HG28" i="2" s="1"/>
  <c r="HH28" i="2" s="1"/>
  <c r="HI28" i="2" s="1"/>
  <c r="HJ28" i="2" s="1"/>
  <c r="HK28" i="2" s="1"/>
  <c r="HL28" i="2" s="1"/>
  <c r="HM28" i="2" s="1"/>
  <c r="HN28" i="2" s="1"/>
  <c r="HO28" i="2" s="1"/>
  <c r="HP28" i="2" s="1"/>
  <c r="HQ28" i="2" s="1"/>
  <c r="HR28" i="2" s="1"/>
  <c r="HS28" i="2" s="1"/>
  <c r="HT28" i="2" s="1"/>
  <c r="AO35" i="2" s="1"/>
  <c r="AO37" i="2" s="1"/>
  <c r="AO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tc={31354324-C065-1D43-B625-22D6FDE6152D}</author>
    <author>tc={A2D5D3E7-A2D5-CE4E-AD65-87BC308C56A6}</author>
    <author>tc={1CF66876-2309-DA41-AB3D-489F88568FD9}</author>
    <author>tc={DD673ED8-707C-B542-8CCC-E81A5B95D696}</author>
    <author>tc={2893DE28-871A-684F-BA1E-4D41817AD98A}</author>
    <author>tc={8D898218-254E-4149-8879-249A93ACF9CB}</author>
    <author>tc={1981F7EA-5D9D-694C-B204-277E89387AD9}</author>
    <author>tc={44F5D139-E2DC-4F44-83E1-DCCDAE3ADEEC}</author>
    <author>tc={AF8647E9-45DF-B643-9656-C9B3837D6F83}</author>
    <author>tc={AFC483DA-98E8-7747-8A77-C48A0C0CD3DB}</author>
    <author>tc={DBBBA321-D69A-EE4D-AB1E-87756540E5CF}</author>
    <author>tc={08000AB5-2D01-804E-96F1-DD62A5D549EE}</author>
    <author>tc={8BD26F73-790E-234E-B998-1BF8DBA1A82B}</author>
    <author>tc={2F54DE55-22C2-2B4B-8374-0B51443CE995}</author>
    <author>tc={93BEDD1A-0C30-E843-8046-FE94FEDE4A7E}</author>
    <author>tc={097DABBD-1014-8B49-8CA5-03BF86670348}</author>
    <author>tc={9A74F1DF-FB7B-2841-BFE9-D819331890AF}</author>
    <author>tc={25D87F27-467D-444F-B1AF-00903991E80F}</author>
    <author>tc={98D7673B-9EED-0F4B-8F31-F2EBDAA4B819}</author>
    <author>tc={964001D5-2871-D846-AD61-A111D115F6E8}</author>
    <author>tc={57E95765-A855-504E-9394-D5D72A63EA1F}</author>
    <author>tc={70960F68-D3B8-164A-9DE2-03792C7951B9}</author>
    <author>tc={C2EE6C5D-6D58-064F-B9D9-A5D813D0BCDD}</author>
    <author>tc={5E0640D5-AE02-7A49-BD09-CC2145FE983D}</author>
    <author>tc={39BBFBE9-CEF9-EC4F-B7CE-12B41A660877}</author>
    <author>tc={57F600E7-DF55-F143-B0EB-3C64BA6FBA42}</author>
    <author>tc={0F66FE8A-C180-2F47-8F44-66CE2608ADBC}</author>
    <author>tc={C4B686CD-D3D4-1A48-B766-DC168D9371ED}</author>
    <author>tc={166DBA51-CAF2-E347-BD12-143F2D19FBA2}</author>
    <author>tc={0EDBB5CB-6381-8049-8766-AEAF8C3059F9}</author>
    <author>tc={3565EFAF-B290-FE4E-8390-408A71EC2533}</author>
    <author>tc={273F849E-1719-1A4E-AD1F-5E3336CB47E0}</author>
    <author>tc={C18B32D5-5826-CB40-A05E-9350A51527AE}</author>
    <author>tc={CCB26459-C910-864A-B389-B08CAE3BDADF}</author>
    <author>tc={C10477BF-4AD3-0F42-9B87-3526D690175A}</author>
    <author>tc={2D306CC3-089F-334E-B54D-9A478C98C2F8}</author>
    <author>tc={CD08292C-A3EF-774B-8F12-6F9095333C0D}</author>
    <author>tc={0874316D-0634-8A47-A6F0-3B346F71935E}</author>
    <author>tc={EA9FF059-FD1E-9D4D-A298-BC1934CCF1A5}</author>
    <author>tc={B60011DB-F9B2-DF48-9C07-73C90401CF7D}</author>
    <author>tc={8F29A2B0-F8EB-F442-B247-3F448C7F0043}</author>
  </authors>
  <commentList>
    <comment ref="AC6" authorId="0" shapeId="0" xr:uid="{31354324-C065-1D43-B625-22D6FDE6152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D6" authorId="1" shapeId="0" xr:uid="{A2D5D3E7-A2D5-CE4E-AD65-87BC308C56A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E6" authorId="2" shapeId="0" xr:uid="{1CF66876-2309-DA41-AB3D-489F88568FD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F6" authorId="3" shapeId="0" xr:uid="{DD673ED8-707C-B542-8CCC-E81A5B95D69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G6" authorId="4" shapeId="0" xr:uid="{2893DE28-871A-684F-BA1E-4D41817AD98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H6" authorId="5" shapeId="0" xr:uid="{8D898218-254E-4149-8879-249A93ACF9C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I6" authorId="6" shapeId="0" xr:uid="{1981F7EA-5D9D-694C-B204-277E89387AD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J6" authorId="7" shapeId="0" xr:uid="{44F5D139-E2DC-4F44-83E1-DCCDAE3ADEEC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K6" authorId="8" shapeId="0" xr:uid="{AF8647E9-45DF-B643-9656-C9B3837D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L6" authorId="9" shapeId="0" xr:uid="{AFC483DA-98E8-7747-8A77-C48A0C0CD3D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80</t>
      </text>
    </comment>
    <comment ref="AC14" authorId="10" shapeId="0" xr:uid="{DBBBA321-D69A-EE4D-AB1E-87756540E5C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D14" authorId="11" shapeId="0" xr:uid="{08000AB5-2D01-804E-96F1-DD62A5D549E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E14" authorId="12" shapeId="0" xr:uid="{8BD26F73-790E-234E-B998-1BF8DBA1A82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F14" authorId="13" shapeId="0" xr:uid="{2F54DE55-22C2-2B4B-8374-0B51443CE99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G14" authorId="14" shapeId="0" xr:uid="{93BEDD1A-0C30-E843-8046-FE94FEDE4A7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H14" authorId="15" shapeId="0" xr:uid="{097DABBD-1014-8B49-8CA5-03BF866703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I14" authorId="16" shapeId="0" xr:uid="{9A74F1DF-FB7B-2841-BFE9-D819331890A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J14" authorId="17" shapeId="0" xr:uid="{25D87F27-467D-444F-B1AF-00903991E8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K14" authorId="18" shapeId="0" xr:uid="{98D7673B-9EED-0F4B-8F31-F2EBDAA4B81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L14" authorId="19" shapeId="0" xr:uid="{964001D5-2871-D846-AD61-A111D115F6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C15" authorId="20" shapeId="0" xr:uid="{57E95765-A855-504E-9394-D5D72A63EA1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D15" authorId="21" shapeId="0" xr:uid="{70960F68-D3B8-164A-9DE2-03792C7951B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E15" authorId="22" shapeId="0" xr:uid="{C2EE6C5D-6D58-064F-B9D9-A5D813D0BCD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F15" authorId="23" shapeId="0" xr:uid="{5E0640D5-AE02-7A49-BD09-CC2145FE983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G15" authorId="24" shapeId="0" xr:uid="{39BBFBE9-CEF9-EC4F-B7CE-12B41A66087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H15" authorId="25" shapeId="0" xr:uid="{57F600E7-DF55-F143-B0EB-3C64BA6FBA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I15" authorId="26" shapeId="0" xr:uid="{0F66FE8A-C180-2F47-8F44-66CE2608ADB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J15" authorId="27" shapeId="0" xr:uid="{C4B686CD-D3D4-1A48-B766-DC168D9371E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K15" authorId="28" shapeId="0" xr:uid="{166DBA51-CAF2-E347-BD12-143F2D19FBA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L15" authorId="29" shapeId="0" xr:uid="{0EDBB5CB-6381-8049-8766-AEAF8C3059F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C16" authorId="30" shapeId="0" xr:uid="{3565EFAF-B290-FE4E-8390-408A71EC253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D16" authorId="31" shapeId="0" xr:uid="{273F849E-1719-1A4E-AD1F-5E3336CB47E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E16" authorId="32" shapeId="0" xr:uid="{C18B32D5-5826-CB40-A05E-9350A51527A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F16" authorId="33" shapeId="0" xr:uid="{CCB26459-C910-864A-B389-B08CAE3BDAD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G16" authorId="34" shapeId="0" xr:uid="{C10477BF-4AD3-0F42-9B87-3526D69017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H16" authorId="35" shapeId="0" xr:uid="{2D306CC3-089F-334E-B54D-9A478C98C2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I16" authorId="36" shapeId="0" xr:uid="{CD08292C-A3EF-774B-8F12-6F90953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J16" authorId="37" shapeId="0" xr:uid="{0874316D-0634-8A47-A6F0-3B346F71935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K16" authorId="38" shapeId="0" xr:uid="{EA9FF059-FD1E-9D4D-A298-BC1934CCF1A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L16" authorId="39" shapeId="0" xr:uid="{B60011DB-F9B2-DF48-9C07-73C90401CF7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AVG OF 1H24 % OF REV PLAYS THRUGH FY</t>
      </text>
    </comment>
    <comment ref="AC18" authorId="40" shapeId="0" xr:uid="{8F29A2B0-F8EB-F442-B247-3F448C7F00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MIDPOINT OF GUIDANCE 
</t>
      </text>
    </comment>
  </commentList>
</comments>
</file>

<file path=xl/sharedStrings.xml><?xml version="1.0" encoding="utf-8"?>
<sst xmlns="http://schemas.openxmlformats.org/spreadsheetml/2006/main" count="99" uniqueCount="85">
  <si>
    <t>P</t>
  </si>
  <si>
    <t>S</t>
  </si>
  <si>
    <t>MC</t>
  </si>
  <si>
    <t>C</t>
  </si>
  <si>
    <t>D</t>
  </si>
  <si>
    <t>EV</t>
  </si>
  <si>
    <t>Shack sales</t>
  </si>
  <si>
    <t xml:space="preserve">Total Revenue </t>
  </si>
  <si>
    <t>Food and paper</t>
  </si>
  <si>
    <t>Labor and related</t>
  </si>
  <si>
    <t>G&amp;A</t>
  </si>
  <si>
    <t>D&amp;A</t>
  </si>
  <si>
    <t>Pre-opening</t>
  </si>
  <si>
    <t xml:space="preserve">Operating Income </t>
  </si>
  <si>
    <t>Other income</t>
  </si>
  <si>
    <t>Interest expense</t>
  </si>
  <si>
    <t>EBT</t>
  </si>
  <si>
    <t>T</t>
  </si>
  <si>
    <t xml:space="preserve">Net Income </t>
  </si>
  <si>
    <t>NC</t>
  </si>
  <si>
    <t>Q122</t>
  </si>
  <si>
    <t>Q222</t>
  </si>
  <si>
    <t>Q322</t>
  </si>
  <si>
    <t>Q422</t>
  </si>
  <si>
    <t>Q123</t>
  </si>
  <si>
    <t>Q223</t>
  </si>
  <si>
    <t>Q323</t>
  </si>
  <si>
    <t>Q423</t>
  </si>
  <si>
    <t>Q121</t>
  </si>
  <si>
    <t>Q221</t>
  </si>
  <si>
    <t>Q321</t>
  </si>
  <si>
    <t>Q421</t>
  </si>
  <si>
    <t>Shares</t>
  </si>
  <si>
    <t>EPS</t>
  </si>
  <si>
    <t xml:space="preserve">Cash </t>
  </si>
  <si>
    <t>Licensing</t>
  </si>
  <si>
    <t>Maturity</t>
  </si>
  <si>
    <t>Discount</t>
  </si>
  <si>
    <t>NPV</t>
  </si>
  <si>
    <t>SHARES</t>
  </si>
  <si>
    <t>ESTIMATE</t>
  </si>
  <si>
    <t>CURRENT</t>
  </si>
  <si>
    <t>UPSIDE</t>
  </si>
  <si>
    <t>Owned</t>
  </si>
  <si>
    <t>Net Licensed</t>
  </si>
  <si>
    <t xml:space="preserve">Net Units </t>
  </si>
  <si>
    <t>Shack Per U</t>
  </si>
  <si>
    <t>L Per U</t>
  </si>
  <si>
    <t>Other opex</t>
  </si>
  <si>
    <t xml:space="preserve">Occupancy </t>
  </si>
  <si>
    <t xml:space="preserve">About </t>
  </si>
  <si>
    <t xml:space="preserve"> Its Shacks offers hamburgers, hot dogs, chicken, crinkle cut fries, shakes, frozen custard, beer, wine, and other products.</t>
  </si>
  <si>
    <t>Q124</t>
  </si>
  <si>
    <t>Q224</t>
  </si>
  <si>
    <t>Securities</t>
  </si>
  <si>
    <t>A/R</t>
  </si>
  <si>
    <t>Inventories</t>
  </si>
  <si>
    <t>Prepaid Exp</t>
  </si>
  <si>
    <t>PPE</t>
  </si>
  <si>
    <t>Op L</t>
  </si>
  <si>
    <t>Deferred i/t</t>
  </si>
  <si>
    <t>OA</t>
  </si>
  <si>
    <t xml:space="preserve">Total Assets </t>
  </si>
  <si>
    <t xml:space="preserve">Total Liabilities </t>
  </si>
  <si>
    <t>A/P</t>
  </si>
  <si>
    <t>Accrued Exp</t>
  </si>
  <si>
    <t>Accrued Wages</t>
  </si>
  <si>
    <t>OCL</t>
  </si>
  <si>
    <t>LTD</t>
  </si>
  <si>
    <t>LT Op L</t>
  </si>
  <si>
    <t>Liab</t>
  </si>
  <si>
    <t>OLTL</t>
  </si>
  <si>
    <t>Equity</t>
  </si>
  <si>
    <t>TL + E</t>
  </si>
  <si>
    <t>Net Cash Per Share</t>
  </si>
  <si>
    <t>Total Debt</t>
  </si>
  <si>
    <t>Net Cash</t>
  </si>
  <si>
    <t>Press Releases</t>
  </si>
  <si>
    <t>Q2'24</t>
  </si>
  <si>
    <t>Shareholder Letter</t>
  </si>
  <si>
    <t>CFFO</t>
  </si>
  <si>
    <t>Capex</t>
  </si>
  <si>
    <t xml:space="preserve">Free Cashflow </t>
  </si>
  <si>
    <t>EV/E24</t>
  </si>
  <si>
    <t>EV/E25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</si>
</sst>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8" formatCode="&quot;$&quot;#,##0"/>
    <numFmt numFmtId="169" formatCode="0.0%"/>
    <numFmt numFmtId="172" formatCode="0\X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  <family val="2"/>
    </font>
    <font>
      <sz val="10"/>
      <color rgb="FF000000"/>
      <name val="Tahoma"/>
      <family val="2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8" fontId="1" fillId="0" borderId="0" xfId="0" applyNumberFormat="1" applyFont="1"/>
    <xf numFmtId="43" fontId="0" fillId="0" borderId="0" xfId="1" applyFont="1"/>
    <xf numFmtId="1" fontId="1" fillId="0" borderId="0" xfId="0" applyNumberFormat="1" applyFont="1"/>
    <xf numFmtId="42" fontId="0" fillId="0" borderId="0" xfId="0" applyNumberFormat="1"/>
    <xf numFmtId="0" fontId="4" fillId="0" borderId="0" xfId="0" applyFont="1"/>
    <xf numFmtId="0" fontId="0" fillId="0" borderId="0" xfId="0" applyAlignment="1"/>
    <xf numFmtId="168" fontId="0" fillId="0" borderId="0" xfId="0" applyNumberFormat="1"/>
    <xf numFmtId="0" fontId="5" fillId="0" borderId="0" xfId="2"/>
    <xf numFmtId="3" fontId="5" fillId="0" borderId="0" xfId="2" applyNumberFormat="1"/>
    <xf numFmtId="169" fontId="0" fillId="0" borderId="0" xfId="0" applyNumberFormat="1"/>
    <xf numFmtId="10" fontId="0" fillId="0" borderId="0" xfId="0" applyNumberFormat="1"/>
    <xf numFmtId="17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10160</xdr:colOff>
      <xdr:row>0</xdr:row>
      <xdr:rowOff>50800</xdr:rowOff>
    </xdr:from>
    <xdr:to>
      <xdr:col>28</xdr:col>
      <xdr:colOff>40640</xdr:colOff>
      <xdr:row>85</xdr:row>
      <xdr:rowOff>20320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361FE5-765E-27D9-B34D-B4526CC072B1}"/>
            </a:ext>
          </a:extLst>
        </xdr:cNvPr>
        <xdr:cNvCxnSpPr/>
      </xdr:nvCxnSpPr>
      <xdr:spPr>
        <a:xfrm>
          <a:off x="14610080" y="50800"/>
          <a:ext cx="30480" cy="123240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690880</xdr:colOff>
      <xdr:row>0</xdr:row>
      <xdr:rowOff>0</xdr:rowOff>
    </xdr:from>
    <xdr:to>
      <xdr:col>16</xdr:col>
      <xdr:colOff>20320</xdr:colOff>
      <xdr:row>84</xdr:row>
      <xdr:rowOff>132080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9045FD-5801-BC4A-980F-483C6C2362F1}"/>
            </a:ext>
          </a:extLst>
        </xdr:cNvPr>
        <xdr:cNvCxnSpPr/>
      </xdr:nvCxnSpPr>
      <xdr:spPr>
        <a:xfrm>
          <a:off x="9916160" y="0"/>
          <a:ext cx="30480" cy="128117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11D0FEE8-50CE-5A41-8838-522E495CABEA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" dT="2024-04-13T15:56:28.30" personId="{11D0FEE8-50CE-5A41-8838-522E495CABEA}" id="{31354324-C065-1D43-B625-22D6FDE6152D}">
    <text>Guide 80</text>
  </threadedComment>
  <threadedComment ref="AD6" dT="2024-04-13T15:56:28.30" personId="{11D0FEE8-50CE-5A41-8838-522E495CABEA}" id="{A2D5D3E7-A2D5-CE4E-AD65-87BC308C56A6}">
    <text>Guide 80</text>
  </threadedComment>
  <threadedComment ref="AE6" dT="2024-04-13T15:56:28.30" personId="{11D0FEE8-50CE-5A41-8838-522E495CABEA}" id="{1CF66876-2309-DA41-AB3D-489F88568FD9}">
    <text>Guide 80</text>
  </threadedComment>
  <threadedComment ref="AF6" dT="2024-04-13T15:56:28.30" personId="{11D0FEE8-50CE-5A41-8838-522E495CABEA}" id="{DD673ED8-707C-B542-8CCC-E81A5B95D696}">
    <text>Guide 80</text>
  </threadedComment>
  <threadedComment ref="AG6" dT="2024-04-13T15:56:28.30" personId="{11D0FEE8-50CE-5A41-8838-522E495CABEA}" id="{2893DE28-871A-684F-BA1E-4D41817AD98A}">
    <text>Guide 80</text>
  </threadedComment>
  <threadedComment ref="AH6" dT="2024-04-13T15:56:28.30" personId="{11D0FEE8-50CE-5A41-8838-522E495CABEA}" id="{8D898218-254E-4149-8879-249A93ACF9CB}">
    <text>Guide 80</text>
  </threadedComment>
  <threadedComment ref="AI6" dT="2024-04-13T15:56:28.30" personId="{11D0FEE8-50CE-5A41-8838-522E495CABEA}" id="{1981F7EA-5D9D-694C-B204-277E89387AD9}">
    <text>Guide 80</text>
  </threadedComment>
  <threadedComment ref="AJ6" dT="2024-04-13T15:56:28.30" personId="{11D0FEE8-50CE-5A41-8838-522E495CABEA}" id="{44F5D139-E2DC-4F44-83E1-DCCDAE3ADEEC}">
    <text>Guide 80</text>
  </threadedComment>
  <threadedComment ref="AK6" dT="2024-04-13T15:56:28.30" personId="{11D0FEE8-50CE-5A41-8838-522E495CABEA}" id="{AF8647E9-45DF-B643-9656-C9B3837D6F83}">
    <text>Guide 80</text>
  </threadedComment>
  <threadedComment ref="AL6" dT="2024-04-13T15:56:28.30" personId="{11D0FEE8-50CE-5A41-8838-522E495CABEA}" id="{AFC483DA-98E8-7747-8A77-C48A0C0CD3DB}">
    <text>Guide 80</text>
  </threadedComment>
  <threadedComment ref="AC14" dT="2024-08-19T01:36:49.81" personId="{11D0FEE8-50CE-5A41-8838-522E495CABEA}" id="{DBBBA321-D69A-EE4D-AB1E-87756540E5CF}">
    <text>ASSUME AVG OF 1H24 % OF REV PLAYS THRUGH FY</text>
  </threadedComment>
  <threadedComment ref="AD14" dT="2024-08-19T01:36:49.81" personId="{11D0FEE8-50CE-5A41-8838-522E495CABEA}" id="{08000AB5-2D01-804E-96F1-DD62A5D549EE}">
    <text>ASSUME AVG OF 1H24 % OF REV PLAYS THRUGH FY</text>
  </threadedComment>
  <threadedComment ref="AE14" dT="2024-08-19T01:36:49.81" personId="{11D0FEE8-50CE-5A41-8838-522E495CABEA}" id="{8BD26F73-790E-234E-B998-1BF8DBA1A82B}">
    <text>ASSUME AVG OF 1H24 % OF REV PLAYS THRUGH FY</text>
  </threadedComment>
  <threadedComment ref="AF14" dT="2024-08-19T01:36:49.81" personId="{11D0FEE8-50CE-5A41-8838-522E495CABEA}" id="{2F54DE55-22C2-2B4B-8374-0B51443CE995}">
    <text>ASSUME AVG OF 1H24 % OF REV PLAYS THRUGH FY</text>
  </threadedComment>
  <threadedComment ref="AG14" dT="2024-08-19T01:36:49.81" personId="{11D0FEE8-50CE-5A41-8838-522E495CABEA}" id="{93BEDD1A-0C30-E843-8046-FE94FEDE4A7E}">
    <text>ASSUME AVG OF 1H24 % OF REV PLAYS THRUGH FY</text>
  </threadedComment>
  <threadedComment ref="AH14" dT="2024-08-19T01:36:49.81" personId="{11D0FEE8-50CE-5A41-8838-522E495CABEA}" id="{097DABBD-1014-8B49-8CA5-03BF86670348}">
    <text>ASSUME AVG OF 1H24 % OF REV PLAYS THRUGH FY</text>
  </threadedComment>
  <threadedComment ref="AI14" dT="2024-08-19T01:36:49.81" personId="{11D0FEE8-50CE-5A41-8838-522E495CABEA}" id="{9A74F1DF-FB7B-2841-BFE9-D819331890AF}">
    <text>ASSUME AVG OF 1H24 % OF REV PLAYS THRUGH FY</text>
  </threadedComment>
  <threadedComment ref="AJ14" dT="2024-08-19T01:36:49.81" personId="{11D0FEE8-50CE-5A41-8838-522E495CABEA}" id="{25D87F27-467D-444F-B1AF-00903991E80F}">
    <text>ASSUME AVG OF 1H24 % OF REV PLAYS THRUGH FY</text>
  </threadedComment>
  <threadedComment ref="AK14" dT="2024-08-19T01:36:49.81" personId="{11D0FEE8-50CE-5A41-8838-522E495CABEA}" id="{98D7673B-9EED-0F4B-8F31-F2EBDAA4B819}">
    <text>ASSUME AVG OF 1H24 % OF REV PLAYS THRUGH FY</text>
  </threadedComment>
  <threadedComment ref="AL14" dT="2024-08-19T01:36:49.81" personId="{11D0FEE8-50CE-5A41-8838-522E495CABEA}" id="{964001D5-2871-D846-AD61-A111D115F6E8}">
    <text>ASSUME AVG OF 1H24 % OF REV PLAYS THRUGH FY</text>
  </threadedComment>
  <threadedComment ref="AC15" dT="2024-08-19T01:37:11.61" personId="{11D0FEE8-50CE-5A41-8838-522E495CABEA}" id="{57E95765-A855-504E-9394-D5D72A63EA1F}">
    <text>ASSUME AVG OF 1H24 % OF REV PLAYS THRUGH FY</text>
  </threadedComment>
  <threadedComment ref="AD15" dT="2024-08-19T01:37:11.61" personId="{11D0FEE8-50CE-5A41-8838-522E495CABEA}" id="{70960F68-D3B8-164A-9DE2-03792C7951B9}">
    <text>ASSUME AVG OF 1H24 % OF REV PLAYS THRUGH FY</text>
  </threadedComment>
  <threadedComment ref="AE15" dT="2024-08-19T01:37:11.61" personId="{11D0FEE8-50CE-5A41-8838-522E495CABEA}" id="{C2EE6C5D-6D58-064F-B9D9-A5D813D0BCDD}">
    <text>ASSUME AVG OF 1H24 % OF REV PLAYS THRUGH FY</text>
  </threadedComment>
  <threadedComment ref="AF15" dT="2024-08-19T01:37:11.61" personId="{11D0FEE8-50CE-5A41-8838-522E495CABEA}" id="{5E0640D5-AE02-7A49-BD09-CC2145FE983D}">
    <text>ASSUME AVG OF 1H24 % OF REV PLAYS THRUGH FY</text>
  </threadedComment>
  <threadedComment ref="AG15" dT="2024-08-19T01:37:11.61" personId="{11D0FEE8-50CE-5A41-8838-522E495CABEA}" id="{39BBFBE9-CEF9-EC4F-B7CE-12B41A660877}">
    <text>ASSUME AVG OF 1H24 % OF REV PLAYS THRUGH FY</text>
  </threadedComment>
  <threadedComment ref="AH15" dT="2024-08-19T01:37:11.61" personId="{11D0FEE8-50CE-5A41-8838-522E495CABEA}" id="{57F600E7-DF55-F143-B0EB-3C64BA6FBA42}">
    <text>ASSUME AVG OF 1H24 % OF REV PLAYS THRUGH FY</text>
  </threadedComment>
  <threadedComment ref="AI15" dT="2024-08-19T01:37:11.61" personId="{11D0FEE8-50CE-5A41-8838-522E495CABEA}" id="{0F66FE8A-C180-2F47-8F44-66CE2608ADBC}">
    <text>ASSUME AVG OF 1H24 % OF REV PLAYS THRUGH FY</text>
  </threadedComment>
  <threadedComment ref="AJ15" dT="2024-08-19T01:37:11.61" personId="{11D0FEE8-50CE-5A41-8838-522E495CABEA}" id="{C4B686CD-D3D4-1A48-B766-DC168D9371ED}">
    <text>ASSUME AVG OF 1H24 % OF REV PLAYS THRUGH FY</text>
  </threadedComment>
  <threadedComment ref="AK15" dT="2024-08-19T01:37:11.61" personId="{11D0FEE8-50CE-5A41-8838-522E495CABEA}" id="{166DBA51-CAF2-E347-BD12-143F2D19FBA2}">
    <text>ASSUME AVG OF 1H24 % OF REV PLAYS THRUGH FY</text>
  </threadedComment>
  <threadedComment ref="AL15" dT="2024-08-19T01:37:11.61" personId="{11D0FEE8-50CE-5A41-8838-522E495CABEA}" id="{0EDBB5CB-6381-8049-8766-AEAF8C3059F9}">
    <text>ASSUME AVG OF 1H24 % OF REV PLAYS THRUGH FY</text>
  </threadedComment>
  <threadedComment ref="AC16" dT="2024-08-19T01:37:51.38" personId="{11D0FEE8-50CE-5A41-8838-522E495CABEA}" id="{3565EFAF-B290-FE4E-8390-408A71EC2533}">
    <text>ASSUME AVG OF 1H24 % OF REV PLAYS THRUGH FY</text>
  </threadedComment>
  <threadedComment ref="AD16" dT="2024-08-19T01:37:51.38" personId="{11D0FEE8-50CE-5A41-8838-522E495CABEA}" id="{273F849E-1719-1A4E-AD1F-5E3336CB47E0}">
    <text>ASSUME AVG OF 1H24 % OF REV PLAYS THRUGH FY</text>
  </threadedComment>
  <threadedComment ref="AE16" dT="2024-08-19T01:37:51.38" personId="{11D0FEE8-50CE-5A41-8838-522E495CABEA}" id="{C18B32D5-5826-CB40-A05E-9350A51527AE}">
    <text>ASSUME AVG OF 1H24 % OF REV PLAYS THRUGH FY</text>
  </threadedComment>
  <threadedComment ref="AF16" dT="2024-08-19T01:37:51.38" personId="{11D0FEE8-50CE-5A41-8838-522E495CABEA}" id="{CCB26459-C910-864A-B389-B08CAE3BDADF}">
    <text>ASSUME AVG OF 1H24 % OF REV PLAYS THRUGH FY</text>
  </threadedComment>
  <threadedComment ref="AG16" dT="2024-08-19T01:37:51.38" personId="{11D0FEE8-50CE-5A41-8838-522E495CABEA}" id="{C10477BF-4AD3-0F42-9B87-3526D690175A}">
    <text>ASSUME AVG OF 1H24 % OF REV PLAYS THRUGH FY</text>
  </threadedComment>
  <threadedComment ref="AH16" dT="2024-08-19T01:37:51.38" personId="{11D0FEE8-50CE-5A41-8838-522E495CABEA}" id="{2D306CC3-089F-334E-B54D-9A478C98C2F8}">
    <text>ASSUME AVG OF 1H24 % OF REV PLAYS THRUGH FY</text>
  </threadedComment>
  <threadedComment ref="AI16" dT="2024-08-19T01:37:51.38" personId="{11D0FEE8-50CE-5A41-8838-522E495CABEA}" id="{CD08292C-A3EF-774B-8F12-6F9095333C0D}">
    <text>ASSUME AVG OF 1H24 % OF REV PLAYS THRUGH FY</text>
  </threadedComment>
  <threadedComment ref="AJ16" dT="2024-08-19T01:37:51.38" personId="{11D0FEE8-50CE-5A41-8838-522E495CABEA}" id="{0874316D-0634-8A47-A6F0-3B346F71935E}">
    <text>ASSUME AVG OF 1H24 % OF REV PLAYS THRUGH FY</text>
  </threadedComment>
  <threadedComment ref="AK16" dT="2024-08-19T01:37:51.38" personId="{11D0FEE8-50CE-5A41-8838-522E495CABEA}" id="{EA9FF059-FD1E-9D4D-A298-BC1934CCF1A5}">
    <text>ASSUME AVG OF 1H24 % OF REV PLAYS THRUGH FY</text>
  </threadedComment>
  <threadedComment ref="AL16" dT="2024-08-19T01:37:51.38" personId="{11D0FEE8-50CE-5A41-8838-522E495CABEA}" id="{B60011DB-F9B2-DF48-9C07-73C90401CF7D}">
    <text>ASSUME AVG OF 1H24 % OF REV PLAYS THRUGH FY</text>
  </threadedComment>
  <threadedComment ref="AC18" dT="2024-08-19T01:32:55.71" personId="{11D0FEE8-50CE-5A41-8838-522E495CABEA}" id="{8F29A2B0-F8EB-F442-B247-3F448C7F0043}">
    <text xml:space="preserve">MIDPOINT OF GUIDANCE 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27.q4cdn.com/357966323/files/doc_financials/2024/q2/2Q24-Shareholder-Letter.pdf" TargetMode="External"/><Relationship Id="rId1" Type="http://schemas.openxmlformats.org/officeDocument/2006/relationships/hyperlink" Target="https://investor.shakeshack.com/press-releases/press-release-details/2024/Shake-Shack-Announces-Second-Quarter-2024-Financial-Result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6ECA-8B2A-2741-8851-7F2DFBE77820}">
  <dimension ref="A1:L14"/>
  <sheetViews>
    <sheetView zoomScale="225" workbookViewId="0">
      <selection activeCell="C14" sqref="C14"/>
    </sheetView>
  </sheetViews>
  <sheetFormatPr baseColWidth="10" defaultRowHeight="13"/>
  <cols>
    <col min="2" max="2" width="3.6640625" bestFit="1" customWidth="1"/>
    <col min="3" max="3" width="10.83203125" style="1"/>
    <col min="4" max="4" width="5.5" bestFit="1" customWidth="1"/>
    <col min="5" max="5" width="16.33203125" bestFit="1" customWidth="1"/>
  </cols>
  <sheetData>
    <row r="1" spans="1:12">
      <c r="A1" s="1"/>
    </row>
    <row r="2" spans="1:12">
      <c r="G2" s="13" t="s">
        <v>50</v>
      </c>
    </row>
    <row r="3" spans="1:12">
      <c r="B3" t="s">
        <v>0</v>
      </c>
      <c r="C3" s="4">
        <v>107.37</v>
      </c>
      <c r="E3">
        <v>97.2</v>
      </c>
      <c r="G3" s="14" t="s">
        <v>51</v>
      </c>
      <c r="H3" s="14"/>
      <c r="I3" s="14"/>
      <c r="J3" s="14"/>
      <c r="K3" s="14"/>
      <c r="L3" s="14"/>
    </row>
    <row r="4" spans="1:12">
      <c r="B4" t="s">
        <v>1</v>
      </c>
      <c r="C4" s="1">
        <f>39982.821+2487.936</f>
        <v>42470.757000000005</v>
      </c>
      <c r="D4" t="s">
        <v>53</v>
      </c>
      <c r="E4" s="10">
        <f>39479513+2.829513</f>
        <v>39479515.829512998</v>
      </c>
    </row>
    <row r="5" spans="1:12">
      <c r="B5" t="s">
        <v>2</v>
      </c>
      <c r="C5" s="1">
        <f>+C3*C4</f>
        <v>4560085.1790900007</v>
      </c>
      <c r="E5" s="10">
        <f>+E3*E4</f>
        <v>3837408938.6286635</v>
      </c>
    </row>
    <row r="6" spans="1:12">
      <c r="B6" t="s">
        <v>3</v>
      </c>
      <c r="C6" s="1">
        <f>301838+2574</f>
        <v>304412</v>
      </c>
      <c r="D6" t="str">
        <f>+D4</f>
        <v>Q224</v>
      </c>
    </row>
    <row r="7" spans="1:12">
      <c r="B7" t="s">
        <v>4</v>
      </c>
      <c r="C7" s="1">
        <v>246160</v>
      </c>
      <c r="D7" t="str">
        <f>+D6</f>
        <v>Q224</v>
      </c>
    </row>
    <row r="8" spans="1:12">
      <c r="B8" t="s">
        <v>5</v>
      </c>
      <c r="C8" s="1">
        <f>+C5-C6+C7</f>
        <v>4501833.1790900007</v>
      </c>
    </row>
    <row r="13" spans="1:12">
      <c r="B13" s="13" t="s">
        <v>77</v>
      </c>
      <c r="C13" s="1" t="s">
        <v>79</v>
      </c>
    </row>
    <row r="14" spans="1:12">
      <c r="B14" s="16" t="s">
        <v>78</v>
      </c>
      <c r="C14" s="17" t="s">
        <v>78</v>
      </c>
    </row>
  </sheetData>
  <hyperlinks>
    <hyperlink ref="B14" r:id="rId1" xr:uid="{F6CE7C4B-F86B-AE4E-B72F-F49128DF4BDE}"/>
    <hyperlink ref="C14" r:id="rId2" xr:uid="{1520EBDD-BF20-0045-BF67-EC30022588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9C4E-C65E-3B48-949C-2717A8A0DE5C}">
  <dimension ref="B1:HT79"/>
  <sheetViews>
    <sheetView tabSelected="1" zoomScale="130" zoomScaleNormal="130" workbookViewId="0">
      <pane xSplit="2" ySplit="3" topLeftCell="V4" activePane="bottomRight" state="frozen"/>
      <selection pane="topRight" activeCell="C1" sqref="C1"/>
      <selection pane="bottomLeft" activeCell="A3" sqref="A3"/>
      <selection pane="bottomRight" activeCell="AP44" sqref="AP44"/>
    </sheetView>
  </sheetViews>
  <sheetFormatPr baseColWidth="10" defaultRowHeight="13"/>
  <cols>
    <col min="1" max="1" width="1.1640625" style="1" customWidth="1"/>
    <col min="2" max="2" width="16.33203125" style="1" bestFit="1" customWidth="1"/>
    <col min="3" max="9" width="7.6640625" style="1" bestFit="1" customWidth="1"/>
    <col min="10" max="10" width="8.1640625" style="1" bestFit="1" customWidth="1"/>
    <col min="11" max="11" width="7.6640625" style="1" bestFit="1" customWidth="1"/>
    <col min="12" max="12" width="8.1640625" style="1" bestFit="1" customWidth="1"/>
    <col min="13" max="13" width="7.6640625" style="1" bestFit="1" customWidth="1"/>
    <col min="14" max="16" width="9.1640625" style="1" bestFit="1" customWidth="1"/>
    <col min="17" max="19" width="10.83203125" style="1"/>
    <col min="20" max="24" width="5.1640625" style="1" bestFit="1" customWidth="1"/>
    <col min="25" max="27" width="8.1640625" style="1" bestFit="1" customWidth="1"/>
    <col min="28" max="38" width="9.1640625" style="1" bestFit="1" customWidth="1"/>
    <col min="39" max="40" width="10.83203125" style="1"/>
    <col min="41" max="41" width="13.1640625" style="1" bestFit="1" customWidth="1"/>
    <col min="42" max="16384" width="10.83203125" style="1"/>
  </cols>
  <sheetData>
    <row r="1" spans="2:228">
      <c r="AL1" s="1">
        <v>10</v>
      </c>
      <c r="AM1" s="1">
        <f>+AL1+1</f>
        <v>11</v>
      </c>
      <c r="AN1" s="1">
        <f t="shared" ref="AN1:CY1" si="0">+AM1+1</f>
        <v>12</v>
      </c>
      <c r="AO1" s="1">
        <f t="shared" si="0"/>
        <v>13</v>
      </c>
      <c r="AP1" s="1">
        <f t="shared" si="0"/>
        <v>14</v>
      </c>
      <c r="AQ1" s="1">
        <f t="shared" si="0"/>
        <v>15</v>
      </c>
      <c r="AR1" s="1">
        <f t="shared" si="0"/>
        <v>16</v>
      </c>
      <c r="AS1" s="1">
        <f t="shared" si="0"/>
        <v>17</v>
      </c>
      <c r="AT1" s="1">
        <f t="shared" si="0"/>
        <v>18</v>
      </c>
      <c r="AU1" s="1">
        <f t="shared" si="0"/>
        <v>19</v>
      </c>
      <c r="AV1" s="1">
        <f t="shared" si="0"/>
        <v>20</v>
      </c>
      <c r="AW1" s="1">
        <f t="shared" si="0"/>
        <v>21</v>
      </c>
      <c r="AX1" s="1">
        <f t="shared" si="0"/>
        <v>22</v>
      </c>
      <c r="AY1" s="1">
        <f t="shared" si="0"/>
        <v>23</v>
      </c>
      <c r="AZ1" s="1">
        <f t="shared" si="0"/>
        <v>24</v>
      </c>
      <c r="BA1" s="1">
        <f t="shared" si="0"/>
        <v>25</v>
      </c>
      <c r="BB1" s="1">
        <f t="shared" si="0"/>
        <v>26</v>
      </c>
      <c r="BC1" s="1">
        <f t="shared" si="0"/>
        <v>27</v>
      </c>
      <c r="BD1" s="1">
        <f t="shared" si="0"/>
        <v>28</v>
      </c>
      <c r="BE1" s="1">
        <f t="shared" si="0"/>
        <v>29</v>
      </c>
      <c r="BF1" s="1">
        <f t="shared" si="0"/>
        <v>30</v>
      </c>
      <c r="BG1" s="1">
        <f t="shared" si="0"/>
        <v>31</v>
      </c>
      <c r="BH1" s="1">
        <f t="shared" si="0"/>
        <v>32</v>
      </c>
      <c r="BI1" s="1">
        <f t="shared" si="0"/>
        <v>33</v>
      </c>
      <c r="BJ1" s="1">
        <f t="shared" si="0"/>
        <v>34</v>
      </c>
      <c r="BK1" s="1">
        <f t="shared" si="0"/>
        <v>35</v>
      </c>
      <c r="BL1" s="1">
        <f t="shared" si="0"/>
        <v>36</v>
      </c>
      <c r="BM1" s="1">
        <f t="shared" si="0"/>
        <v>37</v>
      </c>
      <c r="BN1" s="1">
        <f t="shared" si="0"/>
        <v>38</v>
      </c>
      <c r="BO1" s="1">
        <f t="shared" si="0"/>
        <v>39</v>
      </c>
      <c r="BP1" s="1">
        <f t="shared" si="0"/>
        <v>40</v>
      </c>
      <c r="BQ1" s="1">
        <f t="shared" si="0"/>
        <v>41</v>
      </c>
      <c r="BR1" s="1">
        <f t="shared" si="0"/>
        <v>42</v>
      </c>
      <c r="BS1" s="1">
        <f t="shared" si="0"/>
        <v>43</v>
      </c>
      <c r="BT1" s="1">
        <f t="shared" si="0"/>
        <v>44</v>
      </c>
      <c r="BU1" s="1">
        <f t="shared" si="0"/>
        <v>45</v>
      </c>
      <c r="BV1" s="1">
        <f t="shared" si="0"/>
        <v>46</v>
      </c>
      <c r="BW1" s="1">
        <f t="shared" si="0"/>
        <v>47</v>
      </c>
      <c r="BX1" s="1">
        <f t="shared" si="0"/>
        <v>48</v>
      </c>
      <c r="BY1" s="1">
        <f t="shared" si="0"/>
        <v>49</v>
      </c>
      <c r="BZ1" s="1">
        <f t="shared" si="0"/>
        <v>50</v>
      </c>
      <c r="CA1" s="1">
        <f t="shared" si="0"/>
        <v>51</v>
      </c>
      <c r="CB1" s="1">
        <f t="shared" si="0"/>
        <v>52</v>
      </c>
      <c r="CC1" s="1">
        <f t="shared" si="0"/>
        <v>53</v>
      </c>
      <c r="CD1" s="1">
        <f t="shared" si="0"/>
        <v>54</v>
      </c>
      <c r="CE1" s="1">
        <f t="shared" si="0"/>
        <v>55</v>
      </c>
      <c r="CF1" s="1">
        <f t="shared" si="0"/>
        <v>56</v>
      </c>
      <c r="CG1" s="1">
        <f t="shared" si="0"/>
        <v>57</v>
      </c>
      <c r="CH1" s="1">
        <f t="shared" si="0"/>
        <v>58</v>
      </c>
      <c r="CI1" s="1">
        <f t="shared" si="0"/>
        <v>59</v>
      </c>
      <c r="CJ1" s="1">
        <f t="shared" si="0"/>
        <v>60</v>
      </c>
      <c r="CK1" s="1">
        <f t="shared" si="0"/>
        <v>61</v>
      </c>
      <c r="CL1" s="1">
        <f t="shared" si="0"/>
        <v>62</v>
      </c>
      <c r="CM1" s="1">
        <f t="shared" si="0"/>
        <v>63</v>
      </c>
      <c r="CN1" s="1">
        <f t="shared" si="0"/>
        <v>64</v>
      </c>
      <c r="CO1" s="1">
        <f t="shared" si="0"/>
        <v>65</v>
      </c>
      <c r="CP1" s="1">
        <f t="shared" si="0"/>
        <v>66</v>
      </c>
      <c r="CQ1" s="1">
        <f t="shared" si="0"/>
        <v>67</v>
      </c>
      <c r="CR1" s="1">
        <f t="shared" si="0"/>
        <v>68</v>
      </c>
      <c r="CS1" s="1">
        <f t="shared" si="0"/>
        <v>69</v>
      </c>
      <c r="CT1" s="1">
        <f t="shared" si="0"/>
        <v>70</v>
      </c>
      <c r="CU1" s="1">
        <f t="shared" si="0"/>
        <v>71</v>
      </c>
      <c r="CV1" s="1">
        <f t="shared" si="0"/>
        <v>72</v>
      </c>
      <c r="CW1" s="1">
        <f t="shared" si="0"/>
        <v>73</v>
      </c>
      <c r="CX1" s="1">
        <f t="shared" si="0"/>
        <v>74</v>
      </c>
      <c r="CY1" s="1">
        <f t="shared" si="0"/>
        <v>75</v>
      </c>
      <c r="CZ1" s="1">
        <f t="shared" ref="CZ1:FK1" si="1">+CY1+1</f>
        <v>76</v>
      </c>
      <c r="DA1" s="1">
        <f t="shared" si="1"/>
        <v>77</v>
      </c>
      <c r="DB1" s="1">
        <f t="shared" si="1"/>
        <v>78</v>
      </c>
      <c r="DC1" s="1">
        <f t="shared" si="1"/>
        <v>79</v>
      </c>
      <c r="DD1" s="1">
        <f t="shared" si="1"/>
        <v>80</v>
      </c>
      <c r="DE1" s="1">
        <f t="shared" si="1"/>
        <v>81</v>
      </c>
      <c r="DF1" s="1">
        <f t="shared" si="1"/>
        <v>82</v>
      </c>
      <c r="DG1" s="1">
        <f t="shared" si="1"/>
        <v>83</v>
      </c>
      <c r="DH1" s="1">
        <f t="shared" si="1"/>
        <v>84</v>
      </c>
      <c r="DI1" s="1">
        <f t="shared" si="1"/>
        <v>85</v>
      </c>
      <c r="DJ1" s="1">
        <f t="shared" si="1"/>
        <v>86</v>
      </c>
      <c r="DK1" s="1">
        <f t="shared" si="1"/>
        <v>87</v>
      </c>
      <c r="DL1" s="1">
        <f t="shared" si="1"/>
        <v>88</v>
      </c>
      <c r="DM1" s="1">
        <f t="shared" si="1"/>
        <v>89</v>
      </c>
      <c r="DN1" s="1">
        <f t="shared" si="1"/>
        <v>90</v>
      </c>
      <c r="DO1" s="1">
        <f t="shared" si="1"/>
        <v>91</v>
      </c>
      <c r="DP1" s="1">
        <f t="shared" si="1"/>
        <v>92</v>
      </c>
      <c r="DQ1" s="1">
        <f t="shared" si="1"/>
        <v>93</v>
      </c>
      <c r="DR1" s="1">
        <f t="shared" si="1"/>
        <v>94</v>
      </c>
      <c r="DS1" s="1">
        <f t="shared" si="1"/>
        <v>95</v>
      </c>
      <c r="DT1" s="1">
        <f t="shared" si="1"/>
        <v>96</v>
      </c>
      <c r="DU1" s="1">
        <f t="shared" si="1"/>
        <v>97</v>
      </c>
      <c r="DV1" s="1">
        <f t="shared" si="1"/>
        <v>98</v>
      </c>
      <c r="DW1" s="1">
        <f t="shared" si="1"/>
        <v>99</v>
      </c>
      <c r="DX1" s="1">
        <f t="shared" si="1"/>
        <v>100</v>
      </c>
      <c r="DY1" s="1">
        <f t="shared" si="1"/>
        <v>101</v>
      </c>
      <c r="DZ1" s="1">
        <f t="shared" si="1"/>
        <v>102</v>
      </c>
      <c r="EA1" s="1">
        <f t="shared" si="1"/>
        <v>103</v>
      </c>
      <c r="EB1" s="1">
        <f t="shared" si="1"/>
        <v>104</v>
      </c>
      <c r="EC1" s="1">
        <f t="shared" si="1"/>
        <v>105</v>
      </c>
      <c r="ED1" s="1">
        <f t="shared" si="1"/>
        <v>106</v>
      </c>
      <c r="EE1" s="1">
        <f t="shared" si="1"/>
        <v>107</v>
      </c>
      <c r="EF1" s="1">
        <f t="shared" si="1"/>
        <v>108</v>
      </c>
      <c r="EG1" s="1">
        <f t="shared" si="1"/>
        <v>109</v>
      </c>
      <c r="EH1" s="1">
        <f t="shared" si="1"/>
        <v>110</v>
      </c>
      <c r="EI1" s="1">
        <f t="shared" si="1"/>
        <v>111</v>
      </c>
      <c r="EJ1" s="1">
        <f t="shared" si="1"/>
        <v>112</v>
      </c>
      <c r="EK1" s="1">
        <f t="shared" si="1"/>
        <v>113</v>
      </c>
      <c r="EL1" s="1">
        <f t="shared" si="1"/>
        <v>114</v>
      </c>
      <c r="EM1" s="1">
        <f t="shared" si="1"/>
        <v>115</v>
      </c>
      <c r="EN1" s="1">
        <f t="shared" si="1"/>
        <v>116</v>
      </c>
      <c r="EO1" s="1">
        <f t="shared" si="1"/>
        <v>117</v>
      </c>
      <c r="EP1" s="1">
        <f t="shared" si="1"/>
        <v>118</v>
      </c>
      <c r="EQ1" s="1">
        <f t="shared" si="1"/>
        <v>119</v>
      </c>
      <c r="ER1" s="1">
        <f t="shared" si="1"/>
        <v>120</v>
      </c>
      <c r="ES1" s="1">
        <f t="shared" si="1"/>
        <v>121</v>
      </c>
      <c r="ET1" s="1">
        <f t="shared" si="1"/>
        <v>122</v>
      </c>
      <c r="EU1" s="1">
        <f t="shared" si="1"/>
        <v>123</v>
      </c>
      <c r="EV1" s="1">
        <f t="shared" si="1"/>
        <v>124</v>
      </c>
      <c r="EW1" s="1">
        <f t="shared" si="1"/>
        <v>125</v>
      </c>
      <c r="EX1" s="1">
        <f t="shared" si="1"/>
        <v>126</v>
      </c>
      <c r="EY1" s="1">
        <f t="shared" si="1"/>
        <v>127</v>
      </c>
      <c r="EZ1" s="1">
        <f t="shared" si="1"/>
        <v>128</v>
      </c>
      <c r="FA1" s="1">
        <f t="shared" si="1"/>
        <v>129</v>
      </c>
      <c r="FB1" s="1">
        <f t="shared" si="1"/>
        <v>130</v>
      </c>
      <c r="FC1" s="1">
        <f t="shared" si="1"/>
        <v>131</v>
      </c>
      <c r="FD1" s="1">
        <f t="shared" si="1"/>
        <v>132</v>
      </c>
      <c r="FE1" s="1">
        <f t="shared" si="1"/>
        <v>133</v>
      </c>
      <c r="FF1" s="1">
        <f t="shared" si="1"/>
        <v>134</v>
      </c>
      <c r="FG1" s="1">
        <f t="shared" si="1"/>
        <v>135</v>
      </c>
      <c r="FH1" s="1">
        <f t="shared" si="1"/>
        <v>136</v>
      </c>
      <c r="FI1" s="1">
        <f t="shared" si="1"/>
        <v>137</v>
      </c>
      <c r="FJ1" s="1">
        <f t="shared" si="1"/>
        <v>138</v>
      </c>
      <c r="FK1" s="1">
        <f t="shared" si="1"/>
        <v>139</v>
      </c>
      <c r="FL1" s="1">
        <f t="shared" ref="FL1:HT1" si="2">+FK1+1</f>
        <v>140</v>
      </c>
      <c r="FM1" s="1">
        <f t="shared" si="2"/>
        <v>141</v>
      </c>
      <c r="FN1" s="1">
        <f t="shared" si="2"/>
        <v>142</v>
      </c>
      <c r="FO1" s="1">
        <f t="shared" si="2"/>
        <v>143</v>
      </c>
      <c r="FP1" s="1">
        <f t="shared" si="2"/>
        <v>144</v>
      </c>
      <c r="FQ1" s="1">
        <f t="shared" si="2"/>
        <v>145</v>
      </c>
      <c r="FR1" s="1">
        <f t="shared" si="2"/>
        <v>146</v>
      </c>
      <c r="FS1" s="1">
        <f t="shared" si="2"/>
        <v>147</v>
      </c>
      <c r="FT1" s="1">
        <f t="shared" si="2"/>
        <v>148</v>
      </c>
      <c r="FU1" s="1">
        <f t="shared" si="2"/>
        <v>149</v>
      </c>
      <c r="FV1" s="1">
        <f t="shared" si="2"/>
        <v>150</v>
      </c>
      <c r="FW1" s="1">
        <f t="shared" si="2"/>
        <v>151</v>
      </c>
      <c r="FX1" s="1">
        <f t="shared" si="2"/>
        <v>152</v>
      </c>
      <c r="FY1" s="1">
        <f t="shared" si="2"/>
        <v>153</v>
      </c>
      <c r="FZ1" s="1">
        <f t="shared" si="2"/>
        <v>154</v>
      </c>
      <c r="GA1" s="1">
        <f t="shared" si="2"/>
        <v>155</v>
      </c>
      <c r="GB1" s="1">
        <f t="shared" si="2"/>
        <v>156</v>
      </c>
      <c r="GC1" s="1">
        <f t="shared" si="2"/>
        <v>157</v>
      </c>
      <c r="GD1" s="1">
        <f t="shared" si="2"/>
        <v>158</v>
      </c>
      <c r="GE1" s="1">
        <f t="shared" si="2"/>
        <v>159</v>
      </c>
      <c r="GF1" s="1">
        <f t="shared" si="2"/>
        <v>160</v>
      </c>
      <c r="GG1" s="1">
        <f t="shared" si="2"/>
        <v>161</v>
      </c>
      <c r="GH1" s="1">
        <f t="shared" si="2"/>
        <v>162</v>
      </c>
      <c r="GI1" s="1">
        <f t="shared" si="2"/>
        <v>163</v>
      </c>
      <c r="GJ1" s="1">
        <f t="shared" si="2"/>
        <v>164</v>
      </c>
      <c r="GK1" s="1">
        <f t="shared" si="2"/>
        <v>165</v>
      </c>
      <c r="GL1" s="1">
        <f t="shared" si="2"/>
        <v>166</v>
      </c>
      <c r="GM1" s="1">
        <f t="shared" si="2"/>
        <v>167</v>
      </c>
      <c r="GN1" s="1">
        <f t="shared" si="2"/>
        <v>168</v>
      </c>
      <c r="GO1" s="1">
        <f t="shared" si="2"/>
        <v>169</v>
      </c>
      <c r="GP1" s="1">
        <f t="shared" si="2"/>
        <v>170</v>
      </c>
      <c r="GQ1" s="1">
        <f t="shared" si="2"/>
        <v>171</v>
      </c>
      <c r="GR1" s="1">
        <f t="shared" si="2"/>
        <v>172</v>
      </c>
      <c r="GS1" s="1">
        <f t="shared" si="2"/>
        <v>173</v>
      </c>
      <c r="GT1" s="1">
        <f t="shared" si="2"/>
        <v>174</v>
      </c>
      <c r="GU1" s="1">
        <f t="shared" si="2"/>
        <v>175</v>
      </c>
      <c r="GV1" s="1">
        <f t="shared" si="2"/>
        <v>176</v>
      </c>
      <c r="GW1" s="1">
        <f t="shared" si="2"/>
        <v>177</v>
      </c>
      <c r="GX1" s="1">
        <f t="shared" si="2"/>
        <v>178</v>
      </c>
      <c r="GY1" s="1">
        <f t="shared" si="2"/>
        <v>179</v>
      </c>
      <c r="GZ1" s="1">
        <f t="shared" si="2"/>
        <v>180</v>
      </c>
      <c r="HA1" s="1">
        <f t="shared" si="2"/>
        <v>181</v>
      </c>
      <c r="HB1" s="1">
        <f t="shared" si="2"/>
        <v>182</v>
      </c>
      <c r="HC1" s="1">
        <f t="shared" si="2"/>
        <v>183</v>
      </c>
      <c r="HD1" s="1">
        <f t="shared" si="2"/>
        <v>184</v>
      </c>
      <c r="HE1" s="1">
        <f t="shared" si="2"/>
        <v>185</v>
      </c>
      <c r="HF1" s="1">
        <f t="shared" si="2"/>
        <v>186</v>
      </c>
      <c r="HG1" s="1">
        <f t="shared" si="2"/>
        <v>187</v>
      </c>
      <c r="HH1" s="1">
        <f t="shared" si="2"/>
        <v>188</v>
      </c>
      <c r="HI1" s="1">
        <f t="shared" si="2"/>
        <v>189</v>
      </c>
      <c r="HJ1" s="1">
        <f t="shared" si="2"/>
        <v>190</v>
      </c>
      <c r="HK1" s="1">
        <f t="shared" si="2"/>
        <v>191</v>
      </c>
      <c r="HL1" s="1">
        <f t="shared" si="2"/>
        <v>192</v>
      </c>
      <c r="HM1" s="1">
        <f t="shared" si="2"/>
        <v>193</v>
      </c>
      <c r="HN1" s="1">
        <f t="shared" si="2"/>
        <v>194</v>
      </c>
      <c r="HO1" s="1">
        <f t="shared" si="2"/>
        <v>195</v>
      </c>
      <c r="HP1" s="1">
        <f t="shared" si="2"/>
        <v>196</v>
      </c>
      <c r="HQ1" s="1">
        <f t="shared" si="2"/>
        <v>197</v>
      </c>
      <c r="HR1" s="1">
        <f t="shared" si="2"/>
        <v>198</v>
      </c>
      <c r="HS1" s="1">
        <f t="shared" si="2"/>
        <v>199</v>
      </c>
      <c r="HT1" s="1">
        <f t="shared" si="2"/>
        <v>200</v>
      </c>
    </row>
    <row r="2" spans="2:228" s="7" customFormat="1">
      <c r="Y2" s="7">
        <v>44559</v>
      </c>
      <c r="Z2" s="7">
        <v>44923</v>
      </c>
      <c r="AA2" s="7">
        <v>45287</v>
      </c>
    </row>
    <row r="3" spans="2:228" s="2" customFormat="1">
      <c r="C3" s="2" t="s">
        <v>28</v>
      </c>
      <c r="D3" s="2" t="s">
        <v>29</v>
      </c>
      <c r="E3" s="2" t="s">
        <v>30</v>
      </c>
      <c r="F3" s="2" t="s">
        <v>31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52</v>
      </c>
      <c r="P3" s="2" t="s">
        <v>53</v>
      </c>
      <c r="T3" s="2">
        <v>2015</v>
      </c>
      <c r="U3" s="2">
        <v>2016</v>
      </c>
      <c r="V3" s="2">
        <v>2017</v>
      </c>
      <c r="W3" s="2">
        <v>2018</v>
      </c>
      <c r="X3" s="2">
        <f>+W3+1</f>
        <v>2019</v>
      </c>
      <c r="Y3" s="2">
        <f t="shared" ref="Y3:AL3" si="3">+X3+1</f>
        <v>2020</v>
      </c>
      <c r="Z3" s="2">
        <f t="shared" si="3"/>
        <v>2021</v>
      </c>
      <c r="AA3" s="2">
        <f t="shared" si="3"/>
        <v>2022</v>
      </c>
      <c r="AB3" s="2">
        <f t="shared" si="3"/>
        <v>2023</v>
      </c>
      <c r="AC3" s="2">
        <f t="shared" si="3"/>
        <v>2024</v>
      </c>
      <c r="AD3" s="2">
        <f t="shared" si="3"/>
        <v>2025</v>
      </c>
      <c r="AE3" s="2">
        <f t="shared" si="3"/>
        <v>2026</v>
      </c>
      <c r="AF3" s="2">
        <f t="shared" si="3"/>
        <v>2027</v>
      </c>
      <c r="AG3" s="2">
        <f t="shared" si="3"/>
        <v>2028</v>
      </c>
      <c r="AH3" s="2">
        <f t="shared" si="3"/>
        <v>2029</v>
      </c>
      <c r="AI3" s="2">
        <f t="shared" si="3"/>
        <v>2030</v>
      </c>
      <c r="AJ3" s="2">
        <f t="shared" si="3"/>
        <v>2031</v>
      </c>
      <c r="AK3" s="2">
        <f t="shared" si="3"/>
        <v>2032</v>
      </c>
      <c r="AL3" s="2">
        <f t="shared" si="3"/>
        <v>2033</v>
      </c>
    </row>
    <row r="4" spans="2:228" s="2" customFormat="1">
      <c r="B4" s="2" t="s">
        <v>43</v>
      </c>
      <c r="G4" s="2">
        <v>225</v>
      </c>
      <c r="H4" s="2">
        <v>225</v>
      </c>
      <c r="I4" s="2">
        <v>232</v>
      </c>
      <c r="J4" s="2">
        <v>254</v>
      </c>
      <c r="K4" s="2">
        <v>260</v>
      </c>
      <c r="L4" s="2">
        <v>270</v>
      </c>
      <c r="M4" s="2">
        <v>280</v>
      </c>
      <c r="N4" s="2">
        <f>+AB4</f>
        <v>295</v>
      </c>
      <c r="O4" s="2">
        <v>299</v>
      </c>
      <c r="P4" s="2">
        <v>311</v>
      </c>
      <c r="AA4" s="2">
        <f>+J4</f>
        <v>254</v>
      </c>
      <c r="AB4" s="2">
        <v>295</v>
      </c>
      <c r="AC4" s="2">
        <f>+AB4+40</f>
        <v>335</v>
      </c>
      <c r="AD4" s="2">
        <f t="shared" ref="AD4:AL4" si="4">+AC4+40</f>
        <v>375</v>
      </c>
      <c r="AE4" s="2">
        <f t="shared" si="4"/>
        <v>415</v>
      </c>
      <c r="AF4" s="2">
        <f t="shared" si="4"/>
        <v>455</v>
      </c>
      <c r="AG4" s="2">
        <f t="shared" si="4"/>
        <v>495</v>
      </c>
      <c r="AH4" s="2">
        <f t="shared" si="4"/>
        <v>535</v>
      </c>
      <c r="AI4" s="2">
        <f t="shared" si="4"/>
        <v>575</v>
      </c>
      <c r="AJ4" s="2">
        <f t="shared" si="4"/>
        <v>615</v>
      </c>
      <c r="AK4" s="2">
        <f t="shared" si="4"/>
        <v>655</v>
      </c>
      <c r="AL4" s="2">
        <f t="shared" si="4"/>
        <v>695</v>
      </c>
    </row>
    <row r="5" spans="2:228" s="2" customFormat="1">
      <c r="B5" s="2" t="s">
        <v>44</v>
      </c>
      <c r="G5" s="2">
        <f>27+130</f>
        <v>157</v>
      </c>
      <c r="H5" s="2">
        <f>27+130</f>
        <v>157</v>
      </c>
      <c r="I5" s="2">
        <f>30+140</f>
        <v>170</v>
      </c>
      <c r="J5" s="2">
        <f>33+149</f>
        <v>182</v>
      </c>
      <c r="K5" s="2">
        <f>35+154</f>
        <v>189</v>
      </c>
      <c r="L5" s="2">
        <f>35+166</f>
        <v>201</v>
      </c>
      <c r="M5" s="2">
        <f>39+176</f>
        <v>215</v>
      </c>
      <c r="N5" s="2">
        <f>+AB5</f>
        <v>223</v>
      </c>
      <c r="O5" s="2">
        <v>226</v>
      </c>
      <c r="P5" s="2">
        <v>236</v>
      </c>
      <c r="AA5" s="2">
        <f>+J5</f>
        <v>182</v>
      </c>
      <c r="AB5" s="2">
        <f>39+184</f>
        <v>223</v>
      </c>
      <c r="AC5" s="2">
        <f>+AB5+40</f>
        <v>263</v>
      </c>
      <c r="AD5" s="2">
        <f t="shared" ref="AD5:AL5" si="5">+AC5+40</f>
        <v>303</v>
      </c>
      <c r="AE5" s="2">
        <f t="shared" si="5"/>
        <v>343</v>
      </c>
      <c r="AF5" s="2">
        <f t="shared" si="5"/>
        <v>383</v>
      </c>
      <c r="AG5" s="2">
        <f t="shared" si="5"/>
        <v>423</v>
      </c>
      <c r="AH5" s="2">
        <f t="shared" si="5"/>
        <v>463</v>
      </c>
      <c r="AI5" s="2">
        <f t="shared" si="5"/>
        <v>503</v>
      </c>
      <c r="AJ5" s="2">
        <f t="shared" si="5"/>
        <v>543</v>
      </c>
      <c r="AK5" s="2">
        <f t="shared" si="5"/>
        <v>583</v>
      </c>
      <c r="AL5" s="2">
        <f t="shared" si="5"/>
        <v>623</v>
      </c>
    </row>
    <row r="6" spans="2:228" s="11" customFormat="1">
      <c r="B6" s="11" t="s">
        <v>45</v>
      </c>
      <c r="G6" s="11">
        <f t="shared" ref="G6:P6" si="6">SUM(G4:G5)</f>
        <v>382</v>
      </c>
      <c r="H6" s="11">
        <f t="shared" si="6"/>
        <v>382</v>
      </c>
      <c r="I6" s="11">
        <f t="shared" si="6"/>
        <v>402</v>
      </c>
      <c r="J6" s="11">
        <f t="shared" si="6"/>
        <v>436</v>
      </c>
      <c r="K6" s="11">
        <f t="shared" si="6"/>
        <v>449</v>
      </c>
      <c r="L6" s="11">
        <f t="shared" si="6"/>
        <v>471</v>
      </c>
      <c r="M6" s="11">
        <f t="shared" si="6"/>
        <v>495</v>
      </c>
      <c r="N6" s="11">
        <f t="shared" si="6"/>
        <v>518</v>
      </c>
      <c r="O6" s="11">
        <f t="shared" si="6"/>
        <v>525</v>
      </c>
      <c r="P6" s="11">
        <f t="shared" si="6"/>
        <v>547</v>
      </c>
      <c r="AA6" s="11">
        <f>SUM(AA4:AA5)</f>
        <v>436</v>
      </c>
      <c r="AB6" s="11">
        <f>SUM(AB4:AB5)</f>
        <v>518</v>
      </c>
      <c r="AC6" s="11">
        <f>+SUM(AC4:AC5)</f>
        <v>598</v>
      </c>
      <c r="AD6" s="11">
        <f t="shared" ref="AD6:AL6" si="7">+SUM(AD4:AD5)</f>
        <v>678</v>
      </c>
      <c r="AE6" s="11">
        <f t="shared" si="7"/>
        <v>758</v>
      </c>
      <c r="AF6" s="11">
        <f t="shared" si="7"/>
        <v>838</v>
      </c>
      <c r="AG6" s="11">
        <f t="shared" si="7"/>
        <v>918</v>
      </c>
      <c r="AH6" s="11">
        <f t="shared" si="7"/>
        <v>998</v>
      </c>
      <c r="AI6" s="11">
        <f t="shared" si="7"/>
        <v>1078</v>
      </c>
      <c r="AJ6" s="11">
        <f t="shared" si="7"/>
        <v>1158</v>
      </c>
      <c r="AK6" s="11">
        <f t="shared" si="7"/>
        <v>1238</v>
      </c>
      <c r="AL6" s="11">
        <f t="shared" si="7"/>
        <v>1318</v>
      </c>
    </row>
    <row r="7" spans="2:228" s="11" customFormat="1"/>
    <row r="8" spans="2:228" s="12" customFormat="1">
      <c r="B8" s="12" t="s">
        <v>46</v>
      </c>
      <c r="G8" s="12">
        <f t="shared" ref="G8:K9" si="8">+G11/G4</f>
        <v>874.62666666666667</v>
      </c>
      <c r="H8" s="12">
        <f t="shared" si="8"/>
        <v>991.35111111111109</v>
      </c>
      <c r="I8" s="12">
        <f t="shared" si="8"/>
        <v>946.125</v>
      </c>
      <c r="J8" s="12">
        <f t="shared" si="8"/>
        <v>905.2125984251968</v>
      </c>
      <c r="K8" s="12">
        <f t="shared" si="8"/>
        <v>939.43846153846152</v>
      </c>
      <c r="L8" s="12">
        <f t="shared" ref="L8:N8" si="9">+L11/L4</f>
        <v>969.66666666666663</v>
      </c>
      <c r="M8" s="12">
        <f t="shared" si="9"/>
        <v>946.35714285714289</v>
      </c>
      <c r="N8" s="12">
        <f t="shared" si="9"/>
        <v>934.83050847457628</v>
      </c>
      <c r="O8" s="12">
        <f t="shared" ref="O8" si="10">+O11/O4</f>
        <v>938.30100334448161</v>
      </c>
      <c r="P8" s="12">
        <f t="shared" ref="P8" si="11">+P11/P4</f>
        <v>982.25080385852095</v>
      </c>
      <c r="AA8" s="12">
        <f>+AA11/AA4</f>
        <v>3422.3228346456694</v>
      </c>
      <c r="AB8" s="12">
        <f>+AB11/AB4</f>
        <v>3548.5389830508475</v>
      </c>
      <c r="AC8" s="12">
        <f>+AB8*1.01</f>
        <v>3584.0243728813562</v>
      </c>
      <c r="AD8" s="12">
        <f t="shared" ref="AD8:AL8" si="12">+AC8*1.01</f>
        <v>3619.8646166101698</v>
      </c>
      <c r="AE8" s="12">
        <f t="shared" si="12"/>
        <v>3656.0632627762716</v>
      </c>
      <c r="AF8" s="12">
        <f t="shared" si="12"/>
        <v>3692.6238954040346</v>
      </c>
      <c r="AG8" s="12">
        <f t="shared" si="12"/>
        <v>3729.550134358075</v>
      </c>
      <c r="AH8" s="12">
        <f t="shared" si="12"/>
        <v>3766.8456357016557</v>
      </c>
      <c r="AI8" s="12">
        <f t="shared" si="12"/>
        <v>3804.5140920586723</v>
      </c>
      <c r="AJ8" s="12">
        <f t="shared" si="12"/>
        <v>3842.5592329792589</v>
      </c>
      <c r="AK8" s="12">
        <f t="shared" si="12"/>
        <v>3880.9848253090518</v>
      </c>
      <c r="AL8" s="12">
        <f t="shared" si="12"/>
        <v>3919.7946735621422</v>
      </c>
    </row>
    <row r="9" spans="2:228" s="12" customFormat="1">
      <c r="B9" s="12" t="s">
        <v>47</v>
      </c>
      <c r="G9" s="12">
        <f t="shared" si="8"/>
        <v>42.038216560509554</v>
      </c>
      <c r="H9" s="12">
        <f t="shared" si="8"/>
        <v>49.031847133757964</v>
      </c>
      <c r="I9" s="12">
        <f t="shared" si="8"/>
        <v>48.9</v>
      </c>
      <c r="J9" s="12">
        <f t="shared" si="8"/>
        <v>47.280219780219781</v>
      </c>
      <c r="K9" s="12">
        <f t="shared" si="8"/>
        <v>47.746031746031747</v>
      </c>
      <c r="L9" s="12">
        <f t="shared" ref="L9:N9" si="13">+L12/L5</f>
        <v>49.726368159203979</v>
      </c>
      <c r="M9" s="12">
        <f t="shared" si="13"/>
        <v>52.218604651162792</v>
      </c>
      <c r="N9" s="12">
        <f t="shared" si="13"/>
        <v>46.941704035874437</v>
      </c>
      <c r="O9" s="12">
        <f t="shared" ref="O9" si="14">+O12/O5</f>
        <v>44.035398230088497</v>
      </c>
      <c r="P9" s="12">
        <f t="shared" ref="P9" si="15">+P12/P5</f>
        <v>46.677966101694913</v>
      </c>
      <c r="AA9" s="12">
        <f>+AA12/AA5</f>
        <v>171.5164835164835</v>
      </c>
      <c r="AB9" s="12">
        <f>+AB12/AB5</f>
        <v>182.57399103139014</v>
      </c>
      <c r="AC9" s="12">
        <f>+AB9*0.93</f>
        <v>169.79381165919284</v>
      </c>
      <c r="AD9" s="12">
        <f t="shared" ref="AD9:AL9" si="16">+AC9*1.02</f>
        <v>173.1896878923767</v>
      </c>
      <c r="AE9" s="12">
        <f t="shared" si="16"/>
        <v>176.65348165022422</v>
      </c>
      <c r="AF9" s="12">
        <f t="shared" si="16"/>
        <v>180.18655128322871</v>
      </c>
      <c r="AG9" s="12">
        <f t="shared" si="16"/>
        <v>183.7902823088933</v>
      </c>
      <c r="AH9" s="12">
        <f t="shared" si="16"/>
        <v>187.46608795507117</v>
      </c>
      <c r="AI9" s="12">
        <f t="shared" si="16"/>
        <v>191.21540971417261</v>
      </c>
      <c r="AJ9" s="12">
        <f t="shared" si="16"/>
        <v>195.03971790845605</v>
      </c>
      <c r="AK9" s="12">
        <f t="shared" si="16"/>
        <v>198.94051226662518</v>
      </c>
      <c r="AL9" s="12">
        <f t="shared" si="16"/>
        <v>202.91932251195769</v>
      </c>
    </row>
    <row r="10" spans="2:228" s="5" customFormat="1">
      <c r="AB10" s="5">
        <f>+AB9/AA9-1</f>
        <v>6.4469066110744766E-2</v>
      </c>
    </row>
    <row r="11" spans="2:228">
      <c r="B11" s="1" t="s">
        <v>6</v>
      </c>
      <c r="C11" s="1">
        <v>150668</v>
      </c>
      <c r="D11" s="1">
        <v>181470</v>
      </c>
      <c r="E11" s="1">
        <v>186972</v>
      </c>
      <c r="F11" s="1">
        <f>+Z11-SUM(C11:E11)</f>
        <v>195879</v>
      </c>
      <c r="G11" s="1">
        <v>196791</v>
      </c>
      <c r="H11" s="1">
        <v>223054</v>
      </c>
      <c r="I11" s="1">
        <v>219501</v>
      </c>
      <c r="J11" s="1">
        <f>+AA11-SUM(G11:I11)</f>
        <v>229924</v>
      </c>
      <c r="K11" s="1">
        <v>244254</v>
      </c>
      <c r="L11" s="1">
        <v>261810</v>
      </c>
      <c r="M11" s="1">
        <v>264980</v>
      </c>
      <c r="N11" s="1">
        <v>275775</v>
      </c>
      <c r="O11" s="1">
        <v>280552</v>
      </c>
      <c r="P11" s="1">
        <v>305480</v>
      </c>
      <c r="Y11" s="1">
        <v>506339</v>
      </c>
      <c r="Z11" s="1">
        <v>714989</v>
      </c>
      <c r="AA11" s="1">
        <v>869270</v>
      </c>
      <c r="AB11" s="1">
        <f>SUM(K11:N11)</f>
        <v>1046819</v>
      </c>
      <c r="AC11" s="1">
        <f>+AC4*AC8</f>
        <v>1200648.1649152543</v>
      </c>
      <c r="AD11" s="1">
        <f t="shared" ref="AD11:AL11" si="17">+AD4*AD8</f>
        <v>1357449.2312288138</v>
      </c>
      <c r="AE11" s="1">
        <f t="shared" si="17"/>
        <v>1517266.2540521526</v>
      </c>
      <c r="AF11" s="1">
        <f t="shared" si="17"/>
        <v>1680143.8724088357</v>
      </c>
      <c r="AG11" s="1">
        <f t="shared" si="17"/>
        <v>1846127.316507247</v>
      </c>
      <c r="AH11" s="1">
        <f t="shared" si="17"/>
        <v>2015262.4151003859</v>
      </c>
      <c r="AI11" s="1">
        <f t="shared" si="17"/>
        <v>2187595.6029337365</v>
      </c>
      <c r="AJ11" s="1">
        <f t="shared" si="17"/>
        <v>2363173.9282822441</v>
      </c>
      <c r="AK11" s="1">
        <f t="shared" si="17"/>
        <v>2542045.0605774289</v>
      </c>
      <c r="AL11" s="1">
        <f t="shared" si="17"/>
        <v>2724257.2981256889</v>
      </c>
    </row>
    <row r="12" spans="2:228">
      <c r="B12" s="1" t="s">
        <v>35</v>
      </c>
      <c r="C12" s="1">
        <v>4614</v>
      </c>
      <c r="D12" s="1">
        <v>5990</v>
      </c>
      <c r="E12" s="1">
        <v>6923</v>
      </c>
      <c r="F12" s="1">
        <f>+Z12-SUM(C12:E12)</f>
        <v>7377</v>
      </c>
      <c r="G12" s="1">
        <v>6600</v>
      </c>
      <c r="H12" s="1">
        <v>7698</v>
      </c>
      <c r="I12" s="1">
        <v>8313</v>
      </c>
      <c r="J12" s="1">
        <f>+AA12-SUM(G12:I12)</f>
        <v>8605</v>
      </c>
      <c r="K12" s="1">
        <v>9024</v>
      </c>
      <c r="L12" s="1">
        <v>9995</v>
      </c>
      <c r="M12" s="1">
        <v>11227</v>
      </c>
      <c r="N12" s="1">
        <v>10468</v>
      </c>
      <c r="O12" s="1">
        <v>9952</v>
      </c>
      <c r="P12" s="1">
        <v>11016</v>
      </c>
      <c r="Y12" s="1">
        <v>16528</v>
      </c>
      <c r="Z12" s="1">
        <v>24904</v>
      </c>
      <c r="AA12" s="1">
        <v>31216</v>
      </c>
      <c r="AB12" s="1">
        <f>SUM(K12:N12)</f>
        <v>40714</v>
      </c>
      <c r="AC12" s="1">
        <f>+AC5*AC9</f>
        <v>44655.772466367715</v>
      </c>
      <c r="AD12" s="1">
        <f t="shared" ref="AD12:AL12" si="18">+AD5*AD9</f>
        <v>52476.475431390136</v>
      </c>
      <c r="AE12" s="1">
        <f t="shared" si="18"/>
        <v>60592.144206026911</v>
      </c>
      <c r="AF12" s="1">
        <f t="shared" si="18"/>
        <v>69011.449141476594</v>
      </c>
      <c r="AG12" s="1">
        <f t="shared" si="18"/>
        <v>77743.289416661864</v>
      </c>
      <c r="AH12" s="1">
        <f t="shared" si="18"/>
        <v>86796.79872319795</v>
      </c>
      <c r="AI12" s="1">
        <f t="shared" si="18"/>
        <v>96181.351086228824</v>
      </c>
      <c r="AJ12" s="1">
        <f t="shared" si="18"/>
        <v>105906.56682429164</v>
      </c>
      <c r="AK12" s="1">
        <f t="shared" si="18"/>
        <v>115982.31865144247</v>
      </c>
      <c r="AL12" s="1">
        <f t="shared" si="18"/>
        <v>126418.73792494964</v>
      </c>
    </row>
    <row r="13" spans="2:228" s="3" customFormat="1">
      <c r="B13" s="3" t="s">
        <v>7</v>
      </c>
      <c r="C13" s="3">
        <f t="shared" ref="C13:P13" si="19">+SUM(C11:C12)</f>
        <v>155282</v>
      </c>
      <c r="D13" s="3">
        <f t="shared" si="19"/>
        <v>187460</v>
      </c>
      <c r="E13" s="3">
        <f t="shared" si="19"/>
        <v>193895</v>
      </c>
      <c r="F13" s="3">
        <f t="shared" si="19"/>
        <v>203256</v>
      </c>
      <c r="G13" s="3">
        <f t="shared" si="19"/>
        <v>203391</v>
      </c>
      <c r="H13" s="3">
        <f t="shared" si="19"/>
        <v>230752</v>
      </c>
      <c r="I13" s="3">
        <f t="shared" si="19"/>
        <v>227814</v>
      </c>
      <c r="J13" s="3">
        <f t="shared" si="19"/>
        <v>238529</v>
      </c>
      <c r="K13" s="3">
        <f t="shared" si="19"/>
        <v>253278</v>
      </c>
      <c r="L13" s="3">
        <f t="shared" si="19"/>
        <v>271805</v>
      </c>
      <c r="M13" s="3">
        <f t="shared" si="19"/>
        <v>276207</v>
      </c>
      <c r="N13" s="3">
        <f t="shared" si="19"/>
        <v>286243</v>
      </c>
      <c r="O13" s="3">
        <f t="shared" si="19"/>
        <v>290504</v>
      </c>
      <c r="P13" s="3">
        <f t="shared" si="19"/>
        <v>316496</v>
      </c>
      <c r="Y13" s="3">
        <f>+SUM(Y11:Y12)</f>
        <v>522867</v>
      </c>
      <c r="Z13" s="3">
        <f>+SUM(Z11:Z12)</f>
        <v>739893</v>
      </c>
      <c r="AA13" s="3">
        <f>+SUM(AA11:AA12)</f>
        <v>900486</v>
      </c>
      <c r="AB13" s="3">
        <f>+SUM(AB11:AB12)</f>
        <v>1087533</v>
      </c>
      <c r="AC13" s="3">
        <f>+SUM(AC11:AC12)</f>
        <v>1245303.9373816221</v>
      </c>
      <c r="AD13" s="3">
        <f t="shared" ref="AD13:AL13" si="20">+SUM(AD11:AD12)</f>
        <v>1409925.7066602039</v>
      </c>
      <c r="AE13" s="3">
        <f t="shared" si="20"/>
        <v>1577858.3982581794</v>
      </c>
      <c r="AF13" s="3">
        <f t="shared" si="20"/>
        <v>1749155.3215503122</v>
      </c>
      <c r="AG13" s="3">
        <f t="shared" si="20"/>
        <v>1923870.605923909</v>
      </c>
      <c r="AH13" s="3">
        <f t="shared" si="20"/>
        <v>2102059.2138235839</v>
      </c>
      <c r="AI13" s="3">
        <f t="shared" si="20"/>
        <v>2283776.9540199651</v>
      </c>
      <c r="AJ13" s="3">
        <f t="shared" si="20"/>
        <v>2469080.495106536</v>
      </c>
      <c r="AK13" s="3">
        <f t="shared" si="20"/>
        <v>2658027.3792288713</v>
      </c>
      <c r="AL13" s="3">
        <f t="shared" si="20"/>
        <v>2850676.0360506386</v>
      </c>
    </row>
    <row r="14" spans="2:228">
      <c r="B14" s="1" t="s">
        <v>8</v>
      </c>
      <c r="C14" s="1">
        <v>44630</v>
      </c>
      <c r="D14" s="1">
        <v>54917</v>
      </c>
      <c r="E14" s="1">
        <v>57925</v>
      </c>
      <c r="F14" s="1">
        <f t="shared" ref="F14:F20" si="21">+Z14-SUM(C14:E14)</f>
        <v>60790</v>
      </c>
      <c r="G14" s="1">
        <v>59884</v>
      </c>
      <c r="H14" s="1">
        <v>65987</v>
      </c>
      <c r="I14" s="1">
        <v>67774</v>
      </c>
      <c r="J14" s="1">
        <f t="shared" ref="J14:J20" si="22">+AA14-SUM(G14:I14)</f>
        <v>67939</v>
      </c>
      <c r="K14" s="1">
        <v>71772</v>
      </c>
      <c r="L14" s="1">
        <v>75800</v>
      </c>
      <c r="M14" s="1">
        <v>77180</v>
      </c>
      <c r="N14" s="1">
        <v>80289</v>
      </c>
      <c r="O14" s="1">
        <v>80253</v>
      </c>
      <c r="P14" s="1">
        <v>85053</v>
      </c>
      <c r="Y14" s="1">
        <v>153335</v>
      </c>
      <c r="Z14" s="1">
        <v>218262</v>
      </c>
      <c r="AA14" s="1">
        <v>261584</v>
      </c>
      <c r="AB14" s="1">
        <f t="shared" ref="AB14:AB20" si="23">SUM(K14:N14)</f>
        <v>305041</v>
      </c>
      <c r="AC14" s="1">
        <f>+AC13*0.272</f>
        <v>338722.67096780124</v>
      </c>
      <c r="AD14" s="1">
        <f t="shared" ref="AD14:AL14" si="24">+AD13*0.272</f>
        <v>383499.79221157549</v>
      </c>
      <c r="AE14" s="1">
        <f t="shared" si="24"/>
        <v>429177.48432622483</v>
      </c>
      <c r="AF14" s="1">
        <f t="shared" si="24"/>
        <v>475770.24746168498</v>
      </c>
      <c r="AG14" s="1">
        <f t="shared" si="24"/>
        <v>523292.80481130327</v>
      </c>
      <c r="AH14" s="1">
        <f t="shared" si="24"/>
        <v>571760.10616001487</v>
      </c>
      <c r="AI14" s="1">
        <f t="shared" si="24"/>
        <v>621187.33149343054</v>
      </c>
      <c r="AJ14" s="1">
        <f t="shared" si="24"/>
        <v>671589.89466897782</v>
      </c>
      <c r="AK14" s="1">
        <f t="shared" si="24"/>
        <v>722983.44715025299</v>
      </c>
      <c r="AL14" s="1">
        <f t="shared" si="24"/>
        <v>775383.88180577382</v>
      </c>
    </row>
    <row r="15" spans="2:228">
      <c r="B15" s="1" t="s">
        <v>9</v>
      </c>
      <c r="C15" s="1">
        <v>46382</v>
      </c>
      <c r="D15" s="1">
        <v>52631</v>
      </c>
      <c r="E15" s="1">
        <v>58208</v>
      </c>
      <c r="F15" s="1">
        <f t="shared" si="21"/>
        <v>57893</v>
      </c>
      <c r="G15" s="1">
        <v>60465</v>
      </c>
      <c r="H15" s="1">
        <v>65851</v>
      </c>
      <c r="I15" s="1">
        <v>64638</v>
      </c>
      <c r="J15" s="1">
        <f t="shared" si="22"/>
        <v>66404</v>
      </c>
      <c r="K15" s="1">
        <v>74264</v>
      </c>
      <c r="L15" s="1">
        <v>75158</v>
      </c>
      <c r="M15" s="1">
        <v>76233</v>
      </c>
      <c r="N15" s="1">
        <v>78599</v>
      </c>
      <c r="O15" s="1">
        <v>81509</v>
      </c>
      <c r="P15" s="1">
        <v>86614</v>
      </c>
      <c r="Y15" s="1">
        <v>156814</v>
      </c>
      <c r="Z15" s="1">
        <v>215114</v>
      </c>
      <c r="AA15" s="1">
        <v>257358</v>
      </c>
      <c r="AB15" s="1">
        <f t="shared" si="23"/>
        <v>304254</v>
      </c>
      <c r="AC15" s="1">
        <f>+AC13*0.277</f>
        <v>344949.19065470935</v>
      </c>
      <c r="AD15" s="1">
        <f t="shared" ref="AD15:AL15" si="25">+AD13*0.277</f>
        <v>390549.42074487649</v>
      </c>
      <c r="AE15" s="1">
        <f t="shared" si="25"/>
        <v>437066.77631751576</v>
      </c>
      <c r="AF15" s="1">
        <f t="shared" si="25"/>
        <v>484516.02406943653</v>
      </c>
      <c r="AG15" s="1">
        <f t="shared" si="25"/>
        <v>532912.15784092282</v>
      </c>
      <c r="AH15" s="1">
        <f t="shared" si="25"/>
        <v>582270.40222913283</v>
      </c>
      <c r="AI15" s="1">
        <f t="shared" si="25"/>
        <v>632606.21626353043</v>
      </c>
      <c r="AJ15" s="1">
        <f t="shared" si="25"/>
        <v>683935.29714451055</v>
      </c>
      <c r="AK15" s="1">
        <f t="shared" si="25"/>
        <v>736273.58404639747</v>
      </c>
      <c r="AL15" s="1">
        <f t="shared" si="25"/>
        <v>789637.26198602701</v>
      </c>
    </row>
    <row r="16" spans="2:228">
      <c r="B16" s="1" t="s">
        <v>48</v>
      </c>
      <c r="C16" s="1">
        <v>23144</v>
      </c>
      <c r="D16" s="1">
        <v>24275</v>
      </c>
      <c r="E16" s="1">
        <v>26613</v>
      </c>
      <c r="F16" s="1">
        <f t="shared" si="21"/>
        <v>28000</v>
      </c>
      <c r="G16" s="1">
        <v>30171</v>
      </c>
      <c r="H16" s="1">
        <v>32151</v>
      </c>
      <c r="I16" s="1">
        <v>33680</v>
      </c>
      <c r="J16" s="1">
        <f t="shared" si="22"/>
        <v>-66352</v>
      </c>
      <c r="K16" s="1">
        <v>34936</v>
      </c>
      <c r="L16" s="1">
        <v>36109</v>
      </c>
      <c r="M16" s="1">
        <v>37307</v>
      </c>
      <c r="N16" s="1">
        <v>41097</v>
      </c>
      <c r="O16" s="1">
        <v>41856</v>
      </c>
      <c r="P16" s="1">
        <v>43953</v>
      </c>
      <c r="Y16" s="1">
        <v>73220</v>
      </c>
      <c r="Z16" s="1">
        <v>102032</v>
      </c>
      <c r="AA16" s="1">
        <v>29650</v>
      </c>
      <c r="AB16" s="1">
        <f t="shared" si="23"/>
        <v>149449</v>
      </c>
      <c r="AC16" s="1">
        <f>+AC13*0.141</f>
        <v>175587.8551708087</v>
      </c>
      <c r="AD16" s="1">
        <f t="shared" ref="AD16:AL16" si="26">+AD13*0.141</f>
        <v>198799.52463908872</v>
      </c>
      <c r="AE16" s="1">
        <f t="shared" si="26"/>
        <v>222478.03415440329</v>
      </c>
      <c r="AF16" s="1">
        <f t="shared" si="26"/>
        <v>246630.90033859399</v>
      </c>
      <c r="AG16" s="1">
        <f t="shared" si="26"/>
        <v>271265.75543527113</v>
      </c>
      <c r="AH16" s="1">
        <f t="shared" si="26"/>
        <v>296390.34914912528</v>
      </c>
      <c r="AI16" s="1">
        <f t="shared" si="26"/>
        <v>322012.55051681504</v>
      </c>
      <c r="AJ16" s="1">
        <f t="shared" si="26"/>
        <v>348140.34981002152</v>
      </c>
      <c r="AK16" s="1">
        <f t="shared" si="26"/>
        <v>374781.8604712708</v>
      </c>
      <c r="AL16" s="1">
        <f t="shared" si="26"/>
        <v>401945.32108314004</v>
      </c>
    </row>
    <row r="17" spans="2:228">
      <c r="B17" s="1" t="s">
        <v>49</v>
      </c>
      <c r="C17" s="1">
        <v>13911</v>
      </c>
      <c r="D17" s="1">
        <v>14876</v>
      </c>
      <c r="E17" s="1">
        <v>14640</v>
      </c>
      <c r="F17" s="1">
        <f t="shared" si="21"/>
        <v>15801</v>
      </c>
      <c r="G17" s="1">
        <v>16276</v>
      </c>
      <c r="H17" s="1">
        <v>16657</v>
      </c>
      <c r="I17" s="1">
        <v>17337</v>
      </c>
      <c r="J17" s="1">
        <f t="shared" si="22"/>
        <v>18238</v>
      </c>
      <c r="K17" s="1">
        <v>18583</v>
      </c>
      <c r="L17" s="1">
        <v>19801</v>
      </c>
      <c r="M17" s="1">
        <v>20300</v>
      </c>
      <c r="N17" s="1">
        <v>21162</v>
      </c>
      <c r="O17" s="1">
        <v>22188</v>
      </c>
      <c r="P17" s="1">
        <v>23226</v>
      </c>
      <c r="Y17" s="1">
        <v>51592</v>
      </c>
      <c r="Z17" s="1">
        <v>59228</v>
      </c>
      <c r="AA17" s="1">
        <v>68508</v>
      </c>
      <c r="AB17" s="1">
        <f t="shared" si="23"/>
        <v>79846</v>
      </c>
      <c r="AC17" s="1">
        <f>+AC13*0.075</f>
        <v>93397.795303621664</v>
      </c>
      <c r="AD17" s="1">
        <f t="shared" ref="AD17:AL17" si="27">+AD13*0.075</f>
        <v>105744.42799951529</v>
      </c>
      <c r="AE17" s="1">
        <f t="shared" si="27"/>
        <v>118339.37986936345</v>
      </c>
      <c r="AF17" s="1">
        <f t="shared" si="27"/>
        <v>131186.64911627342</v>
      </c>
      <c r="AG17" s="1">
        <f t="shared" si="27"/>
        <v>144290.29544429318</v>
      </c>
      <c r="AH17" s="1">
        <f t="shared" si="27"/>
        <v>157654.44103676878</v>
      </c>
      <c r="AI17" s="1">
        <f t="shared" si="27"/>
        <v>171283.27155149737</v>
      </c>
      <c r="AJ17" s="1">
        <f t="shared" si="27"/>
        <v>185181.0371329902</v>
      </c>
      <c r="AK17" s="1">
        <f t="shared" si="27"/>
        <v>199352.05344216534</v>
      </c>
      <c r="AL17" s="1">
        <f t="shared" si="27"/>
        <v>213800.7027037979</v>
      </c>
    </row>
    <row r="18" spans="2:228">
      <c r="B18" s="1" t="s">
        <v>10</v>
      </c>
      <c r="C18" s="1">
        <v>19565</v>
      </c>
      <c r="D18" s="1">
        <v>20366</v>
      </c>
      <c r="E18" s="1">
        <v>20504</v>
      </c>
      <c r="F18" s="1">
        <f t="shared" si="21"/>
        <v>26761</v>
      </c>
      <c r="G18" s="1">
        <v>31386</v>
      </c>
      <c r="H18" s="1">
        <v>29487</v>
      </c>
      <c r="I18" s="1">
        <v>26931</v>
      </c>
      <c r="J18" s="1">
        <f t="shared" si="22"/>
        <v>32205</v>
      </c>
      <c r="K18" s="1">
        <v>31311</v>
      </c>
      <c r="L18" s="1">
        <v>31476</v>
      </c>
      <c r="M18" s="1">
        <v>30939</v>
      </c>
      <c r="N18" s="1">
        <v>35816</v>
      </c>
      <c r="O18" s="1">
        <v>35944</v>
      </c>
      <c r="P18" s="1">
        <v>36313</v>
      </c>
      <c r="Y18" s="1">
        <v>64250</v>
      </c>
      <c r="Z18" s="1">
        <v>87196</v>
      </c>
      <c r="AA18" s="1">
        <v>120009</v>
      </c>
      <c r="AB18" s="1">
        <f t="shared" si="23"/>
        <v>129542</v>
      </c>
      <c r="AC18" s="1">
        <f>AVERAGE(143000,146000)</f>
        <v>144500</v>
      </c>
      <c r="AD18" s="1">
        <f t="shared" ref="AD18:AL18" si="28">+AD$13*(AC18/AC$13)</f>
        <v>163602.04002949788</v>
      </c>
      <c r="AE18" s="1">
        <f t="shared" si="28"/>
        <v>183088.26600813709</v>
      </c>
      <c r="AF18" s="1">
        <f t="shared" si="28"/>
        <v>202964.86373877435</v>
      </c>
      <c r="AG18" s="1">
        <f t="shared" si="28"/>
        <v>223238.11417518408</v>
      </c>
      <c r="AH18" s="1">
        <f t="shared" si="28"/>
        <v>243914.39493571981</v>
      </c>
      <c r="AI18" s="1">
        <f t="shared" si="28"/>
        <v>265000.18184296082</v>
      </c>
      <c r="AJ18" s="1">
        <f t="shared" si="28"/>
        <v>286502.05048983067</v>
      </c>
      <c r="AK18" s="1">
        <f t="shared" si="28"/>
        <v>308426.67783268192</v>
      </c>
      <c r="AL18" s="1">
        <f t="shared" si="28"/>
        <v>330780.84381185408</v>
      </c>
    </row>
    <row r="19" spans="2:228">
      <c r="B19" s="1" t="s">
        <v>11</v>
      </c>
      <c r="C19" s="1">
        <v>13726</v>
      </c>
      <c r="D19" s="1">
        <v>14472</v>
      </c>
      <c r="E19" s="1">
        <v>15183</v>
      </c>
      <c r="F19" s="1">
        <f t="shared" si="21"/>
        <v>15610</v>
      </c>
      <c r="G19" s="1">
        <v>16855</v>
      </c>
      <c r="H19" s="1">
        <v>18087</v>
      </c>
      <c r="I19" s="1">
        <v>18647</v>
      </c>
      <c r="J19" s="1">
        <f t="shared" si="22"/>
        <v>19207</v>
      </c>
      <c r="K19" s="1">
        <v>21322</v>
      </c>
      <c r="L19" s="1">
        <v>22252</v>
      </c>
      <c r="M19" s="1">
        <v>23130</v>
      </c>
      <c r="N19" s="1">
        <v>24538</v>
      </c>
      <c r="O19" s="1">
        <v>25441</v>
      </c>
      <c r="P19" s="1">
        <v>25496</v>
      </c>
      <c r="Y19" s="1">
        <v>48801</v>
      </c>
      <c r="Z19" s="1">
        <v>58991</v>
      </c>
      <c r="AA19" s="1">
        <v>72796</v>
      </c>
      <c r="AB19" s="1">
        <f t="shared" si="23"/>
        <v>91242</v>
      </c>
    </row>
    <row r="20" spans="2:228">
      <c r="B20" s="1" t="s">
        <v>12</v>
      </c>
      <c r="C20" s="1">
        <v>3576</v>
      </c>
      <c r="D20" s="1">
        <v>2258</v>
      </c>
      <c r="E20" s="1">
        <v>2933</v>
      </c>
      <c r="F20" s="1">
        <f t="shared" si="21"/>
        <v>4524</v>
      </c>
      <c r="G20" s="1">
        <v>2712</v>
      </c>
      <c r="H20" s="1">
        <v>2823</v>
      </c>
      <c r="I20" s="1">
        <v>3041</v>
      </c>
      <c r="J20" s="1">
        <f t="shared" si="22"/>
        <v>6474</v>
      </c>
      <c r="K20" s="1">
        <v>3557</v>
      </c>
      <c r="L20" s="1">
        <v>5577</v>
      </c>
      <c r="M20" s="1">
        <v>4969</v>
      </c>
      <c r="N20" s="1">
        <v>5128</v>
      </c>
      <c r="O20" s="1">
        <v>2753</v>
      </c>
      <c r="P20" s="1">
        <v>4014</v>
      </c>
      <c r="Y20" s="1">
        <v>8580</v>
      </c>
      <c r="Z20" s="1">
        <v>13291</v>
      </c>
      <c r="AA20" s="1">
        <v>15050</v>
      </c>
      <c r="AB20" s="1">
        <f t="shared" si="23"/>
        <v>19231</v>
      </c>
    </row>
    <row r="21" spans="2:228" s="3" customFormat="1">
      <c r="B21" s="3" t="s">
        <v>13</v>
      </c>
      <c r="C21" s="3">
        <f t="shared" ref="C21:P21" si="29">+C13-SUM(C14:C20)</f>
        <v>-9652</v>
      </c>
      <c r="D21" s="3">
        <f t="shared" si="29"/>
        <v>3665</v>
      </c>
      <c r="E21" s="3">
        <f t="shared" si="29"/>
        <v>-2111</v>
      </c>
      <c r="F21" s="3">
        <f t="shared" si="29"/>
        <v>-6123</v>
      </c>
      <c r="G21" s="3">
        <f t="shared" si="29"/>
        <v>-14358</v>
      </c>
      <c r="H21" s="3">
        <f t="shared" si="29"/>
        <v>-291</v>
      </c>
      <c r="I21" s="3">
        <f t="shared" si="29"/>
        <v>-4234</v>
      </c>
      <c r="J21" s="3">
        <f t="shared" si="29"/>
        <v>94414</v>
      </c>
      <c r="K21" s="3">
        <f t="shared" si="29"/>
        <v>-2467</v>
      </c>
      <c r="L21" s="3">
        <f t="shared" si="29"/>
        <v>5632</v>
      </c>
      <c r="M21" s="3">
        <f t="shared" si="29"/>
        <v>6149</v>
      </c>
      <c r="N21" s="3">
        <f t="shared" si="29"/>
        <v>-386</v>
      </c>
      <c r="O21" s="3">
        <f t="shared" si="29"/>
        <v>560</v>
      </c>
      <c r="P21" s="3">
        <f t="shared" si="29"/>
        <v>11827</v>
      </c>
      <c r="Y21" s="3">
        <f t="shared" ref="Y21:AL21" si="30">+Y13-SUM(Y14:Y20)</f>
        <v>-33725</v>
      </c>
      <c r="Z21" s="3">
        <f t="shared" si="30"/>
        <v>-14221</v>
      </c>
      <c r="AA21" s="3">
        <f t="shared" si="30"/>
        <v>75531</v>
      </c>
      <c r="AB21" s="3">
        <f t="shared" si="30"/>
        <v>8928</v>
      </c>
      <c r="AC21" s="3">
        <f t="shared" si="30"/>
        <v>148146.42528468114</v>
      </c>
      <c r="AD21" s="3">
        <f t="shared" si="30"/>
        <v>167730.50103565003</v>
      </c>
      <c r="AE21" s="3">
        <f t="shared" si="30"/>
        <v>187708.45758253499</v>
      </c>
      <c r="AF21" s="3">
        <f t="shared" si="30"/>
        <v>208086.63682554872</v>
      </c>
      <c r="AG21" s="3">
        <f t="shared" si="30"/>
        <v>228871.47821693448</v>
      </c>
      <c r="AH21" s="3">
        <f t="shared" si="30"/>
        <v>250069.52031282219</v>
      </c>
      <c r="AI21" s="3">
        <f t="shared" si="30"/>
        <v>271687.40235173097</v>
      </c>
      <c r="AJ21" s="3">
        <f t="shared" si="30"/>
        <v>293731.86586020514</v>
      </c>
      <c r="AK21" s="3">
        <f t="shared" si="30"/>
        <v>316209.75628610281</v>
      </c>
      <c r="AL21" s="3">
        <f t="shared" si="30"/>
        <v>339128.02466004575</v>
      </c>
    </row>
    <row r="22" spans="2:228">
      <c r="B22" s="1" t="s">
        <v>14</v>
      </c>
      <c r="C22" s="1">
        <v>31</v>
      </c>
      <c r="D22" s="1">
        <v>108</v>
      </c>
      <c r="E22" s="1">
        <v>18</v>
      </c>
      <c r="F22" s="1">
        <f>+Z22-SUM(C22:E22)</f>
        <v>-62</v>
      </c>
      <c r="G22" s="1">
        <v>-289</v>
      </c>
      <c r="H22" s="1">
        <v>538</v>
      </c>
      <c r="I22" s="1">
        <v>1482</v>
      </c>
      <c r="J22" s="1">
        <f>+AA22-SUM(G22:I22)</f>
        <v>-1636</v>
      </c>
      <c r="K22" s="1">
        <v>2837</v>
      </c>
      <c r="L22" s="1">
        <v>3227</v>
      </c>
      <c r="M22" s="1">
        <v>3441</v>
      </c>
      <c r="N22" s="1">
        <v>3271</v>
      </c>
      <c r="O22" s="1">
        <v>3206</v>
      </c>
      <c r="P22" s="1">
        <v>3300</v>
      </c>
      <c r="Y22" s="1">
        <v>-786</v>
      </c>
      <c r="Z22" s="1">
        <v>95</v>
      </c>
      <c r="AA22" s="1">
        <v>95</v>
      </c>
      <c r="AB22" s="1">
        <f>SUM(K22:N22)</f>
        <v>12776</v>
      </c>
      <c r="AC22" s="1">
        <f>+AC$21*(AB22/AB$21)</f>
        <v>211998.06557315035</v>
      </c>
      <c r="AD22" s="1">
        <f t="shared" ref="AD22:AL22" si="31">+AD$21*(AC22/AC$21)</f>
        <v>240022.94816660671</v>
      </c>
      <c r="AE22" s="1">
        <f t="shared" si="31"/>
        <v>268611.47559077811</v>
      </c>
      <c r="AF22" s="1">
        <f t="shared" si="31"/>
        <v>297772.72312759975</v>
      </c>
      <c r="AG22" s="1">
        <f t="shared" si="31"/>
        <v>327515.90565631218</v>
      </c>
      <c r="AH22" s="1">
        <f t="shared" si="31"/>
        <v>357850.37987417303</v>
      </c>
      <c r="AI22" s="1">
        <f t="shared" si="31"/>
        <v>388785.64655529964</v>
      </c>
      <c r="AJ22" s="1">
        <f t="shared" si="31"/>
        <v>420331.35284834023</v>
      </c>
      <c r="AK22" s="1">
        <f t="shared" si="31"/>
        <v>452497.29461371532</v>
      </c>
      <c r="AL22" s="1">
        <f t="shared" si="31"/>
        <v>485293.41880115872</v>
      </c>
    </row>
    <row r="23" spans="2:228">
      <c r="B23" s="1" t="s">
        <v>15</v>
      </c>
      <c r="C23" s="1">
        <v>-515</v>
      </c>
      <c r="D23" s="1">
        <v>-359</v>
      </c>
      <c r="E23" s="1">
        <v>-350</v>
      </c>
      <c r="F23" s="1">
        <f>+Z23-SUM(C23:E23)</f>
        <v>-353</v>
      </c>
      <c r="G23" s="1">
        <v>-355</v>
      </c>
      <c r="H23" s="1">
        <v>-315</v>
      </c>
      <c r="I23" s="1">
        <v>-475</v>
      </c>
      <c r="J23" s="1">
        <f>+AA23-SUM(G23:I23)</f>
        <v>-432</v>
      </c>
      <c r="K23" s="1">
        <v>-403</v>
      </c>
      <c r="L23" s="1">
        <v>-405</v>
      </c>
      <c r="M23" s="1">
        <v>-433</v>
      </c>
      <c r="N23" s="1">
        <v>-476</v>
      </c>
      <c r="O23" s="1">
        <v>-508</v>
      </c>
      <c r="P23" s="1">
        <v>-527</v>
      </c>
      <c r="Y23" s="1">
        <v>-815</v>
      </c>
      <c r="Z23" s="1">
        <v>-1577</v>
      </c>
      <c r="AA23" s="1">
        <v>-1577</v>
      </c>
      <c r="AB23" s="1">
        <f>SUM(K23:N23)</f>
        <v>-1717</v>
      </c>
      <c r="AC23" s="1">
        <f>+AC$21*(AB23/AB$21)</f>
        <v>-28490.973590255096</v>
      </c>
      <c r="AD23" s="1">
        <f t="shared" ref="AD23:AL23" si="32">+AD$21*(AC23/AC$21)</f>
        <v>-32257.310739046941</v>
      </c>
      <c r="AE23" s="1">
        <f t="shared" si="32"/>
        <v>-36099.397588397464</v>
      </c>
      <c r="AF23" s="1">
        <f t="shared" si="32"/>
        <v>-40018.453789142826</v>
      </c>
      <c r="AG23" s="1">
        <f t="shared" si="32"/>
        <v>-44015.71775296556</v>
      </c>
      <c r="AH23" s="1">
        <f t="shared" si="32"/>
        <v>-48092.446950841819</v>
      </c>
      <c r="AI23" s="1">
        <f t="shared" si="32"/>
        <v>-52249.918216613136</v>
      </c>
      <c r="AJ23" s="1">
        <f t="shared" si="32"/>
        <v>-56489.428055776465</v>
      </c>
      <c r="AK23" s="1">
        <f t="shared" si="32"/>
        <v>-60812.292959592131</v>
      </c>
      <c r="AL23" s="1">
        <f t="shared" si="32"/>
        <v>-65219.849724607819</v>
      </c>
    </row>
    <row r="24" spans="2:228" s="3" customFormat="1">
      <c r="B24" s="3" t="s">
        <v>16</v>
      </c>
      <c r="C24" s="3">
        <f t="shared" ref="C24:P24" si="33">+SUM(C21:C23)</f>
        <v>-10136</v>
      </c>
      <c r="D24" s="3">
        <f t="shared" si="33"/>
        <v>3414</v>
      </c>
      <c r="E24" s="3">
        <f t="shared" si="33"/>
        <v>-2443</v>
      </c>
      <c r="F24" s="3">
        <f t="shared" si="33"/>
        <v>-6538</v>
      </c>
      <c r="G24" s="3">
        <f t="shared" si="33"/>
        <v>-15002</v>
      </c>
      <c r="H24" s="3">
        <f t="shared" si="33"/>
        <v>-68</v>
      </c>
      <c r="I24" s="3">
        <f t="shared" si="33"/>
        <v>-3227</v>
      </c>
      <c r="J24" s="3">
        <f t="shared" si="33"/>
        <v>92346</v>
      </c>
      <c r="K24" s="3">
        <f t="shared" si="33"/>
        <v>-33</v>
      </c>
      <c r="L24" s="3">
        <f t="shared" si="33"/>
        <v>8454</v>
      </c>
      <c r="M24" s="3">
        <f t="shared" si="33"/>
        <v>9157</v>
      </c>
      <c r="N24" s="3">
        <f t="shared" si="33"/>
        <v>2409</v>
      </c>
      <c r="O24" s="3">
        <f t="shared" si="33"/>
        <v>3258</v>
      </c>
      <c r="P24" s="3">
        <f t="shared" si="33"/>
        <v>14600</v>
      </c>
      <c r="Y24" s="3">
        <f t="shared" ref="Y24:AH24" si="34">+SUM(Y21:Y23)</f>
        <v>-35326</v>
      </c>
      <c r="Z24" s="3">
        <f t="shared" si="34"/>
        <v>-15703</v>
      </c>
      <c r="AA24" s="3">
        <f t="shared" si="34"/>
        <v>74049</v>
      </c>
      <c r="AB24" s="3">
        <f t="shared" si="34"/>
        <v>19987</v>
      </c>
      <c r="AC24" s="3">
        <f t="shared" si="34"/>
        <v>331653.51726757642</v>
      </c>
      <c r="AD24" s="3">
        <f t="shared" si="34"/>
        <v>375496.13846320979</v>
      </c>
      <c r="AE24" s="3">
        <f t="shared" si="34"/>
        <v>420220.53558491566</v>
      </c>
      <c r="AF24" s="3">
        <f t="shared" si="34"/>
        <v>465840.90616400563</v>
      </c>
      <c r="AG24" s="3">
        <f t="shared" si="34"/>
        <v>512371.66612028104</v>
      </c>
      <c r="AH24" s="3">
        <f t="shared" si="34"/>
        <v>559827.45323615347</v>
      </c>
      <c r="AI24" s="3">
        <f t="shared" ref="AI24:AL24" si="35">+SUM(AI21:AI23)</f>
        <v>608223.13069041749</v>
      </c>
      <c r="AJ24" s="3">
        <f t="shared" si="35"/>
        <v>657573.79065276892</v>
      </c>
      <c r="AK24" s="3">
        <f t="shared" si="35"/>
        <v>707894.757940226</v>
      </c>
      <c r="AL24" s="3">
        <f t="shared" si="35"/>
        <v>759201.59373659664</v>
      </c>
    </row>
    <row r="25" spans="2:228">
      <c r="B25" s="1" t="s">
        <v>17</v>
      </c>
      <c r="C25" s="1">
        <v>-11080</v>
      </c>
      <c r="D25" s="1">
        <v>991</v>
      </c>
      <c r="E25" s="1">
        <v>-576</v>
      </c>
      <c r="F25" s="1">
        <f>+Z25-SUM(C25:E25)</f>
        <v>3441</v>
      </c>
      <c r="G25" s="1">
        <v>-4297</v>
      </c>
      <c r="H25" s="1">
        <v>707</v>
      </c>
      <c r="I25" s="1">
        <v>-1508</v>
      </c>
      <c r="J25" s="1">
        <f>+AA25-SUM(G25:I25)</f>
        <v>-6220</v>
      </c>
      <c r="K25" s="1">
        <v>867</v>
      </c>
      <c r="L25" s="1">
        <v>347</v>
      </c>
      <c r="M25" s="1">
        <v>529</v>
      </c>
      <c r="N25" s="1">
        <v>-5296</v>
      </c>
      <c r="O25" s="1">
        <v>518</v>
      </c>
      <c r="P25" s="1">
        <v>3173</v>
      </c>
      <c r="Y25" s="1">
        <v>57</v>
      </c>
      <c r="Z25" s="1">
        <v>-7224</v>
      </c>
      <c r="AA25" s="1">
        <v>-11318</v>
      </c>
      <c r="AB25" s="1">
        <f>SUM(K25:N25)</f>
        <v>-3553</v>
      </c>
      <c r="AC25" s="1">
        <f>+AC24*(AB25/AB24)</f>
        <v>-58956.569112508085</v>
      </c>
      <c r="AD25" s="1">
        <f t="shared" ref="AD25:AL25" si="36">+AD24*(AC25/AC24)</f>
        <v>-66750.27667782981</v>
      </c>
      <c r="AE25" s="1">
        <f t="shared" si="36"/>
        <v>-74700.733623515553</v>
      </c>
      <c r="AF25" s="1">
        <f t="shared" si="36"/>
        <v>-82810.46378149357</v>
      </c>
      <c r="AG25" s="1">
        <f t="shared" si="36"/>
        <v>-91082.029805641592</v>
      </c>
      <c r="AH25" s="1">
        <f t="shared" si="36"/>
        <v>-99518.033789365756</v>
      </c>
      <c r="AI25" s="1">
        <f t="shared" si="36"/>
        <v>-108121.11789378364</v>
      </c>
      <c r="AJ25" s="1">
        <f t="shared" si="36"/>
        <v>-116893.96498670576</v>
      </c>
      <c r="AK25" s="1">
        <f t="shared" si="36"/>
        <v>-125839.29929262136</v>
      </c>
      <c r="AL25" s="1">
        <f t="shared" si="36"/>
        <v>-134959.88705389143</v>
      </c>
    </row>
    <row r="26" spans="2:228">
      <c r="B26" s="1" t="s">
        <v>18</v>
      </c>
      <c r="C26" s="1">
        <f t="shared" ref="C26:P26" si="37">+C24-C25</f>
        <v>944</v>
      </c>
      <c r="D26" s="1">
        <f t="shared" si="37"/>
        <v>2423</v>
      </c>
      <c r="E26" s="1">
        <f t="shared" si="37"/>
        <v>-1867</v>
      </c>
      <c r="F26" s="1">
        <f t="shared" si="37"/>
        <v>-9979</v>
      </c>
      <c r="G26" s="1">
        <f t="shared" si="37"/>
        <v>-10705</v>
      </c>
      <c r="H26" s="1">
        <f t="shared" si="37"/>
        <v>-775</v>
      </c>
      <c r="I26" s="1">
        <f t="shared" si="37"/>
        <v>-1719</v>
      </c>
      <c r="J26" s="1">
        <f t="shared" si="37"/>
        <v>98566</v>
      </c>
      <c r="K26" s="1">
        <f t="shared" si="37"/>
        <v>-900</v>
      </c>
      <c r="L26" s="1">
        <f t="shared" si="37"/>
        <v>8107</v>
      </c>
      <c r="M26" s="1">
        <f t="shared" si="37"/>
        <v>8628</v>
      </c>
      <c r="N26" s="1">
        <f t="shared" si="37"/>
        <v>7705</v>
      </c>
      <c r="O26" s="1">
        <f t="shared" si="37"/>
        <v>2740</v>
      </c>
      <c r="P26" s="1">
        <f t="shared" si="37"/>
        <v>11427</v>
      </c>
      <c r="Y26" s="1">
        <f t="shared" ref="Y26:AG26" si="38">+Y24-Y25</f>
        <v>-35383</v>
      </c>
      <c r="Z26" s="1">
        <f t="shared" si="38"/>
        <v>-8479</v>
      </c>
      <c r="AA26" s="1">
        <f t="shared" si="38"/>
        <v>85367</v>
      </c>
      <c r="AB26" s="1">
        <f t="shared" si="38"/>
        <v>23540</v>
      </c>
      <c r="AC26" s="1">
        <f t="shared" si="38"/>
        <v>390610.08638008451</v>
      </c>
      <c r="AD26" s="1">
        <f t="shared" si="38"/>
        <v>442246.41514103959</v>
      </c>
      <c r="AE26" s="1">
        <f t="shared" si="38"/>
        <v>494921.26920843124</v>
      </c>
      <c r="AF26" s="1">
        <f t="shared" si="38"/>
        <v>548651.36994549923</v>
      </c>
      <c r="AG26" s="1">
        <f t="shared" si="38"/>
        <v>603453.6959259226</v>
      </c>
      <c r="AH26" s="1">
        <f t="shared" ref="AH26:AL26" si="39">+AH24-AH25</f>
        <v>659345.48702551925</v>
      </c>
      <c r="AI26" s="1">
        <f t="shared" si="39"/>
        <v>716344.24858420109</v>
      </c>
      <c r="AJ26" s="1">
        <f t="shared" si="39"/>
        <v>774467.75563947472</v>
      </c>
      <c r="AK26" s="1">
        <f t="shared" si="39"/>
        <v>833734.05723284732</v>
      </c>
      <c r="AL26" s="1">
        <f t="shared" si="39"/>
        <v>894161.48079048807</v>
      </c>
    </row>
    <row r="27" spans="2:228">
      <c r="B27" s="1" t="s">
        <v>19</v>
      </c>
      <c r="C27" s="1">
        <v>-734</v>
      </c>
      <c r="D27" s="1">
        <v>121</v>
      </c>
      <c r="E27" s="1">
        <v>-224</v>
      </c>
      <c r="F27" s="1">
        <f>+Z27-SUM(C27:E27)</f>
        <v>-619</v>
      </c>
      <c r="G27" s="1">
        <v>-1120</v>
      </c>
      <c r="H27" s="1">
        <v>-115</v>
      </c>
      <c r="I27" s="1">
        <v>-287</v>
      </c>
      <c r="J27" s="1">
        <f>+AA27-SUM(G27:I27)</f>
        <v>66</v>
      </c>
      <c r="K27" s="1">
        <v>-88</v>
      </c>
      <c r="L27" s="1">
        <v>275</v>
      </c>
      <c r="M27" s="1">
        <v>509</v>
      </c>
      <c r="N27" s="1">
        <v>30</v>
      </c>
      <c r="O27" s="1">
        <v>174</v>
      </c>
      <c r="P27" s="1">
        <v>714</v>
      </c>
      <c r="Y27" s="1">
        <v>-3376</v>
      </c>
      <c r="Z27" s="1">
        <v>-1456</v>
      </c>
      <c r="AA27" s="1">
        <v>-1456</v>
      </c>
      <c r="AB27" s="1">
        <f>SUM(K27:N27)</f>
        <v>726</v>
      </c>
    </row>
    <row r="28" spans="2:228" s="3" customFormat="1">
      <c r="B28" s="3" t="s">
        <v>18</v>
      </c>
      <c r="C28" s="3">
        <f t="shared" ref="C28:P28" si="40">+C26-C27</f>
        <v>1678</v>
      </c>
      <c r="D28" s="3">
        <f t="shared" si="40"/>
        <v>2302</v>
      </c>
      <c r="E28" s="3">
        <f t="shared" si="40"/>
        <v>-1643</v>
      </c>
      <c r="F28" s="3">
        <f t="shared" si="40"/>
        <v>-9360</v>
      </c>
      <c r="G28" s="3">
        <f t="shared" si="40"/>
        <v>-9585</v>
      </c>
      <c r="H28" s="3">
        <f t="shared" si="40"/>
        <v>-660</v>
      </c>
      <c r="I28" s="3">
        <f t="shared" si="40"/>
        <v>-1432</v>
      </c>
      <c r="J28" s="3">
        <f t="shared" si="40"/>
        <v>98500</v>
      </c>
      <c r="K28" s="3">
        <f t="shared" si="40"/>
        <v>-812</v>
      </c>
      <c r="L28" s="3">
        <f t="shared" si="40"/>
        <v>7832</v>
      </c>
      <c r="M28" s="3">
        <f t="shared" si="40"/>
        <v>8119</v>
      </c>
      <c r="N28" s="3">
        <f t="shared" si="40"/>
        <v>7675</v>
      </c>
      <c r="O28" s="3">
        <f t="shared" si="40"/>
        <v>2566</v>
      </c>
      <c r="P28" s="3">
        <f t="shared" si="40"/>
        <v>10713</v>
      </c>
      <c r="Y28" s="3">
        <f t="shared" ref="Y28:AD28" si="41">+Y26-Y27</f>
        <v>-32007</v>
      </c>
      <c r="Z28" s="3">
        <f t="shared" si="41"/>
        <v>-7023</v>
      </c>
      <c r="AA28" s="3">
        <f t="shared" si="41"/>
        <v>86823</v>
      </c>
      <c r="AB28" s="3">
        <f t="shared" si="41"/>
        <v>22814</v>
      </c>
      <c r="AC28" s="3">
        <f t="shared" si="41"/>
        <v>390610.08638008451</v>
      </c>
      <c r="AD28" s="3">
        <f t="shared" si="41"/>
        <v>442246.41514103959</v>
      </c>
      <c r="AE28" s="3">
        <f t="shared" ref="AE28:AL28" si="42">+AE26-AE27</f>
        <v>494921.26920843124</v>
      </c>
      <c r="AF28" s="3">
        <f t="shared" si="42"/>
        <v>548651.36994549923</v>
      </c>
      <c r="AG28" s="3">
        <f t="shared" si="42"/>
        <v>603453.6959259226</v>
      </c>
      <c r="AH28" s="3">
        <f t="shared" si="42"/>
        <v>659345.48702551925</v>
      </c>
      <c r="AI28" s="3">
        <f t="shared" si="42"/>
        <v>716344.24858420109</v>
      </c>
      <c r="AJ28" s="3">
        <f t="shared" si="42"/>
        <v>774467.75563947472</v>
      </c>
      <c r="AK28" s="3">
        <f t="shared" si="42"/>
        <v>833734.05723284732</v>
      </c>
      <c r="AL28" s="3">
        <f t="shared" si="42"/>
        <v>894161.48079048807</v>
      </c>
      <c r="AM28" s="3">
        <f>+AL28*(1+$AO$33)</f>
        <v>903103.095598393</v>
      </c>
      <c r="AN28" s="3">
        <f t="shared" ref="AN28:CY28" si="43">+AM28*(1+$AO$33)</f>
        <v>912134.12655437691</v>
      </c>
      <c r="AO28" s="3">
        <f t="shared" si="43"/>
        <v>921255.46781992074</v>
      </c>
      <c r="AP28" s="3">
        <f t="shared" si="43"/>
        <v>930468.02249811997</v>
      </c>
      <c r="AQ28" s="3">
        <f t="shared" si="43"/>
        <v>939772.70272310113</v>
      </c>
      <c r="AR28" s="3">
        <f t="shared" si="43"/>
        <v>949170.42975033214</v>
      </c>
      <c r="AS28" s="3">
        <f t="shared" si="43"/>
        <v>958662.13404783548</v>
      </c>
      <c r="AT28" s="3">
        <f t="shared" si="43"/>
        <v>968248.7553883139</v>
      </c>
      <c r="AU28" s="3">
        <f t="shared" si="43"/>
        <v>977931.24294219702</v>
      </c>
      <c r="AV28" s="3">
        <f t="shared" si="43"/>
        <v>987710.55537161895</v>
      </c>
      <c r="AW28" s="3">
        <f t="shared" si="43"/>
        <v>997587.66092533513</v>
      </c>
      <c r="AX28" s="3">
        <f t="shared" si="43"/>
        <v>1007563.5375345885</v>
      </c>
      <c r="AY28" s="3">
        <f t="shared" si="43"/>
        <v>1017639.1729099344</v>
      </c>
      <c r="AZ28" s="3">
        <f t="shared" si="43"/>
        <v>1027815.5646390337</v>
      </c>
      <c r="BA28" s="3">
        <f t="shared" si="43"/>
        <v>1038093.7202854241</v>
      </c>
      <c r="BB28" s="3">
        <f t="shared" si="43"/>
        <v>1048474.6574882783</v>
      </c>
      <c r="BC28" s="3">
        <f t="shared" si="43"/>
        <v>1058959.4040631612</v>
      </c>
      <c r="BD28" s="3">
        <f t="shared" si="43"/>
        <v>1069548.9981037928</v>
      </c>
      <c r="BE28" s="3">
        <f t="shared" si="43"/>
        <v>1080244.4880848308</v>
      </c>
      <c r="BF28" s="3">
        <f t="shared" si="43"/>
        <v>1091046.9329656791</v>
      </c>
      <c r="BG28" s="3">
        <f t="shared" si="43"/>
        <v>1101957.4022953359</v>
      </c>
      <c r="BH28" s="3">
        <f t="shared" si="43"/>
        <v>1112976.9763182893</v>
      </c>
      <c r="BI28" s="3">
        <f t="shared" si="43"/>
        <v>1124106.7460814721</v>
      </c>
      <c r="BJ28" s="3">
        <f t="shared" si="43"/>
        <v>1135347.8135422869</v>
      </c>
      <c r="BK28" s="3">
        <f t="shared" si="43"/>
        <v>1146701.2916777097</v>
      </c>
      <c r="BL28" s="3">
        <f t="shared" si="43"/>
        <v>1158168.3045944867</v>
      </c>
      <c r="BM28" s="3">
        <f t="shared" si="43"/>
        <v>1169749.9876404316</v>
      </c>
      <c r="BN28" s="3">
        <f t="shared" si="43"/>
        <v>1181447.487516836</v>
      </c>
      <c r="BO28" s="3">
        <f t="shared" si="43"/>
        <v>1193261.9623920044</v>
      </c>
      <c r="BP28" s="3">
        <f t="shared" si="43"/>
        <v>1205194.5820159244</v>
      </c>
      <c r="BQ28" s="3">
        <f t="shared" si="43"/>
        <v>1217246.5278360837</v>
      </c>
      <c r="BR28" s="3">
        <f t="shared" si="43"/>
        <v>1229418.9931144444</v>
      </c>
      <c r="BS28" s="3">
        <f t="shared" si="43"/>
        <v>1241713.1830455889</v>
      </c>
      <c r="BT28" s="3">
        <f t="shared" si="43"/>
        <v>1254130.3148760449</v>
      </c>
      <c r="BU28" s="3">
        <f t="shared" si="43"/>
        <v>1266671.6180248053</v>
      </c>
      <c r="BV28" s="3">
        <f t="shared" si="43"/>
        <v>1279338.3342050533</v>
      </c>
      <c r="BW28" s="3">
        <f t="shared" si="43"/>
        <v>1292131.7175471038</v>
      </c>
      <c r="BX28" s="3">
        <f t="shared" si="43"/>
        <v>1305053.0347225748</v>
      </c>
      <c r="BY28" s="3">
        <f t="shared" si="43"/>
        <v>1318103.5650698005</v>
      </c>
      <c r="BZ28" s="3">
        <f t="shared" si="43"/>
        <v>1331284.6007204985</v>
      </c>
      <c r="CA28" s="3">
        <f t="shared" si="43"/>
        <v>1344597.4467277036</v>
      </c>
      <c r="CB28" s="3">
        <f t="shared" si="43"/>
        <v>1358043.4211949806</v>
      </c>
      <c r="CC28" s="3">
        <f t="shared" si="43"/>
        <v>1371623.8554069304</v>
      </c>
      <c r="CD28" s="3">
        <f t="shared" si="43"/>
        <v>1385340.0939609997</v>
      </c>
      <c r="CE28" s="3">
        <f t="shared" si="43"/>
        <v>1399193.4949006098</v>
      </c>
      <c r="CF28" s="3">
        <f t="shared" si="43"/>
        <v>1413185.429849616</v>
      </c>
      <c r="CG28" s="3">
        <f t="shared" si="43"/>
        <v>1427317.2841481122</v>
      </c>
      <c r="CH28" s="3">
        <f t="shared" si="43"/>
        <v>1441590.4569895933</v>
      </c>
      <c r="CI28" s="3">
        <f t="shared" si="43"/>
        <v>1456006.3615594893</v>
      </c>
      <c r="CJ28" s="3">
        <f t="shared" si="43"/>
        <v>1470566.4251750843</v>
      </c>
      <c r="CK28" s="3">
        <f t="shared" si="43"/>
        <v>1485272.0894268351</v>
      </c>
      <c r="CL28" s="3">
        <f t="shared" si="43"/>
        <v>1500124.8103211033</v>
      </c>
      <c r="CM28" s="3">
        <f t="shared" si="43"/>
        <v>1515126.0584243143</v>
      </c>
      <c r="CN28" s="3">
        <f t="shared" si="43"/>
        <v>1530277.3190085574</v>
      </c>
      <c r="CO28" s="3">
        <f t="shared" si="43"/>
        <v>1545580.0921986429</v>
      </c>
      <c r="CP28" s="3">
        <f t="shared" si="43"/>
        <v>1561035.8931206292</v>
      </c>
      <c r="CQ28" s="3">
        <f t="shared" si="43"/>
        <v>1576646.2520518356</v>
      </c>
      <c r="CR28" s="3">
        <f t="shared" si="43"/>
        <v>1592412.714572354</v>
      </c>
      <c r="CS28" s="3">
        <f t="shared" si="43"/>
        <v>1608336.8417180774</v>
      </c>
      <c r="CT28" s="3">
        <f t="shared" si="43"/>
        <v>1624420.2101352583</v>
      </c>
      <c r="CU28" s="3">
        <f t="shared" si="43"/>
        <v>1640664.4122366109</v>
      </c>
      <c r="CV28" s="3">
        <f t="shared" si="43"/>
        <v>1657071.056358977</v>
      </c>
      <c r="CW28" s="3">
        <f t="shared" si="43"/>
        <v>1673641.7669225668</v>
      </c>
      <c r="CX28" s="3">
        <f t="shared" si="43"/>
        <v>1690378.1845917925</v>
      </c>
      <c r="CY28" s="3">
        <f t="shared" si="43"/>
        <v>1707281.9664377104</v>
      </c>
      <c r="CZ28" s="3">
        <f t="shared" ref="CZ28:FK28" si="44">+CY28*(1+$AO$33)</f>
        <v>1724354.7861020875</v>
      </c>
      <c r="DA28" s="3">
        <f t="shared" si="44"/>
        <v>1741598.3339631082</v>
      </c>
      <c r="DB28" s="3">
        <f t="shared" si="44"/>
        <v>1759014.3173027392</v>
      </c>
      <c r="DC28" s="3">
        <f t="shared" si="44"/>
        <v>1776604.4604757666</v>
      </c>
      <c r="DD28" s="3">
        <f t="shared" si="44"/>
        <v>1794370.5050805241</v>
      </c>
      <c r="DE28" s="3">
        <f t="shared" si="44"/>
        <v>1812314.2101313295</v>
      </c>
      <c r="DF28" s="3">
        <f t="shared" si="44"/>
        <v>1830437.3522326427</v>
      </c>
      <c r="DG28" s="3">
        <f t="shared" si="44"/>
        <v>1848741.7257549691</v>
      </c>
      <c r="DH28" s="3">
        <f t="shared" si="44"/>
        <v>1867229.1430125188</v>
      </c>
      <c r="DI28" s="3">
        <f t="shared" si="44"/>
        <v>1885901.434442644</v>
      </c>
      <c r="DJ28" s="3">
        <f t="shared" si="44"/>
        <v>1904760.4487870706</v>
      </c>
      <c r="DK28" s="3">
        <f t="shared" si="44"/>
        <v>1923808.0532749414</v>
      </c>
      <c r="DL28" s="3">
        <f t="shared" si="44"/>
        <v>1943046.1338076908</v>
      </c>
      <c r="DM28" s="3">
        <f t="shared" si="44"/>
        <v>1962476.5951457678</v>
      </c>
      <c r="DN28" s="3">
        <f t="shared" si="44"/>
        <v>1982101.3610972255</v>
      </c>
      <c r="DO28" s="3">
        <f t="shared" si="44"/>
        <v>2001922.3747081978</v>
      </c>
      <c r="DP28" s="3">
        <f t="shared" si="44"/>
        <v>2021941.5984552798</v>
      </c>
      <c r="DQ28" s="3">
        <f t="shared" si="44"/>
        <v>2042161.0144398327</v>
      </c>
      <c r="DR28" s="3">
        <f t="shared" si="44"/>
        <v>2062582.6245842311</v>
      </c>
      <c r="DS28" s="3">
        <f t="shared" si="44"/>
        <v>2083208.4508300733</v>
      </c>
      <c r="DT28" s="3">
        <f t="shared" si="44"/>
        <v>2104040.5353383739</v>
      </c>
      <c r="DU28" s="3">
        <f t="shared" si="44"/>
        <v>2125080.9406917575</v>
      </c>
      <c r="DV28" s="3">
        <f t="shared" si="44"/>
        <v>2146331.750098675</v>
      </c>
      <c r="DW28" s="3">
        <f t="shared" si="44"/>
        <v>2167795.0675996616</v>
      </c>
      <c r="DX28" s="3">
        <f t="shared" si="44"/>
        <v>2189473.0182756581</v>
      </c>
      <c r="DY28" s="3">
        <f t="shared" si="44"/>
        <v>2211367.7484584148</v>
      </c>
      <c r="DZ28" s="3">
        <f t="shared" si="44"/>
        <v>2233481.4259429988</v>
      </c>
      <c r="EA28" s="3">
        <f t="shared" si="44"/>
        <v>2255816.2402024288</v>
      </c>
      <c r="EB28" s="3">
        <f t="shared" si="44"/>
        <v>2278374.4026044533</v>
      </c>
      <c r="EC28" s="3">
        <f t="shared" si="44"/>
        <v>2301158.1466304976</v>
      </c>
      <c r="ED28" s="3">
        <f t="shared" si="44"/>
        <v>2324169.7280968027</v>
      </c>
      <c r="EE28" s="3">
        <f t="shared" si="44"/>
        <v>2347411.4253777708</v>
      </c>
      <c r="EF28" s="3">
        <f t="shared" si="44"/>
        <v>2370885.5396315483</v>
      </c>
      <c r="EG28" s="3">
        <f t="shared" si="44"/>
        <v>2394594.3950278638</v>
      </c>
      <c r="EH28" s="3">
        <f t="shared" si="44"/>
        <v>2418540.3389781425</v>
      </c>
      <c r="EI28" s="3">
        <f t="shared" si="44"/>
        <v>2442725.7423679237</v>
      </c>
      <c r="EJ28" s="3">
        <f t="shared" si="44"/>
        <v>2467152.9997916031</v>
      </c>
      <c r="EK28" s="3">
        <f t="shared" si="44"/>
        <v>2491824.529789519</v>
      </c>
      <c r="EL28" s="3">
        <f t="shared" si="44"/>
        <v>2516742.7750874143</v>
      </c>
      <c r="EM28" s="3">
        <f t="shared" si="44"/>
        <v>2541910.2028382886</v>
      </c>
      <c r="EN28" s="3">
        <f t="shared" si="44"/>
        <v>2567329.3048666716</v>
      </c>
      <c r="EO28" s="3">
        <f t="shared" si="44"/>
        <v>2593002.5979153384</v>
      </c>
      <c r="EP28" s="3">
        <f t="shared" si="44"/>
        <v>2618932.6238944917</v>
      </c>
      <c r="EQ28" s="3">
        <f t="shared" si="44"/>
        <v>2645121.9501334368</v>
      </c>
      <c r="ER28" s="3">
        <f t="shared" si="44"/>
        <v>2671573.1696347711</v>
      </c>
      <c r="ES28" s="3">
        <f t="shared" si="44"/>
        <v>2698288.9013311188</v>
      </c>
      <c r="ET28" s="3">
        <f t="shared" si="44"/>
        <v>2725271.7903444301</v>
      </c>
      <c r="EU28" s="3">
        <f t="shared" si="44"/>
        <v>2752524.5082478747</v>
      </c>
      <c r="EV28" s="3">
        <f t="shared" si="44"/>
        <v>2780049.7533303536</v>
      </c>
      <c r="EW28" s="3">
        <f t="shared" si="44"/>
        <v>2807850.2508636573</v>
      </c>
      <c r="EX28" s="3">
        <f t="shared" si="44"/>
        <v>2835928.7533722939</v>
      </c>
      <c r="EY28" s="3">
        <f t="shared" si="44"/>
        <v>2864288.0409060167</v>
      </c>
      <c r="EZ28" s="3">
        <f t="shared" si="44"/>
        <v>2892930.9213150768</v>
      </c>
      <c r="FA28" s="3">
        <f t="shared" si="44"/>
        <v>2921860.2305282275</v>
      </c>
      <c r="FB28" s="3">
        <f t="shared" si="44"/>
        <v>2951078.8328335099</v>
      </c>
      <c r="FC28" s="3">
        <f t="shared" si="44"/>
        <v>2980589.621161845</v>
      </c>
      <c r="FD28" s="3">
        <f t="shared" si="44"/>
        <v>3010395.5173734636</v>
      </c>
      <c r="FE28" s="3">
        <f t="shared" si="44"/>
        <v>3040499.4725471982</v>
      </c>
      <c r="FF28" s="3">
        <f t="shared" si="44"/>
        <v>3070904.46727267</v>
      </c>
      <c r="FG28" s="3">
        <f t="shared" si="44"/>
        <v>3101613.5119453967</v>
      </c>
      <c r="FH28" s="3">
        <f t="shared" si="44"/>
        <v>3132629.6470648507</v>
      </c>
      <c r="FI28" s="3">
        <f t="shared" si="44"/>
        <v>3163955.9435354993</v>
      </c>
      <c r="FJ28" s="3">
        <f t="shared" si="44"/>
        <v>3195595.5029708543</v>
      </c>
      <c r="FK28" s="3">
        <f t="shared" si="44"/>
        <v>3227551.4580005631</v>
      </c>
      <c r="FL28" s="3">
        <f t="shared" ref="FL28:GQ28" si="45">+FK28*(1+$AO$33)</f>
        <v>3259826.9725805689</v>
      </c>
      <c r="FM28" s="3">
        <f t="shared" si="45"/>
        <v>3292425.2423063745</v>
      </c>
      <c r="FN28" s="3">
        <f t="shared" si="45"/>
        <v>3325349.4947294383</v>
      </c>
      <c r="FO28" s="3">
        <f t="shared" si="45"/>
        <v>3358602.9896767326</v>
      </c>
      <c r="FP28" s="3">
        <f t="shared" si="45"/>
        <v>3392189.0195734999</v>
      </c>
      <c r="FQ28" s="3">
        <f t="shared" si="45"/>
        <v>3426110.9097692347</v>
      </c>
      <c r="FR28" s="3">
        <f t="shared" si="45"/>
        <v>3460372.0188669269</v>
      </c>
      <c r="FS28" s="3">
        <f t="shared" si="45"/>
        <v>3494975.7390555963</v>
      </c>
      <c r="FT28" s="3">
        <f t="shared" si="45"/>
        <v>3529925.4964461522</v>
      </c>
      <c r="FU28" s="3">
        <f t="shared" si="45"/>
        <v>3565224.7514106138</v>
      </c>
      <c r="FV28" s="3">
        <f t="shared" si="45"/>
        <v>3600876.9989247201</v>
      </c>
      <c r="FW28" s="3">
        <f t="shared" si="45"/>
        <v>3636885.7689139675</v>
      </c>
      <c r="FX28" s="3">
        <f t="shared" si="45"/>
        <v>3673254.6266031074</v>
      </c>
      <c r="FY28" s="3">
        <f t="shared" si="45"/>
        <v>3709987.1728691384</v>
      </c>
      <c r="FZ28" s="3">
        <f t="shared" si="45"/>
        <v>3747087.0445978297</v>
      </c>
      <c r="GA28" s="3">
        <f t="shared" si="45"/>
        <v>3784557.9150438081</v>
      </c>
      <c r="GB28" s="3">
        <f t="shared" si="45"/>
        <v>3822403.4941942464</v>
      </c>
      <c r="GC28" s="3">
        <f t="shared" si="45"/>
        <v>3860627.5291361888</v>
      </c>
      <c r="GD28" s="3">
        <f t="shared" si="45"/>
        <v>3899233.8044275506</v>
      </c>
      <c r="GE28" s="3">
        <f t="shared" si="45"/>
        <v>3938226.1424718262</v>
      </c>
      <c r="GF28" s="3">
        <f t="shared" si="45"/>
        <v>3977608.4038965446</v>
      </c>
      <c r="GG28" s="3">
        <f t="shared" si="45"/>
        <v>4017384.48793551</v>
      </c>
      <c r="GH28" s="3">
        <f t="shared" si="45"/>
        <v>4057558.3328148653</v>
      </c>
      <c r="GI28" s="3">
        <f t="shared" si="45"/>
        <v>4098133.9161430141</v>
      </c>
      <c r="GJ28" s="3">
        <f t="shared" si="45"/>
        <v>4139115.2553044441</v>
      </c>
      <c r="GK28" s="3">
        <f t="shared" si="45"/>
        <v>4180506.4078574884</v>
      </c>
      <c r="GL28" s="3">
        <f t="shared" si="45"/>
        <v>4222311.4719360629</v>
      </c>
      <c r="GM28" s="3">
        <f t="shared" si="45"/>
        <v>4264534.586655424</v>
      </c>
      <c r="GN28" s="3">
        <f t="shared" si="45"/>
        <v>4307179.9325219784</v>
      </c>
      <c r="GO28" s="3">
        <f t="shared" si="45"/>
        <v>4350251.7318471987</v>
      </c>
      <c r="GP28" s="3">
        <f t="shared" si="45"/>
        <v>4393754.2491656709</v>
      </c>
      <c r="GQ28" s="3">
        <f t="shared" si="45"/>
        <v>4437691.7916573277</v>
      </c>
      <c r="GR28" s="3">
        <f t="shared" ref="GR28:HT28" si="46">+GQ28*(1+$AO$33)</f>
        <v>4482068.7095739013</v>
      </c>
      <c r="GS28" s="3">
        <f t="shared" si="46"/>
        <v>4526889.3966696402</v>
      </c>
      <c r="GT28" s="3">
        <f t="shared" si="46"/>
        <v>4572158.2906363364</v>
      </c>
      <c r="GU28" s="3">
        <f t="shared" si="46"/>
        <v>4617879.8735427</v>
      </c>
      <c r="GV28" s="3">
        <f t="shared" si="46"/>
        <v>4664058.6722781267</v>
      </c>
      <c r="GW28" s="3">
        <f t="shared" si="46"/>
        <v>4710699.2590009077</v>
      </c>
      <c r="GX28" s="3">
        <f t="shared" si="46"/>
        <v>4757806.2515909169</v>
      </c>
      <c r="GY28" s="3">
        <f t="shared" si="46"/>
        <v>4805384.3141068257</v>
      </c>
      <c r="GZ28" s="3">
        <f t="shared" si="46"/>
        <v>4853438.1572478944</v>
      </c>
      <c r="HA28" s="3">
        <f t="shared" si="46"/>
        <v>4901972.5388203738</v>
      </c>
      <c r="HB28" s="3">
        <f t="shared" si="46"/>
        <v>4950992.2642085776</v>
      </c>
      <c r="HC28" s="3">
        <f t="shared" si="46"/>
        <v>5000502.1868506633</v>
      </c>
      <c r="HD28" s="3">
        <f t="shared" si="46"/>
        <v>5050507.2087191697</v>
      </c>
      <c r="HE28" s="3">
        <f t="shared" si="46"/>
        <v>5101012.2808063617</v>
      </c>
      <c r="HF28" s="3">
        <f t="shared" si="46"/>
        <v>5152022.4036144251</v>
      </c>
      <c r="HG28" s="3">
        <f t="shared" si="46"/>
        <v>5203542.6276505692</v>
      </c>
      <c r="HH28" s="3">
        <f t="shared" si="46"/>
        <v>5255578.0539270751</v>
      </c>
      <c r="HI28" s="3">
        <f t="shared" si="46"/>
        <v>5308133.8344663456</v>
      </c>
      <c r="HJ28" s="3">
        <f t="shared" si="46"/>
        <v>5361215.172811009</v>
      </c>
      <c r="HK28" s="3">
        <f t="shared" si="46"/>
        <v>5414827.3245391194</v>
      </c>
      <c r="HL28" s="3">
        <f t="shared" si="46"/>
        <v>5468975.5977845108</v>
      </c>
      <c r="HM28" s="3">
        <f t="shared" si="46"/>
        <v>5523665.3537623556</v>
      </c>
      <c r="HN28" s="3">
        <f t="shared" si="46"/>
        <v>5578902.0072999792</v>
      </c>
      <c r="HO28" s="3">
        <f t="shared" si="46"/>
        <v>5634691.0273729786</v>
      </c>
      <c r="HP28" s="3">
        <f t="shared" si="46"/>
        <v>5691037.9376467085</v>
      </c>
      <c r="HQ28" s="3">
        <f t="shared" si="46"/>
        <v>5747948.3170231758</v>
      </c>
      <c r="HR28" s="3">
        <f t="shared" si="46"/>
        <v>5805427.8001934076</v>
      </c>
      <c r="HS28" s="3">
        <f t="shared" si="46"/>
        <v>5863482.0781953419</v>
      </c>
      <c r="HT28" s="3">
        <f t="shared" si="46"/>
        <v>5922116.8989772955</v>
      </c>
    </row>
    <row r="29" spans="2:228">
      <c r="B29" s="1" t="s">
        <v>32</v>
      </c>
      <c r="C29" s="1">
        <v>42789</v>
      </c>
      <c r="D29" s="1">
        <v>43789</v>
      </c>
      <c r="E29" s="1">
        <v>39137</v>
      </c>
      <c r="F29" s="1">
        <f>+F28/F30</f>
        <v>40785.996098090196</v>
      </c>
      <c r="G29" s="1">
        <v>39163</v>
      </c>
      <c r="H29" s="1">
        <v>39227</v>
      </c>
      <c r="I29" s="1">
        <v>39274</v>
      </c>
      <c r="J29" s="1">
        <f>+J28/J30</f>
        <v>39096.260778940174</v>
      </c>
      <c r="K29" s="1">
        <v>39332</v>
      </c>
      <c r="L29" s="1">
        <v>43886</v>
      </c>
      <c r="M29" s="1">
        <v>43978</v>
      </c>
      <c r="N29" s="1">
        <v>43944</v>
      </c>
      <c r="O29" s="1">
        <v>41259</v>
      </c>
      <c r="P29" s="1">
        <v>41480</v>
      </c>
      <c r="Y29" s="1">
        <v>37129</v>
      </c>
      <c r="Z29" s="1">
        <v>39085</v>
      </c>
      <c r="AA29" s="1">
        <v>39085</v>
      </c>
      <c r="AB29" s="1">
        <f>+AB28/AB30</f>
        <v>44120.256229785191</v>
      </c>
      <c r="AC29" s="1">
        <f>+AB29</f>
        <v>44120.256229785191</v>
      </c>
      <c r="AD29" s="1">
        <f t="shared" ref="AD29:AL29" si="47">+AC29</f>
        <v>44120.256229785191</v>
      </c>
      <c r="AE29" s="1">
        <f t="shared" si="47"/>
        <v>44120.256229785191</v>
      </c>
      <c r="AF29" s="1">
        <f t="shared" si="47"/>
        <v>44120.256229785191</v>
      </c>
      <c r="AG29" s="1">
        <f t="shared" si="47"/>
        <v>44120.256229785191</v>
      </c>
      <c r="AH29" s="1">
        <f t="shared" si="47"/>
        <v>44120.256229785191</v>
      </c>
      <c r="AI29" s="1">
        <f t="shared" si="47"/>
        <v>44120.256229785191</v>
      </c>
      <c r="AJ29" s="1">
        <f t="shared" si="47"/>
        <v>44120.256229785191</v>
      </c>
      <c r="AK29" s="1">
        <f t="shared" si="47"/>
        <v>44120.256229785191</v>
      </c>
      <c r="AL29" s="1">
        <f t="shared" si="47"/>
        <v>44120.256229785191</v>
      </c>
    </row>
    <row r="30" spans="2:228" s="6" customFormat="1">
      <c r="B30" s="6" t="s">
        <v>33</v>
      </c>
      <c r="C30" s="6">
        <f>+C28/C29</f>
        <v>3.9215686274509803E-2</v>
      </c>
      <c r="D30" s="6">
        <f>+D28/D29</f>
        <v>5.257028020735801E-2</v>
      </c>
      <c r="E30" s="6">
        <f>+E28/E29</f>
        <v>-4.1980734343460155E-2</v>
      </c>
      <c r="F30" s="6">
        <f>+Z30-SUM(C30:E30)</f>
        <v>-0.22949053340487818</v>
      </c>
      <c r="G30" s="6">
        <f>+G28/G29</f>
        <v>-0.24474631667645483</v>
      </c>
      <c r="H30" s="6">
        <f>+H28/H29</f>
        <v>-1.6825145945394755E-2</v>
      </c>
      <c r="I30" s="6">
        <f>+I28/I29</f>
        <v>-3.6461781331160563E-2</v>
      </c>
      <c r="J30" s="6">
        <f>+AA30-SUM(G30:I30)</f>
        <v>2.5194225237278598</v>
      </c>
      <c r="K30" s="6">
        <f>+K28/K29</f>
        <v>-2.064476761924133E-2</v>
      </c>
      <c r="L30" s="6">
        <f>+L28/L29</f>
        <v>0.17846237980221483</v>
      </c>
      <c r="M30" s="6">
        <f>+M28/M29</f>
        <v>0.18461503479012234</v>
      </c>
      <c r="N30" s="6">
        <f>+N28/N29</f>
        <v>0.1746541052248316</v>
      </c>
      <c r="O30" s="6">
        <f>+O28/O29</f>
        <v>6.219249133522383E-2</v>
      </c>
      <c r="P30" s="6">
        <f>+P28/P29</f>
        <v>0.25826904532304723</v>
      </c>
      <c r="Y30" s="6">
        <f>+Y28/Y29</f>
        <v>-0.86204853349134103</v>
      </c>
      <c r="Z30" s="6">
        <f>+Z28/Z29</f>
        <v>-0.1796853012664705</v>
      </c>
      <c r="AA30" s="6">
        <f>+AA28/AA29</f>
        <v>2.2213892797748498</v>
      </c>
      <c r="AB30" s="6">
        <f>SUM(K30:N30)</f>
        <v>0.51708675219792744</v>
      </c>
      <c r="AC30" s="6">
        <f>+AC28/AC29</f>
        <v>8.8533050294569033</v>
      </c>
      <c r="AD30" s="6">
        <f t="shared" ref="AD30:AL30" si="48">+AD28/AD29</f>
        <v>10.023659265208051</v>
      </c>
      <c r="AE30" s="6">
        <f t="shared" si="48"/>
        <v>11.217552015808883</v>
      </c>
      <c r="AF30" s="6">
        <f t="shared" si="48"/>
        <v>12.435362276411931</v>
      </c>
      <c r="AG30" s="6">
        <f t="shared" si="48"/>
        <v>13.677474871928245</v>
      </c>
      <c r="AH30" s="6">
        <f t="shared" si="48"/>
        <v>14.944280549767093</v>
      </c>
      <c r="AI30" s="6">
        <f t="shared" si="48"/>
        <v>16.236176074168025</v>
      </c>
      <c r="AJ30" s="6">
        <f t="shared" si="48"/>
        <v>17.553564322154557</v>
      </c>
      <c r="AK30" s="6">
        <f t="shared" si="48"/>
        <v>18.896854381140265</v>
      </c>
      <c r="AL30" s="6">
        <f t="shared" si="48"/>
        <v>20.266461648217891</v>
      </c>
    </row>
    <row r="32" spans="2:228" s="5" customFormat="1">
      <c r="AB32" s="5">
        <f>+AB8/AA8-1</f>
        <v>3.6880257796674476E-2</v>
      </c>
    </row>
    <row r="33" spans="2:41" s="5" customFormat="1">
      <c r="B33" s="1" t="s">
        <v>6</v>
      </c>
      <c r="G33" s="5">
        <f t="shared" ref="G33:P35" si="49">+G11/C11-1</f>
        <v>0.30612339713807835</v>
      </c>
      <c r="H33" s="5">
        <f t="shared" si="49"/>
        <v>0.22915082382762986</v>
      </c>
      <c r="I33" s="5">
        <f t="shared" si="49"/>
        <v>0.1739779218278672</v>
      </c>
      <c r="J33" s="5">
        <f t="shared" si="49"/>
        <v>0.17380627836572571</v>
      </c>
      <c r="K33" s="5">
        <f t="shared" si="49"/>
        <v>0.24118481028095795</v>
      </c>
      <c r="L33" s="5">
        <f t="shared" si="49"/>
        <v>0.17375164758309647</v>
      </c>
      <c r="M33" s="5">
        <f t="shared" si="49"/>
        <v>0.20719267793768603</v>
      </c>
      <c r="N33" s="5">
        <f t="shared" si="49"/>
        <v>0.19941806857918265</v>
      </c>
      <c r="O33" s="5">
        <f t="shared" si="49"/>
        <v>0.1486075970096703</v>
      </c>
      <c r="P33" s="5">
        <f t="shared" si="49"/>
        <v>0.16680035139987015</v>
      </c>
      <c r="Z33" s="5">
        <f t="shared" ref="Z33:AL33" si="50">+Z11/Y11-1</f>
        <v>0.41207570422187501</v>
      </c>
      <c r="AA33" s="5">
        <f t="shared" si="50"/>
        <v>0.21578094208442367</v>
      </c>
      <c r="AB33" s="5">
        <f t="shared" si="50"/>
        <v>0.20425069311031097</v>
      </c>
      <c r="AC33" s="5">
        <f t="shared" si="50"/>
        <v>0.14694915254237295</v>
      </c>
      <c r="AD33" s="5">
        <f t="shared" si="50"/>
        <v>0.13059701492537323</v>
      </c>
      <c r="AE33" s="5">
        <f t="shared" si="50"/>
        <v>0.11773333333333325</v>
      </c>
      <c r="AF33" s="5">
        <f t="shared" si="50"/>
        <v>0.10734939759036166</v>
      </c>
      <c r="AG33" s="5">
        <f t="shared" si="50"/>
        <v>9.879120879120884E-2</v>
      </c>
      <c r="AH33" s="5">
        <f t="shared" si="50"/>
        <v>9.1616161616161707E-2</v>
      </c>
      <c r="AI33" s="5">
        <f t="shared" si="50"/>
        <v>8.5514018691588811E-2</v>
      </c>
      <c r="AJ33" s="5">
        <f t="shared" si="50"/>
        <v>8.0260869565217385E-2</v>
      </c>
      <c r="AK33" s="5">
        <f t="shared" si="50"/>
        <v>7.5691056910569321E-2</v>
      </c>
      <c r="AL33" s="5">
        <f t="shared" si="50"/>
        <v>7.1679389312977015E-2</v>
      </c>
      <c r="AN33" s="5" t="s">
        <v>36</v>
      </c>
      <c r="AO33" s="5">
        <v>0.01</v>
      </c>
    </row>
    <row r="34" spans="2:41" s="5" customFormat="1">
      <c r="B34" s="1" t="s">
        <v>35</v>
      </c>
      <c r="G34" s="5">
        <f t="shared" si="49"/>
        <v>0.43042912873862149</v>
      </c>
      <c r="H34" s="5">
        <f t="shared" si="49"/>
        <v>0.28514190317195331</v>
      </c>
      <c r="I34" s="5">
        <f t="shared" si="49"/>
        <v>0.20078000866676304</v>
      </c>
      <c r="J34" s="5">
        <f t="shared" si="49"/>
        <v>0.16646333197776864</v>
      </c>
      <c r="K34" s="5">
        <f t="shared" si="49"/>
        <v>0.3672727272727272</v>
      </c>
      <c r="L34" s="5">
        <f t="shared" si="49"/>
        <v>0.29838919199792158</v>
      </c>
      <c r="M34" s="5">
        <f t="shared" si="49"/>
        <v>0.35053530614699868</v>
      </c>
      <c r="N34" s="5">
        <f t="shared" si="49"/>
        <v>0.21650203370133636</v>
      </c>
      <c r="O34" s="5">
        <f t="shared" si="49"/>
        <v>0.10283687943262421</v>
      </c>
      <c r="P34" s="5">
        <f t="shared" si="49"/>
        <v>0.10215107553776881</v>
      </c>
      <c r="Z34" s="5">
        <f t="shared" ref="Z34:AL34" si="51">+Z12/Y12-1</f>
        <v>0.50677637947725063</v>
      </c>
      <c r="AA34" s="5">
        <f t="shared" si="51"/>
        <v>0.25345326052039829</v>
      </c>
      <c r="AB34" s="5">
        <f t="shared" si="51"/>
        <v>0.30426704254228598</v>
      </c>
      <c r="AC34" s="5">
        <f t="shared" si="51"/>
        <v>9.6816143497757912E-2</v>
      </c>
      <c r="AD34" s="5">
        <f t="shared" si="51"/>
        <v>0.17513307984790871</v>
      </c>
      <c r="AE34" s="5">
        <f t="shared" si="51"/>
        <v>0.15465346534653479</v>
      </c>
      <c r="AF34" s="5">
        <f t="shared" si="51"/>
        <v>0.13895043731778411</v>
      </c>
      <c r="AG34" s="5">
        <f t="shared" si="51"/>
        <v>0.12652741514360333</v>
      </c>
      <c r="AH34" s="5">
        <f t="shared" si="51"/>
        <v>0.11645390070921979</v>
      </c>
      <c r="AI34" s="5">
        <f t="shared" si="51"/>
        <v>0.10812095032397417</v>
      </c>
      <c r="AJ34" s="5">
        <f t="shared" si="51"/>
        <v>0.10111332007952289</v>
      </c>
      <c r="AK34" s="5">
        <f t="shared" si="51"/>
        <v>9.5138121546961329E-2</v>
      </c>
      <c r="AL34" s="5">
        <f t="shared" si="51"/>
        <v>8.998284734133799E-2</v>
      </c>
      <c r="AN34" s="5" t="s">
        <v>37</v>
      </c>
      <c r="AO34" s="19">
        <v>0.08</v>
      </c>
    </row>
    <row r="35" spans="2:41" s="8" customFormat="1">
      <c r="B35" s="3" t="s">
        <v>7</v>
      </c>
      <c r="G35" s="8">
        <f t="shared" si="49"/>
        <v>0.30981697814299136</v>
      </c>
      <c r="H35" s="8">
        <f t="shared" si="49"/>
        <v>0.23093993385255529</v>
      </c>
      <c r="I35" s="8">
        <f t="shared" si="49"/>
        <v>0.17493488743907792</v>
      </c>
      <c r="J35" s="8">
        <f t="shared" si="49"/>
        <v>0.17353977250364072</v>
      </c>
      <c r="K35" s="8">
        <f t="shared" si="49"/>
        <v>0.24527633966104689</v>
      </c>
      <c r="L35" s="8">
        <f t="shared" si="49"/>
        <v>0.1779096172514214</v>
      </c>
      <c r="M35" s="8">
        <f t="shared" si="49"/>
        <v>0.21242329268613869</v>
      </c>
      <c r="N35" s="8">
        <f t="shared" si="49"/>
        <v>0.20003437737130492</v>
      </c>
      <c r="O35" s="8">
        <f t="shared" si="49"/>
        <v>0.14697683967814013</v>
      </c>
      <c r="P35" s="8">
        <f t="shared" si="49"/>
        <v>0.16442302385901653</v>
      </c>
      <c r="Z35" s="8">
        <f t="shared" ref="Z35:AL35" si="52">+Z13/Y13-1</f>
        <v>0.41506922410479152</v>
      </c>
      <c r="AA35" s="8">
        <f t="shared" si="52"/>
        <v>0.21704895167274185</v>
      </c>
      <c r="AB35" s="8">
        <f t="shared" si="52"/>
        <v>0.20771783237051999</v>
      </c>
      <c r="AC35" s="8">
        <f t="shared" si="52"/>
        <v>0.14507232183448426</v>
      </c>
      <c r="AD35" s="8">
        <f t="shared" si="52"/>
        <v>0.13219404864704409</v>
      </c>
      <c r="AE35" s="8">
        <f t="shared" si="52"/>
        <v>0.11910747552491285</v>
      </c>
      <c r="AF35" s="8">
        <f t="shared" si="52"/>
        <v>0.10856292521637556</v>
      </c>
      <c r="AG35" s="8">
        <f t="shared" si="52"/>
        <v>9.9885517438636162E-2</v>
      </c>
      <c r="AH35" s="8">
        <f t="shared" si="52"/>
        <v>9.2619850498782741E-2</v>
      </c>
      <c r="AI35" s="8">
        <f t="shared" si="52"/>
        <v>8.6447488729797461E-2</v>
      </c>
      <c r="AJ35" s="8">
        <f t="shared" si="52"/>
        <v>8.1139071291701503E-2</v>
      </c>
      <c r="AK35" s="8">
        <f t="shared" si="52"/>
        <v>7.6525202194423603E-2</v>
      </c>
      <c r="AL35" s="8">
        <f t="shared" si="52"/>
        <v>7.2478055842170264E-2</v>
      </c>
      <c r="AN35" s="8" t="s">
        <v>38</v>
      </c>
      <c r="AO35" s="9">
        <f>+NPV(AO34,AC28:HT28)+MAIN!C6-MAIN!C7</f>
        <v>10064948.288934864</v>
      </c>
    </row>
    <row r="36" spans="2:41">
      <c r="AN36" s="1" t="s">
        <v>39</v>
      </c>
      <c r="AO36" s="1">
        <f>+MAIN!C3*1000</f>
        <v>107370</v>
      </c>
    </row>
    <row r="37" spans="2:41">
      <c r="B37" s="1" t="s">
        <v>8</v>
      </c>
      <c r="C37" s="5">
        <f t="shared" ref="C37:P41" si="53">+C14/C$13</f>
        <v>0.28741257840573925</v>
      </c>
      <c r="D37" s="5">
        <f t="shared" si="53"/>
        <v>0.29295316334151283</v>
      </c>
      <c r="E37" s="5">
        <f t="shared" si="53"/>
        <v>0.29874416565666984</v>
      </c>
      <c r="F37" s="5">
        <f t="shared" si="53"/>
        <v>0.29908096193962291</v>
      </c>
      <c r="G37" s="5">
        <f t="shared" si="53"/>
        <v>0.29442797370581786</v>
      </c>
      <c r="H37" s="5">
        <f t="shared" si="53"/>
        <v>0.28596501872139785</v>
      </c>
      <c r="I37" s="5">
        <f t="shared" si="53"/>
        <v>0.29749708095200472</v>
      </c>
      <c r="J37" s="5">
        <f t="shared" si="53"/>
        <v>0.28482490598627419</v>
      </c>
      <c r="K37" s="5">
        <f t="shared" si="53"/>
        <v>0.28337242081823133</v>
      </c>
      <c r="L37" s="5">
        <f t="shared" si="53"/>
        <v>0.27887640036055261</v>
      </c>
      <c r="M37" s="5">
        <f t="shared" si="53"/>
        <v>0.27942811007686263</v>
      </c>
      <c r="N37" s="5">
        <f t="shared" si="53"/>
        <v>0.28049244872363693</v>
      </c>
      <c r="O37" s="18">
        <f t="shared" si="53"/>
        <v>0.2762543717126098</v>
      </c>
      <c r="P37" s="18">
        <f>+P14/P$13</f>
        <v>0.26873325413275367</v>
      </c>
      <c r="R37" s="18">
        <f>AVERAGE(O37:P37)</f>
        <v>0.27249381292268171</v>
      </c>
      <c r="Y37" s="5">
        <f>+Y14/Y$13</f>
        <v>0.2932581325652604</v>
      </c>
      <c r="Z37" s="5">
        <f>+Z14/Z$13</f>
        <v>0.29499130279648544</v>
      </c>
      <c r="AA37" s="5">
        <f>+AA14/AA$13</f>
        <v>0.29049202319636286</v>
      </c>
      <c r="AB37" s="5">
        <f>+AB14/AB$13</f>
        <v>0.28048895987524058</v>
      </c>
      <c r="AC37" s="18">
        <f>+AC14/AC$13</f>
        <v>0.27200000000000002</v>
      </c>
      <c r="AD37" s="18">
        <f t="shared" ref="AD37:AL37" si="54">+AD14/AD$13</f>
        <v>0.27200000000000002</v>
      </c>
      <c r="AE37" s="18">
        <f t="shared" si="54"/>
        <v>0.27200000000000002</v>
      </c>
      <c r="AF37" s="18">
        <f t="shared" si="54"/>
        <v>0.27200000000000002</v>
      </c>
      <c r="AG37" s="18">
        <f t="shared" si="54"/>
        <v>0.27200000000000002</v>
      </c>
      <c r="AH37" s="18">
        <f t="shared" si="54"/>
        <v>0.27200000000000002</v>
      </c>
      <c r="AI37" s="18">
        <f t="shared" si="54"/>
        <v>0.27200000000000002</v>
      </c>
      <c r="AJ37" s="18">
        <f t="shared" si="54"/>
        <v>0.27200000000000002</v>
      </c>
      <c r="AK37" s="18">
        <f t="shared" si="54"/>
        <v>0.27200000000000002</v>
      </c>
      <c r="AL37" s="18">
        <f t="shared" si="54"/>
        <v>0.27200000000000002</v>
      </c>
      <c r="AN37" s="1" t="s">
        <v>40</v>
      </c>
      <c r="AO37" s="1">
        <f>+AO35/AO36</f>
        <v>93.740786895174296</v>
      </c>
    </row>
    <row r="38" spans="2:41">
      <c r="B38" s="1" t="s">
        <v>9</v>
      </c>
      <c r="C38" s="5">
        <f t="shared" si="53"/>
        <v>0.29869527697994619</v>
      </c>
      <c r="D38" s="5">
        <f t="shared" si="53"/>
        <v>0.28075856182652298</v>
      </c>
      <c r="E38" s="5">
        <f t="shared" si="53"/>
        <v>0.3002037185074396</v>
      </c>
      <c r="F38" s="5">
        <f t="shared" si="53"/>
        <v>0.28482800015743692</v>
      </c>
      <c r="G38" s="5">
        <f t="shared" si="53"/>
        <v>0.29728454061389148</v>
      </c>
      <c r="H38" s="5">
        <f t="shared" si="53"/>
        <v>0.28537564138122312</v>
      </c>
      <c r="I38" s="5">
        <f t="shared" si="53"/>
        <v>0.28373146514261632</v>
      </c>
      <c r="J38" s="5">
        <f t="shared" si="53"/>
        <v>0.2783896297724805</v>
      </c>
      <c r="K38" s="5">
        <f t="shared" si="53"/>
        <v>0.29321141196629791</v>
      </c>
      <c r="L38" s="5">
        <f t="shared" si="53"/>
        <v>0.27651441290631151</v>
      </c>
      <c r="M38" s="5">
        <f t="shared" si="53"/>
        <v>0.27599952209755729</v>
      </c>
      <c r="N38" s="5">
        <f t="shared" si="53"/>
        <v>0.27458837421351789</v>
      </c>
      <c r="O38" s="18">
        <f t="shared" si="53"/>
        <v>0.28057789221490925</v>
      </c>
      <c r="P38" s="18">
        <f t="shared" ref="P38:P41" si="55">+P15/P$13</f>
        <v>0.27366538597644202</v>
      </c>
      <c r="R38" s="18">
        <f t="shared" ref="R38:R41" si="56">AVERAGE(O38:P38)</f>
        <v>0.27712163909567566</v>
      </c>
      <c r="Y38" s="5">
        <f t="shared" ref="Y38:AE41" si="57">+Y15/Y$13</f>
        <v>0.29991183226327156</v>
      </c>
      <c r="Z38" s="5">
        <f t="shared" si="57"/>
        <v>0.29073663354025514</v>
      </c>
      <c r="AA38" s="5">
        <f t="shared" si="57"/>
        <v>0.28579900187232227</v>
      </c>
      <c r="AB38" s="5">
        <f t="shared" si="57"/>
        <v>0.27976530367354369</v>
      </c>
      <c r="AC38" s="18">
        <f t="shared" si="57"/>
        <v>0.27700000000000002</v>
      </c>
      <c r="AD38" s="18">
        <f t="shared" ref="AD38:AL38" si="58">+AD15/AD$13</f>
        <v>0.27700000000000002</v>
      </c>
      <c r="AE38" s="18">
        <f t="shared" si="58"/>
        <v>0.27700000000000002</v>
      </c>
      <c r="AF38" s="18">
        <f t="shared" si="58"/>
        <v>0.27700000000000002</v>
      </c>
      <c r="AG38" s="18">
        <f t="shared" si="58"/>
        <v>0.27700000000000002</v>
      </c>
      <c r="AH38" s="18">
        <f t="shared" si="58"/>
        <v>0.27700000000000002</v>
      </c>
      <c r="AI38" s="18">
        <f t="shared" si="58"/>
        <v>0.27700000000000002</v>
      </c>
      <c r="AJ38" s="18">
        <f t="shared" si="58"/>
        <v>0.27700000000000002</v>
      </c>
      <c r="AK38" s="18">
        <f t="shared" si="58"/>
        <v>0.27700000000000002</v>
      </c>
      <c r="AL38" s="18">
        <f t="shared" si="58"/>
        <v>0.27700000000000002</v>
      </c>
      <c r="AN38" s="1" t="s">
        <v>41</v>
      </c>
      <c r="AO38" s="1">
        <f>+MAIN!C3</f>
        <v>107.37</v>
      </c>
    </row>
    <row r="39" spans="2:41">
      <c r="B39" s="1" t="s">
        <v>48</v>
      </c>
      <c r="C39" s="5">
        <f t="shared" si="53"/>
        <v>0.14904496335698922</v>
      </c>
      <c r="D39" s="5">
        <f t="shared" si="53"/>
        <v>0.12949429211565133</v>
      </c>
      <c r="E39" s="5">
        <f t="shared" si="53"/>
        <v>0.13725469970860518</v>
      </c>
      <c r="F39" s="5">
        <f t="shared" si="53"/>
        <v>0.13775731097728972</v>
      </c>
      <c r="G39" s="5">
        <f t="shared" si="53"/>
        <v>0.148339897045592</v>
      </c>
      <c r="H39" s="5">
        <f t="shared" si="53"/>
        <v>0.13933140341145472</v>
      </c>
      <c r="I39" s="5">
        <f t="shared" si="53"/>
        <v>0.14783990448348214</v>
      </c>
      <c r="J39" s="5">
        <f t="shared" si="53"/>
        <v>-0.27817162693005881</v>
      </c>
      <c r="K39" s="5">
        <f t="shared" si="53"/>
        <v>0.13793539115122513</v>
      </c>
      <c r="L39" s="5">
        <f t="shared" si="53"/>
        <v>0.13284891742241681</v>
      </c>
      <c r="M39" s="5">
        <f t="shared" si="53"/>
        <v>0.13506898811398696</v>
      </c>
      <c r="N39" s="5">
        <f t="shared" si="53"/>
        <v>0.14357381665228494</v>
      </c>
      <c r="O39" s="18">
        <f t="shared" si="53"/>
        <v>0.14408063228045054</v>
      </c>
      <c r="P39" s="18">
        <f t="shared" si="55"/>
        <v>0.13887379303371922</v>
      </c>
      <c r="R39" s="18">
        <f t="shared" si="56"/>
        <v>0.14147721265708488</v>
      </c>
      <c r="Y39" s="5">
        <f t="shared" si="57"/>
        <v>0.14003561135049639</v>
      </c>
      <c r="Z39" s="5">
        <f t="shared" si="57"/>
        <v>0.13790102082328121</v>
      </c>
      <c r="AA39" s="5">
        <f t="shared" si="57"/>
        <v>3.2926664045859678E-2</v>
      </c>
      <c r="AB39" s="5">
        <f t="shared" si="57"/>
        <v>0.13742019782388212</v>
      </c>
      <c r="AC39" s="18">
        <f t="shared" si="57"/>
        <v>0.14099999999999999</v>
      </c>
      <c r="AD39" s="18">
        <f t="shared" ref="AD39:AL39" si="59">+AD16/AD$13</f>
        <v>0.14099999999999999</v>
      </c>
      <c r="AE39" s="18">
        <f t="shared" si="59"/>
        <v>0.14099999999999999</v>
      </c>
      <c r="AF39" s="18">
        <f t="shared" si="59"/>
        <v>0.14099999999999999</v>
      </c>
      <c r="AG39" s="18">
        <f t="shared" si="59"/>
        <v>0.14099999999999999</v>
      </c>
      <c r="AH39" s="18">
        <f t="shared" si="59"/>
        <v>0.14099999999999999</v>
      </c>
      <c r="AI39" s="18">
        <f t="shared" si="59"/>
        <v>0.14099999999999999</v>
      </c>
      <c r="AJ39" s="18">
        <f t="shared" si="59"/>
        <v>0.14099999999999999</v>
      </c>
      <c r="AK39" s="18">
        <f t="shared" si="59"/>
        <v>0.14099999999999999</v>
      </c>
      <c r="AL39" s="18">
        <f t="shared" si="59"/>
        <v>0.14099999999999999</v>
      </c>
      <c r="AN39" s="1" t="s">
        <v>42</v>
      </c>
      <c r="AO39" s="5">
        <f>+AO37/AO38-1</f>
        <v>-0.1269368827868651</v>
      </c>
    </row>
    <row r="40" spans="2:41">
      <c r="B40" s="1" t="s">
        <v>49</v>
      </c>
      <c r="C40" s="5">
        <f t="shared" si="53"/>
        <v>8.9585399466776572E-2</v>
      </c>
      <c r="D40" s="5">
        <f t="shared" si="53"/>
        <v>7.9355595860450226E-2</v>
      </c>
      <c r="E40" s="5">
        <f t="shared" si="53"/>
        <v>7.55047835168519E-2</v>
      </c>
      <c r="F40" s="5">
        <f t="shared" si="53"/>
        <v>7.7739402526862678E-2</v>
      </c>
      <c r="G40" s="5">
        <f t="shared" si="53"/>
        <v>8.0023206533229099E-2</v>
      </c>
      <c r="H40" s="5">
        <f t="shared" si="53"/>
        <v>7.2185723200665644E-2</v>
      </c>
      <c r="I40" s="5">
        <f t="shared" si="53"/>
        <v>7.6101556532961107E-2</v>
      </c>
      <c r="J40" s="5">
        <f t="shared" si="53"/>
        <v>7.6460304617048655E-2</v>
      </c>
      <c r="K40" s="5">
        <f t="shared" si="53"/>
        <v>7.3369972915136722E-2</v>
      </c>
      <c r="L40" s="5">
        <f t="shared" si="53"/>
        <v>7.2850021154872061E-2</v>
      </c>
      <c r="M40" s="5">
        <f t="shared" si="53"/>
        <v>7.3495602935479548E-2</v>
      </c>
      <c r="N40" s="5">
        <f t="shared" si="53"/>
        <v>7.3930192179372078E-2</v>
      </c>
      <c r="O40" s="18">
        <f t="shared" si="53"/>
        <v>7.6377605816098912E-2</v>
      </c>
      <c r="P40" s="18">
        <f t="shared" si="55"/>
        <v>7.3384813710125882E-2</v>
      </c>
      <c r="R40" s="18">
        <f t="shared" si="56"/>
        <v>7.4881209763112397E-2</v>
      </c>
      <c r="Y40" s="5">
        <f t="shared" si="57"/>
        <v>9.8671363845872856E-2</v>
      </c>
      <c r="Z40" s="5">
        <f t="shared" si="57"/>
        <v>8.0049412550193072E-2</v>
      </c>
      <c r="AA40" s="5">
        <f t="shared" si="57"/>
        <v>7.607891738461231E-2</v>
      </c>
      <c r="AB40" s="5">
        <f t="shared" si="57"/>
        <v>7.3419381296935357E-2</v>
      </c>
      <c r="AC40" s="18">
        <f t="shared" si="57"/>
        <v>7.4999999999999997E-2</v>
      </c>
      <c r="AD40" s="18">
        <f t="shared" ref="AD40:AL40" si="60">+AD17/AD$13</f>
        <v>7.4999999999999997E-2</v>
      </c>
      <c r="AE40" s="18">
        <f t="shared" si="60"/>
        <v>7.4999999999999997E-2</v>
      </c>
      <c r="AF40" s="18">
        <f t="shared" si="60"/>
        <v>7.4999999999999997E-2</v>
      </c>
      <c r="AG40" s="18">
        <f t="shared" si="60"/>
        <v>7.4999999999999997E-2</v>
      </c>
      <c r="AH40" s="18">
        <f t="shared" si="60"/>
        <v>7.4999999999999997E-2</v>
      </c>
      <c r="AI40" s="18">
        <f t="shared" si="60"/>
        <v>7.4999999999999997E-2</v>
      </c>
      <c r="AJ40" s="18">
        <f t="shared" si="60"/>
        <v>7.4999999999999997E-2</v>
      </c>
      <c r="AK40" s="18">
        <f t="shared" si="60"/>
        <v>7.4999999999999997E-2</v>
      </c>
      <c r="AL40" s="18">
        <f t="shared" si="60"/>
        <v>7.4999999999999997E-2</v>
      </c>
      <c r="AO40" s="5"/>
    </row>
    <row r="41" spans="2:41">
      <c r="B41" s="1" t="s">
        <v>10</v>
      </c>
      <c r="C41" s="5">
        <f t="shared" si="53"/>
        <v>0.12599657397509048</v>
      </c>
      <c r="D41" s="5">
        <f t="shared" si="53"/>
        <v>0.1086418435932999</v>
      </c>
      <c r="E41" s="5">
        <f t="shared" si="53"/>
        <v>0.1057479563681374</v>
      </c>
      <c r="F41" s="5">
        <f t="shared" si="53"/>
        <v>0.13166154996654467</v>
      </c>
      <c r="G41" s="5">
        <f t="shared" si="53"/>
        <v>0.154313612696727</v>
      </c>
      <c r="H41" s="5">
        <f t="shared" si="53"/>
        <v>0.12778654139509082</v>
      </c>
      <c r="I41" s="5">
        <f t="shared" si="53"/>
        <v>0.11821485949063709</v>
      </c>
      <c r="J41" s="5">
        <f t="shared" si="53"/>
        <v>0.13501502961904002</v>
      </c>
      <c r="K41" s="5">
        <f t="shared" si="53"/>
        <v>0.1236230545092744</v>
      </c>
      <c r="L41" s="5">
        <f t="shared" si="53"/>
        <v>0.11580360920512868</v>
      </c>
      <c r="M41" s="5">
        <f t="shared" si="53"/>
        <v>0.11201381572516265</v>
      </c>
      <c r="N41" s="5">
        <f t="shared" si="53"/>
        <v>0.12512445719196627</v>
      </c>
      <c r="O41" s="18">
        <f t="shared" si="53"/>
        <v>0.12372979373777986</v>
      </c>
      <c r="P41" s="18">
        <f t="shared" si="55"/>
        <v>0.11473446741822961</v>
      </c>
      <c r="R41" s="18">
        <f t="shared" si="56"/>
        <v>0.11923213057800473</v>
      </c>
      <c r="Y41" s="5">
        <f t="shared" si="57"/>
        <v>0.12288019706732305</v>
      </c>
      <c r="Z41" s="5">
        <f t="shared" si="57"/>
        <v>0.11784947282917936</v>
      </c>
      <c r="AA41" s="5">
        <f t="shared" si="57"/>
        <v>0.13327136679526388</v>
      </c>
      <c r="AB41" s="5">
        <f t="shared" si="57"/>
        <v>0.11911546592149387</v>
      </c>
      <c r="AC41" s="18">
        <f t="shared" si="57"/>
        <v>0.11603592959308064</v>
      </c>
      <c r="AD41" s="18">
        <f t="shared" ref="AD41:AL41" si="61">+AD18/AD$13</f>
        <v>0.11603592959308064</v>
      </c>
      <c r="AE41" s="18">
        <f t="shared" si="61"/>
        <v>0.11603592959308064</v>
      </c>
      <c r="AF41" s="18">
        <f t="shared" si="61"/>
        <v>0.11603592959308064</v>
      </c>
      <c r="AG41" s="18">
        <f t="shared" si="61"/>
        <v>0.11603592959308064</v>
      </c>
      <c r="AH41" s="18">
        <f t="shared" si="61"/>
        <v>0.11603592959308064</v>
      </c>
      <c r="AI41" s="18">
        <f t="shared" si="61"/>
        <v>0.11603592959308064</v>
      </c>
      <c r="AJ41" s="18">
        <f t="shared" si="61"/>
        <v>0.11603592959308062</v>
      </c>
      <c r="AK41" s="18">
        <f t="shared" si="61"/>
        <v>0.11603592959308062</v>
      </c>
      <c r="AL41" s="18">
        <f t="shared" si="61"/>
        <v>0.11603592959308062</v>
      </c>
      <c r="AO41" s="5"/>
    </row>
    <row r="42" spans="2:41">
      <c r="AN42" s="1" t="s">
        <v>5</v>
      </c>
      <c r="AO42" s="1">
        <f>+MAIN!C8</f>
        <v>4501833.1790900007</v>
      </c>
    </row>
    <row r="43" spans="2:41">
      <c r="AN43" s="1" t="s">
        <v>83</v>
      </c>
      <c r="AO43" s="20">
        <f>+$AO$42/AC28</f>
        <v>11.525132954988459</v>
      </c>
    </row>
    <row r="44" spans="2:41">
      <c r="AN44" s="1" t="s">
        <v>84</v>
      </c>
      <c r="AO44" s="20">
        <f>+$AO$42/AD28</f>
        <v>10.179467882524934</v>
      </c>
    </row>
    <row r="45" spans="2:41">
      <c r="AO45" s="5"/>
    </row>
    <row r="46" spans="2:41">
      <c r="B46" s="1" t="s">
        <v>34</v>
      </c>
      <c r="N46" s="1">
        <v>224653</v>
      </c>
      <c r="O46" s="1">
        <v>260203</v>
      </c>
      <c r="P46" s="1">
        <v>301838</v>
      </c>
    </row>
    <row r="47" spans="2:41">
      <c r="B47" s="1" t="s">
        <v>54</v>
      </c>
      <c r="N47" s="1">
        <v>68561</v>
      </c>
      <c r="O47" s="1">
        <v>24570</v>
      </c>
      <c r="P47" s="1">
        <v>2574</v>
      </c>
    </row>
    <row r="48" spans="2:41">
      <c r="B48" s="1" t="s">
        <v>55</v>
      </c>
      <c r="N48" s="1">
        <v>16847</v>
      </c>
      <c r="O48" s="1">
        <v>14458</v>
      </c>
      <c r="P48" s="1">
        <v>15914</v>
      </c>
    </row>
    <row r="49" spans="2:16">
      <c r="B49" s="1" t="s">
        <v>56</v>
      </c>
      <c r="N49" s="1">
        <v>5404</v>
      </c>
      <c r="O49" s="1">
        <v>5073</v>
      </c>
      <c r="P49" s="1">
        <v>5194</v>
      </c>
    </row>
    <row r="50" spans="2:16">
      <c r="B50" s="1" t="s">
        <v>57</v>
      </c>
      <c r="N50" s="1">
        <v>18967</v>
      </c>
      <c r="O50" s="1">
        <v>21885</v>
      </c>
      <c r="P50" s="1">
        <v>20160</v>
      </c>
    </row>
    <row r="51" spans="2:16">
      <c r="B51" s="1" t="s">
        <v>58</v>
      </c>
      <c r="N51" s="1">
        <v>530995</v>
      </c>
      <c r="O51" s="1">
        <v>537621</v>
      </c>
      <c r="P51" s="1">
        <v>545225</v>
      </c>
    </row>
    <row r="52" spans="2:16">
      <c r="B52" s="1" t="s">
        <v>59</v>
      </c>
      <c r="N52" s="1">
        <v>398296</v>
      </c>
      <c r="O52" s="1">
        <v>410254</v>
      </c>
      <c r="P52" s="1">
        <v>419527</v>
      </c>
    </row>
    <row r="53" spans="2:16">
      <c r="B53" s="1" t="s">
        <v>60</v>
      </c>
      <c r="N53" s="1">
        <v>326208</v>
      </c>
      <c r="O53" s="1">
        <v>329956</v>
      </c>
      <c r="P53" s="1">
        <v>338538</v>
      </c>
    </row>
    <row r="54" spans="2:16">
      <c r="B54" s="1" t="s">
        <v>61</v>
      </c>
      <c r="N54" s="1">
        <v>15926</v>
      </c>
      <c r="O54" s="1">
        <v>14812</v>
      </c>
      <c r="P54" s="1">
        <v>12788</v>
      </c>
    </row>
    <row r="55" spans="2:16" s="3" customFormat="1">
      <c r="B55" s="3" t="s">
        <v>62</v>
      </c>
      <c r="N55" s="3">
        <f>+SUM(N46:N54)</f>
        <v>1605857</v>
      </c>
      <c r="O55" s="3">
        <f>+SUM(O46:O54)</f>
        <v>1618832</v>
      </c>
      <c r="P55" s="3">
        <f>+SUM(P46:P54)</f>
        <v>1661758</v>
      </c>
    </row>
    <row r="57" spans="2:16">
      <c r="B57" s="1" t="s">
        <v>64</v>
      </c>
      <c r="N57" s="1">
        <v>22273</v>
      </c>
      <c r="O57" s="1">
        <v>15163</v>
      </c>
      <c r="P57" s="1">
        <v>18576</v>
      </c>
    </row>
    <row r="58" spans="2:16">
      <c r="B58" s="1" t="s">
        <v>65</v>
      </c>
      <c r="N58" s="1">
        <v>54742</v>
      </c>
      <c r="O58" s="1">
        <v>57366</v>
      </c>
      <c r="P58" s="1">
        <v>56376</v>
      </c>
    </row>
    <row r="59" spans="2:16">
      <c r="B59" s="1" t="s">
        <v>66</v>
      </c>
      <c r="N59" s="1">
        <v>20945</v>
      </c>
      <c r="O59" s="1">
        <v>19249</v>
      </c>
      <c r="P59" s="1">
        <v>22584</v>
      </c>
    </row>
    <row r="60" spans="2:16">
      <c r="B60" s="1" t="s">
        <v>59</v>
      </c>
      <c r="N60" s="1">
        <v>49004</v>
      </c>
      <c r="O60" s="1">
        <v>50780</v>
      </c>
      <c r="P60" s="1">
        <v>53140</v>
      </c>
    </row>
    <row r="61" spans="2:16">
      <c r="B61" s="1" t="s">
        <v>67</v>
      </c>
      <c r="N61" s="1">
        <v>17103</v>
      </c>
      <c r="O61" s="1">
        <v>18525</v>
      </c>
      <c r="P61" s="1">
        <v>17412</v>
      </c>
    </row>
    <row r="62" spans="2:16">
      <c r="B62" s="1" t="s">
        <v>68</v>
      </c>
      <c r="N62" s="1">
        <v>245636</v>
      </c>
      <c r="O62" s="1">
        <v>245898</v>
      </c>
      <c r="P62" s="1">
        <v>246160</v>
      </c>
    </row>
    <row r="63" spans="2:16">
      <c r="B63" s="1" t="s">
        <v>69</v>
      </c>
      <c r="N63" s="1">
        <v>464533</v>
      </c>
      <c r="O63" s="1">
        <v>476704</v>
      </c>
      <c r="P63" s="1">
        <v>487600</v>
      </c>
    </row>
    <row r="64" spans="2:16">
      <c r="B64" s="1" t="s">
        <v>70</v>
      </c>
      <c r="N64" s="1">
        <v>235613</v>
      </c>
      <c r="O64" s="1">
        <v>236728</v>
      </c>
      <c r="P64" s="1">
        <v>246878</v>
      </c>
    </row>
    <row r="65" spans="2:16">
      <c r="B65" s="1" t="s">
        <v>71</v>
      </c>
      <c r="N65" s="1">
        <v>26638</v>
      </c>
      <c r="O65" s="1">
        <v>26126</v>
      </c>
      <c r="P65" s="1">
        <v>26667</v>
      </c>
    </row>
    <row r="66" spans="2:16" s="3" customFormat="1">
      <c r="B66" s="3" t="s">
        <v>63</v>
      </c>
      <c r="N66" s="3">
        <f>+SUM(N57:N65)</f>
        <v>1136487</v>
      </c>
      <c r="O66" s="3">
        <f>+SUM(O57:O65)</f>
        <v>1146539</v>
      </c>
      <c r="P66" s="3">
        <f>+SUM(P57:P65)</f>
        <v>1175393</v>
      </c>
    </row>
    <row r="67" spans="2:16">
      <c r="B67" s="1" t="s">
        <v>72</v>
      </c>
      <c r="N67" s="1">
        <v>469370</v>
      </c>
      <c r="O67" s="1">
        <v>472293</v>
      </c>
      <c r="P67" s="1">
        <v>486365</v>
      </c>
    </row>
    <row r="68" spans="2:16" s="3" customFormat="1">
      <c r="B68" s="3" t="s">
        <v>73</v>
      </c>
      <c r="N68" s="3">
        <f>+SUM(N66:N67)</f>
        <v>1605857</v>
      </c>
      <c r="O68" s="1">
        <v>472293</v>
      </c>
      <c r="P68" s="3">
        <f>+SUM(P66:P67)</f>
        <v>1661758</v>
      </c>
    </row>
    <row r="71" spans="2:16">
      <c r="B71" s="1" t="s">
        <v>34</v>
      </c>
      <c r="N71" s="1">
        <f t="shared" ref="N71:P71" si="62">SUM(N46:N47)</f>
        <v>293214</v>
      </c>
      <c r="O71" s="1">
        <f t="shared" si="62"/>
        <v>284773</v>
      </c>
      <c r="P71" s="1">
        <f>SUM(P46:P47)</f>
        <v>304412</v>
      </c>
    </row>
    <row r="72" spans="2:16">
      <c r="B72" s="1" t="s">
        <v>75</v>
      </c>
      <c r="N72" s="1">
        <f>+N62</f>
        <v>245636</v>
      </c>
      <c r="O72" s="1">
        <f>+O62</f>
        <v>245898</v>
      </c>
      <c r="P72" s="1">
        <f>+P62</f>
        <v>246160</v>
      </c>
    </row>
    <row r="73" spans="2:16">
      <c r="B73" s="1" t="s">
        <v>76</v>
      </c>
      <c r="N73" s="1">
        <f t="shared" ref="N73:O73" si="63">+N71-N72</f>
        <v>47578</v>
      </c>
      <c r="O73" s="1">
        <f t="shared" si="63"/>
        <v>38875</v>
      </c>
      <c r="P73" s="1">
        <f>+P71-P72</f>
        <v>58252</v>
      </c>
    </row>
    <row r="74" spans="2:16" s="15" customFormat="1">
      <c r="B74" s="15" t="s">
        <v>74</v>
      </c>
      <c r="N74" s="15">
        <f>+N73/N29</f>
        <v>1.0826961587474968</v>
      </c>
      <c r="O74" s="15">
        <f>+O73/O29</f>
        <v>0.94221866744225502</v>
      </c>
      <c r="P74" s="15">
        <f>+P73/P29</f>
        <v>1.4043394406943106</v>
      </c>
    </row>
    <row r="77" spans="2:16">
      <c r="B77" s="1" t="s">
        <v>80</v>
      </c>
      <c r="J77" s="1">
        <f>76742-SUM(G77:I77)</f>
        <v>76742</v>
      </c>
      <c r="K77" s="1">
        <v>19820</v>
      </c>
      <c r="L77" s="1">
        <f>62191-K77</f>
        <v>42371</v>
      </c>
      <c r="N77" s="1">
        <f>132139-SUM(K77:M77)</f>
        <v>69948</v>
      </c>
      <c r="O77" s="1">
        <v>30665</v>
      </c>
      <c r="P77" s="1">
        <f>84210-O77</f>
        <v>53545</v>
      </c>
    </row>
    <row r="78" spans="2:16">
      <c r="B78" s="1" t="s">
        <v>81</v>
      </c>
      <c r="J78" s="1">
        <f>+-142559-SUM(G78:I78)</f>
        <v>-142559</v>
      </c>
      <c r="K78" s="1">
        <v>-34326</v>
      </c>
      <c r="L78" s="1">
        <f>+-74755-K78</f>
        <v>-40429</v>
      </c>
      <c r="N78" s="1">
        <f>+-146167-SUM(K78:M78)</f>
        <v>-71412</v>
      </c>
      <c r="O78" s="1">
        <v>-33054</v>
      </c>
      <c r="P78" s="1">
        <f>+-65992-O78</f>
        <v>-32938</v>
      </c>
    </row>
    <row r="79" spans="2:16">
      <c r="B79" s="1" t="s">
        <v>82</v>
      </c>
      <c r="C79" s="1">
        <f t="shared" ref="C79:O79" si="64">+SUM(C77:C78)</f>
        <v>0</v>
      </c>
      <c r="D79" s="1">
        <f t="shared" si="64"/>
        <v>0</v>
      </c>
      <c r="E79" s="1">
        <f t="shared" si="64"/>
        <v>0</v>
      </c>
      <c r="F79" s="1">
        <f t="shared" si="64"/>
        <v>0</v>
      </c>
      <c r="G79" s="1">
        <f t="shared" si="64"/>
        <v>0</v>
      </c>
      <c r="H79" s="1">
        <f t="shared" si="64"/>
        <v>0</v>
      </c>
      <c r="I79" s="1">
        <f t="shared" si="64"/>
        <v>0</v>
      </c>
      <c r="J79" s="1">
        <f t="shared" ref="J79" si="65">+SUM(J77:J78)</f>
        <v>-65817</v>
      </c>
      <c r="K79" s="1">
        <f t="shared" ref="K79" si="66">+SUM(K77:K78)</f>
        <v>-14506</v>
      </c>
      <c r="L79" s="1">
        <f t="shared" ref="L79" si="67">+SUM(L77:L78)</f>
        <v>1942</v>
      </c>
      <c r="M79" s="1">
        <f t="shared" ref="M79" si="68">+SUM(M77:M78)</f>
        <v>0</v>
      </c>
      <c r="N79" s="1">
        <f>+SUM(N77:N78)</f>
        <v>-1464</v>
      </c>
      <c r="O79" s="1">
        <f t="shared" si="64"/>
        <v>-2389</v>
      </c>
      <c r="P79" s="1">
        <f>+SUM(P77:P78)</f>
        <v>20607</v>
      </c>
    </row>
  </sheetData>
  <pageMargins left="0.7" right="0.7" top="0.75" bottom="0.75" header="0.3" footer="0.3"/>
  <ignoredErrors>
    <ignoredError sqref="J13:J20 F13:F20 AB13:AB20 AB22:AB30 J21:J30 F21:F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2024-04-10T11:04:22Z</dcterms:created>
  <dcterms:modified xsi:type="dcterms:W3CDTF">2024-08-19T01:44:28Z</dcterms:modified>
</cp:coreProperties>
</file>