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98DCE20F-5776-0647-96B9-F33459CC4F17}" xr6:coauthVersionLast="47" xr6:coauthVersionMax="47" xr10:uidLastSave="{00000000-0000-0000-0000-000000000000}"/>
  <bookViews>
    <workbookView xWindow="51540" yWindow="680" windowWidth="25760" windowHeight="28120" xr2:uid="{1650F373-B791-4E4A-8700-8C9D5E894CB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2" i="2" l="1"/>
  <c r="X151" i="2"/>
  <c r="X153" i="2" s="1"/>
  <c r="X150" i="2"/>
  <c r="X149" i="2"/>
  <c r="X144" i="2"/>
  <c r="X142" i="2"/>
  <c r="X129" i="2"/>
  <c r="X127" i="2"/>
  <c r="X108" i="2"/>
  <c r="X109" i="2" s="1"/>
  <c r="X107" i="2"/>
  <c r="X106" i="2"/>
  <c r="X105" i="2"/>
  <c r="X102" i="2"/>
  <c r="X103" i="2" s="1"/>
  <c r="X104" i="2" s="1"/>
  <c r="X101" i="2"/>
  <c r="X90" i="2"/>
  <c r="X96" i="2" s="1"/>
  <c r="X98" i="2" s="1"/>
  <c r="X75" i="2"/>
  <c r="X82" i="2" s="1"/>
  <c r="X69" i="2"/>
  <c r="X68" i="2"/>
  <c r="X17" i="2"/>
  <c r="X16" i="2"/>
  <c r="X13" i="2"/>
  <c r="X12" i="2"/>
  <c r="X4" i="2"/>
  <c r="X49" i="2"/>
  <c r="X48" i="2"/>
  <c r="X47" i="2"/>
  <c r="X46" i="2"/>
  <c r="X44" i="2"/>
  <c r="X43" i="2"/>
  <c r="X42" i="2"/>
  <c r="J9" i="1"/>
  <c r="AP6" i="2"/>
  <c r="AQ6" i="2" s="1"/>
  <c r="AR6" i="2" s="1"/>
  <c r="AS6" i="2" s="1"/>
  <c r="AT6" i="2" s="1"/>
  <c r="AU6" i="2" s="1"/>
  <c r="AV6" i="2" s="1"/>
  <c r="AW6" i="2" s="1"/>
  <c r="AX6" i="2" s="1"/>
  <c r="AY6" i="2" s="1"/>
  <c r="AM17" i="2"/>
  <c r="W17" i="2"/>
  <c r="V17" i="2"/>
  <c r="U17" i="2"/>
  <c r="T17" i="2"/>
  <c r="S17" i="2"/>
  <c r="Q17" i="2"/>
  <c r="P17" i="2"/>
  <c r="O17" i="2"/>
  <c r="M17" i="2"/>
  <c r="F17" i="2"/>
  <c r="AL6" i="2"/>
  <c r="AM10" i="2" s="1"/>
  <c r="AL5" i="2"/>
  <c r="AM7" i="2"/>
  <c r="AM6" i="2"/>
  <c r="AM5" i="2"/>
  <c r="AM9" i="2" s="1"/>
  <c r="AN7" i="2"/>
  <c r="AN17" i="2" s="1"/>
  <c r="AN6" i="2"/>
  <c r="AO10" i="2" s="1"/>
  <c r="AN5" i="2"/>
  <c r="AO7" i="2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O6" i="2"/>
  <c r="AO5" i="2"/>
  <c r="AP5" i="2" s="1"/>
  <c r="AQ5" i="2" s="1"/>
  <c r="M4" i="2"/>
  <c r="R4" i="2"/>
  <c r="N4" i="2"/>
  <c r="AM4" i="2" s="1"/>
  <c r="AM18" i="2" s="1"/>
  <c r="P4" i="2"/>
  <c r="P11" i="2" s="1"/>
  <c r="W16" i="2"/>
  <c r="V16" i="2"/>
  <c r="U16" i="2"/>
  <c r="T16" i="2"/>
  <c r="S16" i="2"/>
  <c r="Q16" i="2"/>
  <c r="P16" i="2"/>
  <c r="O16" i="2"/>
  <c r="N16" i="2"/>
  <c r="M16" i="2"/>
  <c r="L16" i="2"/>
  <c r="K16" i="2"/>
  <c r="I16" i="2"/>
  <c r="H16" i="2"/>
  <c r="G16" i="2"/>
  <c r="F16" i="2"/>
  <c r="E16" i="2"/>
  <c r="V4" i="2"/>
  <c r="W13" i="2"/>
  <c r="W12" i="2"/>
  <c r="V13" i="2"/>
  <c r="V12" i="2"/>
  <c r="V11" i="2"/>
  <c r="W4" i="2"/>
  <c r="W11" i="2" s="1"/>
  <c r="W68" i="2"/>
  <c r="AP4" i="2"/>
  <c r="AP1" i="2" s="1"/>
  <c r="W129" i="2"/>
  <c r="W149" i="2" s="1"/>
  <c r="J17" i="1" s="1"/>
  <c r="W144" i="2"/>
  <c r="D88" i="2"/>
  <c r="D101" i="2" s="1"/>
  <c r="C88" i="2"/>
  <c r="C101" i="2" s="1"/>
  <c r="J88" i="2"/>
  <c r="J91" i="2"/>
  <c r="F91" i="2"/>
  <c r="F88" i="2"/>
  <c r="M102" i="2"/>
  <c r="F70" i="2"/>
  <c r="F102" i="2" s="1"/>
  <c r="J70" i="2"/>
  <c r="M70" i="2"/>
  <c r="L102" i="2" s="1"/>
  <c r="L70" i="2"/>
  <c r="K102" i="2" s="1"/>
  <c r="K70" i="2"/>
  <c r="J106" i="2" s="1"/>
  <c r="I70" i="2"/>
  <c r="I106" i="2" s="1"/>
  <c r="H70" i="2"/>
  <c r="H102" i="2" s="1"/>
  <c r="G70" i="2"/>
  <c r="G102" i="2" s="1"/>
  <c r="E70" i="2"/>
  <c r="E102" i="2" s="1"/>
  <c r="D70" i="2"/>
  <c r="D102" i="2" s="1"/>
  <c r="C70" i="2"/>
  <c r="C102" i="2" s="1"/>
  <c r="W102" i="2"/>
  <c r="W101" i="2"/>
  <c r="V102" i="2"/>
  <c r="V101" i="2"/>
  <c r="W90" i="2"/>
  <c r="W96" i="2" s="1"/>
  <c r="W98" i="2" s="1"/>
  <c r="W75" i="2"/>
  <c r="W82" i="2" s="1"/>
  <c r="W69" i="2"/>
  <c r="W49" i="2"/>
  <c r="W48" i="2"/>
  <c r="W47" i="2"/>
  <c r="W46" i="2"/>
  <c r="W44" i="2"/>
  <c r="W43" i="2"/>
  <c r="W42" i="2"/>
  <c r="W28" i="2"/>
  <c r="W23" i="2"/>
  <c r="W58" i="2" s="1"/>
  <c r="V68" i="2"/>
  <c r="V90" i="2"/>
  <c r="V96" i="2" s="1"/>
  <c r="V98" i="2" s="1"/>
  <c r="V75" i="2"/>
  <c r="V82" i="2" s="1"/>
  <c r="V69" i="2"/>
  <c r="AO69" i="2" s="1"/>
  <c r="AP30" i="2" s="1"/>
  <c r="AO49" i="2"/>
  <c r="AO48" i="2"/>
  <c r="AO47" i="2"/>
  <c r="AO46" i="2"/>
  <c r="AO44" i="2"/>
  <c r="AO43" i="2"/>
  <c r="AO42" i="2"/>
  <c r="V33" i="2"/>
  <c r="V31" i="2"/>
  <c r="V30" i="2"/>
  <c r="V27" i="2"/>
  <c r="V26" i="2"/>
  <c r="V25" i="2"/>
  <c r="V24" i="2"/>
  <c r="V22" i="2"/>
  <c r="V21" i="2"/>
  <c r="V20" i="2"/>
  <c r="AO23" i="2"/>
  <c r="AO50" i="2" s="1"/>
  <c r="L101" i="2"/>
  <c r="O100" i="2"/>
  <c r="S156" i="2"/>
  <c r="O156" i="2"/>
  <c r="S155" i="2"/>
  <c r="O155" i="2"/>
  <c r="BB43" i="2"/>
  <c r="BB41" i="2"/>
  <c r="AM49" i="2"/>
  <c r="AL49" i="2"/>
  <c r="AK49" i="2"/>
  <c r="AJ49" i="2"/>
  <c r="AI49" i="2"/>
  <c r="AH49" i="2"/>
  <c r="AG49" i="2"/>
  <c r="AF49" i="2"/>
  <c r="AM48" i="2"/>
  <c r="AL48" i="2"/>
  <c r="AK48" i="2"/>
  <c r="AJ48" i="2"/>
  <c r="AI48" i="2"/>
  <c r="AH48" i="2"/>
  <c r="AG48" i="2"/>
  <c r="AF48" i="2"/>
  <c r="AM47" i="2"/>
  <c r="AL47" i="2"/>
  <c r="AK47" i="2"/>
  <c r="AJ47" i="2"/>
  <c r="AI47" i="2"/>
  <c r="AH47" i="2"/>
  <c r="AG47" i="2"/>
  <c r="AF47" i="2"/>
  <c r="AM46" i="2"/>
  <c r="AL46" i="2"/>
  <c r="AK46" i="2"/>
  <c r="AJ46" i="2"/>
  <c r="AI46" i="2"/>
  <c r="AH46" i="2"/>
  <c r="AG46" i="2"/>
  <c r="AF46" i="2"/>
  <c r="AM44" i="2"/>
  <c r="AL44" i="2"/>
  <c r="AK44" i="2"/>
  <c r="AJ44" i="2"/>
  <c r="AI44" i="2"/>
  <c r="AH44" i="2"/>
  <c r="AG44" i="2"/>
  <c r="AF44" i="2"/>
  <c r="AM43" i="2"/>
  <c r="AL43" i="2"/>
  <c r="AK43" i="2"/>
  <c r="AJ43" i="2"/>
  <c r="AI43" i="2"/>
  <c r="AH43" i="2"/>
  <c r="AG43" i="2"/>
  <c r="AF43" i="2"/>
  <c r="AM42" i="2"/>
  <c r="AL42" i="2"/>
  <c r="AK42" i="2"/>
  <c r="AJ42" i="2"/>
  <c r="AI42" i="2"/>
  <c r="AH42" i="2"/>
  <c r="AG42" i="2"/>
  <c r="AF42" i="2"/>
  <c r="AN49" i="2"/>
  <c r="AN48" i="2"/>
  <c r="AN47" i="2"/>
  <c r="AN46" i="2"/>
  <c r="AN44" i="2"/>
  <c r="AN43" i="2"/>
  <c r="AN42" i="2"/>
  <c r="T49" i="2"/>
  <c r="S49" i="2"/>
  <c r="Q49" i="2"/>
  <c r="P49" i="2"/>
  <c r="O49" i="2"/>
  <c r="M49" i="2"/>
  <c r="L49" i="2"/>
  <c r="K49" i="2"/>
  <c r="I49" i="2"/>
  <c r="H49" i="2"/>
  <c r="G49" i="2"/>
  <c r="T48" i="2"/>
  <c r="S48" i="2"/>
  <c r="Q48" i="2"/>
  <c r="P48" i="2"/>
  <c r="O48" i="2"/>
  <c r="M48" i="2"/>
  <c r="L48" i="2"/>
  <c r="K48" i="2"/>
  <c r="I48" i="2"/>
  <c r="H48" i="2"/>
  <c r="G48" i="2"/>
  <c r="T47" i="2"/>
  <c r="S47" i="2"/>
  <c r="Q47" i="2"/>
  <c r="P47" i="2"/>
  <c r="O47" i="2"/>
  <c r="M47" i="2"/>
  <c r="L47" i="2"/>
  <c r="K47" i="2"/>
  <c r="I47" i="2"/>
  <c r="H47" i="2"/>
  <c r="G47" i="2"/>
  <c r="T46" i="2"/>
  <c r="S46" i="2"/>
  <c r="Q46" i="2"/>
  <c r="P46" i="2"/>
  <c r="O46" i="2"/>
  <c r="M46" i="2"/>
  <c r="L46" i="2"/>
  <c r="K46" i="2"/>
  <c r="I46" i="2"/>
  <c r="H46" i="2"/>
  <c r="G46" i="2"/>
  <c r="T44" i="2"/>
  <c r="S44" i="2"/>
  <c r="Q44" i="2"/>
  <c r="P44" i="2"/>
  <c r="O44" i="2"/>
  <c r="M44" i="2"/>
  <c r="L44" i="2"/>
  <c r="K44" i="2"/>
  <c r="I44" i="2"/>
  <c r="H44" i="2"/>
  <c r="G44" i="2"/>
  <c r="T43" i="2"/>
  <c r="S43" i="2"/>
  <c r="Q43" i="2"/>
  <c r="P43" i="2"/>
  <c r="O43" i="2"/>
  <c r="M43" i="2"/>
  <c r="L43" i="2"/>
  <c r="K43" i="2"/>
  <c r="I43" i="2"/>
  <c r="H43" i="2"/>
  <c r="G43" i="2"/>
  <c r="T42" i="2"/>
  <c r="S42" i="2"/>
  <c r="Q42" i="2"/>
  <c r="P42" i="2"/>
  <c r="O42" i="2"/>
  <c r="M42" i="2"/>
  <c r="L42" i="2"/>
  <c r="K42" i="2"/>
  <c r="I42" i="2"/>
  <c r="H42" i="2"/>
  <c r="G42" i="2"/>
  <c r="U49" i="2"/>
  <c r="U48" i="2"/>
  <c r="U47" i="2"/>
  <c r="U46" i="2"/>
  <c r="U44" i="2"/>
  <c r="U43" i="2"/>
  <c r="U42" i="2"/>
  <c r="U13" i="2"/>
  <c r="T13" i="2"/>
  <c r="S13" i="2"/>
  <c r="R13" i="2"/>
  <c r="Q13" i="2"/>
  <c r="P13" i="2"/>
  <c r="O13" i="2"/>
  <c r="N13" i="2"/>
  <c r="M13" i="2"/>
  <c r="L13" i="2"/>
  <c r="K13" i="2"/>
  <c r="J13" i="2"/>
  <c r="U12" i="2"/>
  <c r="T12" i="2"/>
  <c r="S12" i="2"/>
  <c r="R12" i="2"/>
  <c r="Q12" i="2"/>
  <c r="P12" i="2"/>
  <c r="O12" i="2"/>
  <c r="N12" i="2"/>
  <c r="M12" i="2"/>
  <c r="L12" i="2"/>
  <c r="K12" i="2"/>
  <c r="J12" i="2"/>
  <c r="S11" i="2"/>
  <c r="O11" i="2"/>
  <c r="L11" i="2"/>
  <c r="K11" i="2"/>
  <c r="J11" i="2"/>
  <c r="I13" i="2"/>
  <c r="I12" i="2"/>
  <c r="I11" i="2"/>
  <c r="U102" i="2"/>
  <c r="T102" i="2"/>
  <c r="S102" i="2"/>
  <c r="R102" i="2"/>
  <c r="Q102" i="2"/>
  <c r="P102" i="2"/>
  <c r="O102" i="2"/>
  <c r="N102" i="2"/>
  <c r="M106" i="2"/>
  <c r="H106" i="2"/>
  <c r="G106" i="2"/>
  <c r="M105" i="2"/>
  <c r="L105" i="2"/>
  <c r="K105" i="2"/>
  <c r="J105" i="2"/>
  <c r="I105" i="2"/>
  <c r="H105" i="2"/>
  <c r="G105" i="2"/>
  <c r="F105" i="2"/>
  <c r="E105" i="2"/>
  <c r="D105" i="2"/>
  <c r="C105" i="2"/>
  <c r="U101" i="2"/>
  <c r="T101" i="2"/>
  <c r="S101" i="2"/>
  <c r="R101" i="2"/>
  <c r="Q101" i="2"/>
  <c r="P101" i="2"/>
  <c r="O101" i="2"/>
  <c r="N101" i="2"/>
  <c r="M101" i="2"/>
  <c r="K101" i="2"/>
  <c r="I101" i="2"/>
  <c r="H101" i="2"/>
  <c r="G101" i="2"/>
  <c r="E101" i="2"/>
  <c r="O145" i="2"/>
  <c r="U68" i="2"/>
  <c r="T68" i="2"/>
  <c r="S68" i="2"/>
  <c r="R68" i="2"/>
  <c r="Q68" i="2"/>
  <c r="P68" i="2"/>
  <c r="O68" i="2"/>
  <c r="N68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T136" i="2"/>
  <c r="U136" i="2" s="1"/>
  <c r="T141" i="2"/>
  <c r="U141" i="2" s="1"/>
  <c r="T140" i="2"/>
  <c r="U140" i="2" s="1"/>
  <c r="U162" i="2" s="1"/>
  <c r="U164" i="2" s="1"/>
  <c r="T139" i="2"/>
  <c r="U139" i="2" s="1"/>
  <c r="T138" i="2"/>
  <c r="U138" i="2" s="1"/>
  <c r="T137" i="2"/>
  <c r="U137" i="2" s="1"/>
  <c r="T135" i="2"/>
  <c r="U135" i="2" s="1"/>
  <c r="T132" i="2"/>
  <c r="T131" i="2"/>
  <c r="U131" i="2" s="1"/>
  <c r="T130" i="2"/>
  <c r="U130" i="2" s="1"/>
  <c r="T129" i="2"/>
  <c r="U129" i="2" s="1"/>
  <c r="U155" i="2" s="1"/>
  <c r="T126" i="2"/>
  <c r="U126" i="2" s="1"/>
  <c r="T125" i="2"/>
  <c r="U125" i="2" s="1"/>
  <c r="T124" i="2"/>
  <c r="U124" i="2" s="1"/>
  <c r="T123" i="2"/>
  <c r="U123" i="2" s="1"/>
  <c r="T122" i="2"/>
  <c r="T121" i="2"/>
  <c r="U121" i="2" s="1"/>
  <c r="T120" i="2"/>
  <c r="U120" i="2" s="1"/>
  <c r="T119" i="2"/>
  <c r="U119" i="2" s="1"/>
  <c r="T118" i="2"/>
  <c r="U118" i="2" s="1"/>
  <c r="T117" i="2"/>
  <c r="U117" i="2" s="1"/>
  <c r="T116" i="2"/>
  <c r="U116" i="2" s="1"/>
  <c r="T115" i="2"/>
  <c r="U115" i="2" s="1"/>
  <c r="U156" i="2" s="1"/>
  <c r="T114" i="2"/>
  <c r="U114" i="2" s="1"/>
  <c r="Q140" i="2"/>
  <c r="R140" i="2" s="1"/>
  <c r="Q131" i="2"/>
  <c r="R131" i="2" s="1"/>
  <c r="Q130" i="2"/>
  <c r="R130" i="2" s="1"/>
  <c r="S142" i="2"/>
  <c r="S133" i="2"/>
  <c r="S127" i="2"/>
  <c r="S149" i="2" s="1"/>
  <c r="U69" i="2"/>
  <c r="T69" i="2"/>
  <c r="S69" i="2"/>
  <c r="R69" i="2"/>
  <c r="Q69" i="2"/>
  <c r="P69" i="2"/>
  <c r="O69" i="2"/>
  <c r="N69" i="2"/>
  <c r="S90" i="2"/>
  <c r="S96" i="2" s="1"/>
  <c r="S98" i="2" s="1"/>
  <c r="S75" i="2"/>
  <c r="S82" i="2" s="1"/>
  <c r="T90" i="2"/>
  <c r="T96" i="2" s="1"/>
  <c r="T98" i="2" s="1"/>
  <c r="T75" i="2"/>
  <c r="T82" i="2" s="1"/>
  <c r="M99" i="2"/>
  <c r="L99" i="2"/>
  <c r="K99" i="2"/>
  <c r="J99" i="2"/>
  <c r="I99" i="2"/>
  <c r="H99" i="2"/>
  <c r="G99" i="2"/>
  <c r="F99" i="2"/>
  <c r="E99" i="2"/>
  <c r="D99" i="2"/>
  <c r="C99" i="2"/>
  <c r="U90" i="2"/>
  <c r="U96" i="2" s="1"/>
  <c r="U98" i="2" s="1"/>
  <c r="U75" i="2"/>
  <c r="U82" i="2" s="1"/>
  <c r="T4" i="2"/>
  <c r="Q4" i="2"/>
  <c r="U4" i="2"/>
  <c r="U23" i="2"/>
  <c r="U58" i="2" s="1"/>
  <c r="V35" i="2"/>
  <c r="R20" i="2"/>
  <c r="R16" i="2" s="1"/>
  <c r="R33" i="2"/>
  <c r="R31" i="2"/>
  <c r="R30" i="2"/>
  <c r="R27" i="2"/>
  <c r="R26" i="2"/>
  <c r="R25" i="2"/>
  <c r="R24" i="2"/>
  <c r="R22" i="2"/>
  <c r="R17" i="2" s="1"/>
  <c r="R21" i="2"/>
  <c r="AN28" i="2"/>
  <c r="AN23" i="2"/>
  <c r="AN18" i="2" s="1"/>
  <c r="R90" i="2"/>
  <c r="R96" i="2" s="1"/>
  <c r="R98" i="2" s="1"/>
  <c r="R75" i="2"/>
  <c r="R82" i="2" s="1"/>
  <c r="S28" i="2"/>
  <c r="S23" i="2"/>
  <c r="S18" i="2" s="1"/>
  <c r="P141" i="2"/>
  <c r="Q141" i="2" s="1"/>
  <c r="R141" i="2" s="1"/>
  <c r="P139" i="2"/>
  <c r="P138" i="2"/>
  <c r="P136" i="2"/>
  <c r="Q136" i="2" s="1"/>
  <c r="R136" i="2" s="1"/>
  <c r="P137" i="2"/>
  <c r="P135" i="2"/>
  <c r="Q135" i="2" s="1"/>
  <c r="P132" i="2"/>
  <c r="P129" i="2"/>
  <c r="P155" i="2" s="1"/>
  <c r="P126" i="2"/>
  <c r="P125" i="2"/>
  <c r="Q125" i="2" s="1"/>
  <c r="P124" i="2"/>
  <c r="P123" i="2"/>
  <c r="P122" i="2"/>
  <c r="P121" i="2"/>
  <c r="Q121" i="2" s="1"/>
  <c r="R121" i="2" s="1"/>
  <c r="P120" i="2"/>
  <c r="P119" i="2"/>
  <c r="P118" i="2"/>
  <c r="Q118" i="2" s="1"/>
  <c r="P117" i="2"/>
  <c r="Q117" i="2" s="1"/>
  <c r="P116" i="2"/>
  <c r="P115" i="2"/>
  <c r="Q115" i="2" s="1"/>
  <c r="Q156" i="2" s="1"/>
  <c r="O142" i="2"/>
  <c r="O133" i="2"/>
  <c r="O90" i="2"/>
  <c r="O96" i="2" s="1"/>
  <c r="O98" i="2" s="1"/>
  <c r="O75" i="2"/>
  <c r="O82" i="2" s="1"/>
  <c r="P90" i="2"/>
  <c r="P96" i="2" s="1"/>
  <c r="P98" i="2" s="1"/>
  <c r="P75" i="2"/>
  <c r="P82" i="2" s="1"/>
  <c r="N90" i="2"/>
  <c r="N96" i="2" s="1"/>
  <c r="N98" i="2" s="1"/>
  <c r="N75" i="2"/>
  <c r="N82" i="2" s="1"/>
  <c r="Q90" i="2"/>
  <c r="Q96" i="2" s="1"/>
  <c r="Q98" i="2" s="1"/>
  <c r="Q75" i="2"/>
  <c r="Q82" i="2" s="1"/>
  <c r="Q28" i="2"/>
  <c r="Q23" i="2"/>
  <c r="Q56" i="2" s="1"/>
  <c r="M28" i="2"/>
  <c r="M23" i="2"/>
  <c r="M107" i="2" s="1"/>
  <c r="N33" i="2"/>
  <c r="N31" i="2"/>
  <c r="N30" i="2"/>
  <c r="F28" i="2"/>
  <c r="N27" i="2"/>
  <c r="N26" i="2"/>
  <c r="N25" i="2"/>
  <c r="N24" i="2"/>
  <c r="N22" i="2"/>
  <c r="N17" i="2" s="1"/>
  <c r="N21" i="2"/>
  <c r="N20" i="2"/>
  <c r="AM28" i="2"/>
  <c r="AM23" i="2"/>
  <c r="AM56" i="2" s="1"/>
  <c r="O28" i="2"/>
  <c r="O23" i="2"/>
  <c r="O57" i="2" s="1"/>
  <c r="P28" i="2"/>
  <c r="P23" i="2"/>
  <c r="P56" i="2" s="1"/>
  <c r="M11" i="2"/>
  <c r="AE30" i="2"/>
  <c r="AE28" i="2"/>
  <c r="AE23" i="2"/>
  <c r="AE58" i="2" s="1"/>
  <c r="AF30" i="2"/>
  <c r="AF28" i="2"/>
  <c r="AF23" i="2"/>
  <c r="AF18" i="2" s="1"/>
  <c r="AG30" i="2"/>
  <c r="AG28" i="2"/>
  <c r="AG23" i="2"/>
  <c r="AG17" i="2" s="1"/>
  <c r="AH30" i="2"/>
  <c r="AH28" i="2"/>
  <c r="AH23" i="2"/>
  <c r="AH18" i="2" s="1"/>
  <c r="AI28" i="2"/>
  <c r="AI23" i="2"/>
  <c r="AI18" i="2" s="1"/>
  <c r="AI3" i="2"/>
  <c r="AH3" i="2" s="1"/>
  <c r="AG3" i="2" s="1"/>
  <c r="AF3" i="2" s="1"/>
  <c r="AE3" i="2" s="1"/>
  <c r="AD3" i="2" s="1"/>
  <c r="AK4" i="2"/>
  <c r="AL4" i="2"/>
  <c r="AM3" i="2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K7" i="2"/>
  <c r="K17" i="2" s="1"/>
  <c r="J7" i="2"/>
  <c r="AL7" i="2" s="1"/>
  <c r="AL17" i="2" s="1"/>
  <c r="I7" i="2"/>
  <c r="I17" i="2" s="1"/>
  <c r="H7" i="2"/>
  <c r="H17" i="2" s="1"/>
  <c r="G7" i="2"/>
  <c r="G17" i="2" s="1"/>
  <c r="F7" i="2"/>
  <c r="E7" i="2"/>
  <c r="E17" i="2" s="1"/>
  <c r="L7" i="2"/>
  <c r="L17" i="2" s="1"/>
  <c r="F23" i="2"/>
  <c r="F50" i="2" s="1"/>
  <c r="J33" i="2"/>
  <c r="J30" i="2"/>
  <c r="J27" i="2"/>
  <c r="J49" i="2" s="1"/>
  <c r="J26" i="2"/>
  <c r="J48" i="2" s="1"/>
  <c r="J25" i="2"/>
  <c r="J47" i="2" s="1"/>
  <c r="J24" i="2"/>
  <c r="J46" i="2" s="1"/>
  <c r="J22" i="2"/>
  <c r="J21" i="2"/>
  <c r="J20" i="2"/>
  <c r="J16" i="2" s="1"/>
  <c r="AJ28" i="2"/>
  <c r="AJ23" i="2"/>
  <c r="AJ45" i="2" s="1"/>
  <c r="AK28" i="2"/>
  <c r="AK23" i="2"/>
  <c r="AK58" i="2" s="1"/>
  <c r="AL28" i="2"/>
  <c r="AL23" i="2"/>
  <c r="AL57" i="2" s="1"/>
  <c r="C28" i="2"/>
  <c r="C23" i="2"/>
  <c r="C50" i="2" s="1"/>
  <c r="D28" i="2"/>
  <c r="D23" i="2"/>
  <c r="D50" i="2" s="1"/>
  <c r="E28" i="2"/>
  <c r="E23" i="2"/>
  <c r="E50" i="2" s="1"/>
  <c r="I28" i="2"/>
  <c r="I23" i="2"/>
  <c r="I50" i="2" s="1"/>
  <c r="G28" i="2"/>
  <c r="G23" i="2"/>
  <c r="G50" i="2" s="1"/>
  <c r="K28" i="2"/>
  <c r="K23" i="2"/>
  <c r="K50" i="2" s="1"/>
  <c r="H28" i="2"/>
  <c r="H23" i="2"/>
  <c r="H50" i="2" s="1"/>
  <c r="L28" i="2"/>
  <c r="L23" i="2"/>
  <c r="L18" i="2" s="1"/>
  <c r="J8" i="1"/>
  <c r="J102" i="2" l="1"/>
  <c r="AN16" i="2"/>
  <c r="E18" i="2"/>
  <c r="H18" i="2"/>
  <c r="Q18" i="2"/>
  <c r="J17" i="2"/>
  <c r="W18" i="2"/>
  <c r="AK18" i="2"/>
  <c r="T11" i="2"/>
  <c r="AO16" i="2"/>
  <c r="AL16" i="2"/>
  <c r="AN10" i="2"/>
  <c r="X11" i="2"/>
  <c r="K18" i="2"/>
  <c r="AO17" i="2"/>
  <c r="I102" i="2"/>
  <c r="V103" i="2"/>
  <c r="V104" i="2" s="1"/>
  <c r="AO9" i="2"/>
  <c r="M18" i="2"/>
  <c r="AG18" i="2"/>
  <c r="AO18" i="2"/>
  <c r="AP18" i="2" s="1"/>
  <c r="AP23" i="2" s="1"/>
  <c r="AN9" i="2"/>
  <c r="O18" i="2"/>
  <c r="D106" i="2"/>
  <c r="W103" i="2"/>
  <c r="W104" i="2" s="1"/>
  <c r="AM16" i="2"/>
  <c r="F18" i="2"/>
  <c r="P18" i="2"/>
  <c r="G18" i="2"/>
  <c r="AJ18" i="2"/>
  <c r="I18" i="2"/>
  <c r="U18" i="2"/>
  <c r="AL18" i="2"/>
  <c r="AR5" i="2"/>
  <c r="AS5" i="2" s="1"/>
  <c r="AT5" i="2" s="1"/>
  <c r="AU5" i="2" s="1"/>
  <c r="AV5" i="2" s="1"/>
  <c r="AW5" i="2" s="1"/>
  <c r="AX5" i="2" s="1"/>
  <c r="AY5" i="2" s="1"/>
  <c r="AY4" i="2" s="1"/>
  <c r="AQ4" i="2"/>
  <c r="AQ18" i="2"/>
  <c r="AR18" i="2" s="1"/>
  <c r="AS18" i="2" s="1"/>
  <c r="AT18" i="2" s="1"/>
  <c r="AU18" i="2" s="1"/>
  <c r="AV18" i="2" s="1"/>
  <c r="AW18" i="2" s="1"/>
  <c r="AX18" i="2" s="1"/>
  <c r="AY18" i="2" s="1"/>
  <c r="AS4" i="2"/>
  <c r="AR4" i="2"/>
  <c r="AT4" i="2"/>
  <c r="AU4" i="2"/>
  <c r="F101" i="2"/>
  <c r="W50" i="2"/>
  <c r="W56" i="2"/>
  <c r="W55" i="2"/>
  <c r="W57" i="2"/>
  <c r="W107" i="2"/>
  <c r="C106" i="2"/>
  <c r="K106" i="2"/>
  <c r="V105" i="2"/>
  <c r="W106" i="2"/>
  <c r="V106" i="2"/>
  <c r="O157" i="2"/>
  <c r="W45" i="2"/>
  <c r="W105" i="2"/>
  <c r="F106" i="2"/>
  <c r="L106" i="2"/>
  <c r="E106" i="2"/>
  <c r="W29" i="2"/>
  <c r="V23" i="2"/>
  <c r="AO45" i="2"/>
  <c r="S157" i="2"/>
  <c r="AH45" i="2"/>
  <c r="AI45" i="2"/>
  <c r="V49" i="2"/>
  <c r="AK55" i="2"/>
  <c r="P100" i="2"/>
  <c r="U157" i="2"/>
  <c r="AG55" i="2"/>
  <c r="AF56" i="2"/>
  <c r="AN56" i="2"/>
  <c r="AM57" i="2"/>
  <c r="AL58" i="2"/>
  <c r="AK45" i="2"/>
  <c r="AH50" i="2"/>
  <c r="AH55" i="2"/>
  <c r="AG56" i="2"/>
  <c r="AF57" i="2"/>
  <c r="AN57" i="2"/>
  <c r="AM58" i="2"/>
  <c r="AL45" i="2"/>
  <c r="AI50" i="2"/>
  <c r="AI55" i="2"/>
  <c r="AH56" i="2"/>
  <c r="AG57" i="2"/>
  <c r="AF58" i="2"/>
  <c r="AN58" i="2"/>
  <c r="AM45" i="2"/>
  <c r="AJ50" i="2"/>
  <c r="AE55" i="2"/>
  <c r="AJ55" i="2"/>
  <c r="AI56" i="2"/>
  <c r="AH57" i="2"/>
  <c r="AG58" i="2"/>
  <c r="AF45" i="2"/>
  <c r="AF50" i="2"/>
  <c r="AK50" i="2"/>
  <c r="T156" i="2"/>
  <c r="AE56" i="2"/>
  <c r="AJ56" i="2"/>
  <c r="AI57" i="2"/>
  <c r="AH58" i="2"/>
  <c r="AG45" i="2"/>
  <c r="AL50" i="2"/>
  <c r="AE57" i="2"/>
  <c r="AL55" i="2"/>
  <c r="AK56" i="2"/>
  <c r="AJ57" i="2"/>
  <c r="AI58" i="2"/>
  <c r="AE50" i="2"/>
  <c r="AM50" i="2"/>
  <c r="T155" i="2"/>
  <c r="AM55" i="2"/>
  <c r="AL56" i="2"/>
  <c r="AK57" i="2"/>
  <c r="AJ58" i="2"/>
  <c r="AN45" i="2"/>
  <c r="AN50" i="2"/>
  <c r="AF55" i="2"/>
  <c r="AN55" i="2"/>
  <c r="AG50" i="2"/>
  <c r="P156" i="2"/>
  <c r="P157" i="2" s="1"/>
  <c r="J11" i="1"/>
  <c r="S56" i="2"/>
  <c r="C55" i="2"/>
  <c r="G55" i="2"/>
  <c r="U55" i="2"/>
  <c r="F56" i="2"/>
  <c r="U56" i="2"/>
  <c r="G58" i="2"/>
  <c r="P57" i="2"/>
  <c r="D55" i="2"/>
  <c r="K56" i="2"/>
  <c r="Q57" i="2"/>
  <c r="F55" i="2"/>
  <c r="L56" i="2"/>
  <c r="F58" i="2"/>
  <c r="I58" i="2"/>
  <c r="L55" i="2"/>
  <c r="P55" i="2"/>
  <c r="H57" i="2"/>
  <c r="P58" i="2"/>
  <c r="I57" i="2"/>
  <c r="D56" i="2"/>
  <c r="L57" i="2"/>
  <c r="O58" i="2"/>
  <c r="M55" i="2"/>
  <c r="H58" i="2"/>
  <c r="Q58" i="2"/>
  <c r="E56" i="2"/>
  <c r="H55" i="2"/>
  <c r="C56" i="2"/>
  <c r="I55" i="2"/>
  <c r="Q55" i="2"/>
  <c r="G56" i="2"/>
  <c r="O56" i="2"/>
  <c r="E57" i="2"/>
  <c r="M57" i="2"/>
  <c r="U57" i="2"/>
  <c r="K58" i="2"/>
  <c r="S58" i="2"/>
  <c r="O55" i="2"/>
  <c r="M56" i="2"/>
  <c r="K57" i="2"/>
  <c r="S57" i="2"/>
  <c r="C57" i="2"/>
  <c r="H56" i="2"/>
  <c r="F57" i="2"/>
  <c r="D58" i="2"/>
  <c r="L58" i="2"/>
  <c r="E55" i="2"/>
  <c r="D57" i="2"/>
  <c r="C58" i="2"/>
  <c r="K55" i="2"/>
  <c r="S55" i="2"/>
  <c r="I56" i="2"/>
  <c r="G57" i="2"/>
  <c r="E58" i="2"/>
  <c r="M58" i="2"/>
  <c r="N48" i="2"/>
  <c r="N42" i="2"/>
  <c r="R43" i="2"/>
  <c r="R49" i="2"/>
  <c r="R42" i="2"/>
  <c r="R47" i="2"/>
  <c r="N43" i="2"/>
  <c r="R44" i="2"/>
  <c r="R46" i="2"/>
  <c r="K103" i="2"/>
  <c r="K104" i="2" s="1"/>
  <c r="O45" i="2"/>
  <c r="U45" i="2"/>
  <c r="N46" i="2"/>
  <c r="N47" i="2"/>
  <c r="R48" i="2"/>
  <c r="N49" i="2"/>
  <c r="P103" i="2"/>
  <c r="P104" i="2" s="1"/>
  <c r="M45" i="2"/>
  <c r="J103" i="2"/>
  <c r="J104" i="2" s="1"/>
  <c r="J43" i="2"/>
  <c r="G45" i="2"/>
  <c r="J42" i="2"/>
  <c r="N44" i="2"/>
  <c r="P45" i="2"/>
  <c r="I45" i="2"/>
  <c r="Q45" i="2"/>
  <c r="U11" i="2"/>
  <c r="N103" i="2"/>
  <c r="H45" i="2"/>
  <c r="R11" i="2"/>
  <c r="Q11" i="2"/>
  <c r="O103" i="2"/>
  <c r="O104" i="2" s="1"/>
  <c r="K45" i="2"/>
  <c r="S45" i="2"/>
  <c r="J44" i="2"/>
  <c r="L45" i="2"/>
  <c r="F103" i="2"/>
  <c r="F104" i="2" s="1"/>
  <c r="P107" i="2"/>
  <c r="G103" i="2"/>
  <c r="G104" i="2" s="1"/>
  <c r="H103" i="2"/>
  <c r="H104" i="2" s="1"/>
  <c r="I103" i="2"/>
  <c r="I104" i="2" s="1"/>
  <c r="Q103" i="2"/>
  <c r="Q104" i="2" s="1"/>
  <c r="R103" i="2"/>
  <c r="R104" i="2" s="1"/>
  <c r="C103" i="2"/>
  <c r="C104" i="2" s="1"/>
  <c r="S103" i="2"/>
  <c r="S104" i="2" s="1"/>
  <c r="U105" i="2"/>
  <c r="D103" i="2"/>
  <c r="D104" i="2" s="1"/>
  <c r="L103" i="2"/>
  <c r="L104" i="2" s="1"/>
  <c r="T103" i="2"/>
  <c r="T104" i="2" s="1"/>
  <c r="E103" i="2"/>
  <c r="E104" i="2" s="1"/>
  <c r="M103" i="2"/>
  <c r="M104" i="2" s="1"/>
  <c r="U103" i="2"/>
  <c r="U104" i="2" s="1"/>
  <c r="N11" i="2"/>
  <c r="Q107" i="2"/>
  <c r="S106" i="2"/>
  <c r="N106" i="2"/>
  <c r="U106" i="2"/>
  <c r="I107" i="2"/>
  <c r="N105" i="2"/>
  <c r="S105" i="2"/>
  <c r="Q106" i="2"/>
  <c r="F107" i="2"/>
  <c r="T105" i="2"/>
  <c r="R106" i="2"/>
  <c r="G107" i="2"/>
  <c r="O107" i="2"/>
  <c r="H107" i="2"/>
  <c r="T106" i="2"/>
  <c r="S107" i="2"/>
  <c r="P105" i="2"/>
  <c r="C107" i="2"/>
  <c r="K107" i="2"/>
  <c r="Q105" i="2"/>
  <c r="O106" i="2"/>
  <c r="D107" i="2"/>
  <c r="L107" i="2"/>
  <c r="O105" i="2"/>
  <c r="R105" i="2"/>
  <c r="P106" i="2"/>
  <c r="E107" i="2"/>
  <c r="U107" i="2"/>
  <c r="R135" i="2"/>
  <c r="Q132" i="2"/>
  <c r="R132" i="2" s="1"/>
  <c r="Q120" i="2"/>
  <c r="R120" i="2" s="1"/>
  <c r="Q123" i="2"/>
  <c r="R123" i="2" s="1"/>
  <c r="R115" i="2"/>
  <c r="R156" i="2" s="1"/>
  <c r="S144" i="2"/>
  <c r="Q137" i="2"/>
  <c r="R137" i="2" s="1"/>
  <c r="Q122" i="2"/>
  <c r="R122" i="2" s="1"/>
  <c r="U122" i="2" s="1"/>
  <c r="U127" i="2" s="1"/>
  <c r="R118" i="2"/>
  <c r="Q126" i="2"/>
  <c r="R126" i="2" s="1"/>
  <c r="Q116" i="2"/>
  <c r="R116" i="2" s="1"/>
  <c r="Q124" i="2"/>
  <c r="R124" i="2" s="1"/>
  <c r="Q138" i="2"/>
  <c r="R138" i="2" s="1"/>
  <c r="R117" i="2"/>
  <c r="R125" i="2"/>
  <c r="Q119" i="2"/>
  <c r="R119" i="2" s="1"/>
  <c r="Q129" i="2"/>
  <c r="Q155" i="2" s="1"/>
  <c r="Q157" i="2" s="1"/>
  <c r="Q139" i="2"/>
  <c r="T142" i="2"/>
  <c r="T133" i="2"/>
  <c r="T127" i="2"/>
  <c r="T149" i="2" s="1"/>
  <c r="U142" i="2"/>
  <c r="U133" i="2"/>
  <c r="AJ17" i="2"/>
  <c r="AK17" i="2"/>
  <c r="U99" i="2"/>
  <c r="U50" i="2"/>
  <c r="R99" i="2"/>
  <c r="N99" i="2"/>
  <c r="R23" i="2"/>
  <c r="T99" i="2"/>
  <c r="P99" i="2"/>
  <c r="Q99" i="2"/>
  <c r="S50" i="2"/>
  <c r="R28" i="2"/>
  <c r="S99" i="2"/>
  <c r="AN29" i="2"/>
  <c r="AN32" i="2" s="1"/>
  <c r="AN52" i="2" s="1"/>
  <c r="S29" i="2"/>
  <c r="S108" i="2" s="1"/>
  <c r="S109" i="2" s="1"/>
  <c r="P142" i="2"/>
  <c r="Q50" i="2"/>
  <c r="P133" i="2"/>
  <c r="O50" i="2"/>
  <c r="P50" i="2"/>
  <c r="Q29" i="2"/>
  <c r="N28" i="2"/>
  <c r="M29" i="2"/>
  <c r="M108" i="2" s="1"/>
  <c r="M109" i="2" s="1"/>
  <c r="N23" i="2"/>
  <c r="AM29" i="2"/>
  <c r="O29" i="2"/>
  <c r="AH17" i="2"/>
  <c r="P29" i="2"/>
  <c r="P108" i="2" s="1"/>
  <c r="P109" i="2" s="1"/>
  <c r="AI17" i="2"/>
  <c r="AE29" i="2"/>
  <c r="AE51" i="2" s="1"/>
  <c r="AF29" i="2"/>
  <c r="AF51" i="2" s="1"/>
  <c r="AG29" i="2"/>
  <c r="AG51" i="2" s="1"/>
  <c r="AH29" i="2"/>
  <c r="AH51" i="2" s="1"/>
  <c r="AI29" i="2"/>
  <c r="AI51" i="2" s="1"/>
  <c r="F29" i="2"/>
  <c r="F108" i="2" s="1"/>
  <c r="F109" i="2" s="1"/>
  <c r="J28" i="2"/>
  <c r="J23" i="2"/>
  <c r="L50" i="2"/>
  <c r="AJ29" i="2"/>
  <c r="AK29" i="2"/>
  <c r="AL29" i="2"/>
  <c r="C29" i="2"/>
  <c r="D29" i="2"/>
  <c r="E29" i="2"/>
  <c r="I29" i="2"/>
  <c r="G29" i="2"/>
  <c r="K29" i="2"/>
  <c r="L29" i="2"/>
  <c r="H29" i="2"/>
  <c r="AX4" i="2" l="1"/>
  <c r="AW4" i="2"/>
  <c r="AV4" i="2"/>
  <c r="V107" i="2"/>
  <c r="V18" i="2"/>
  <c r="AS23" i="2"/>
  <c r="AS1" i="2"/>
  <c r="N58" i="2"/>
  <c r="P64" i="2" s="1"/>
  <c r="N18" i="2"/>
  <c r="AW23" i="2"/>
  <c r="AW1" i="2"/>
  <c r="R55" i="2"/>
  <c r="R18" i="2"/>
  <c r="AV23" i="2"/>
  <c r="AV1" i="2"/>
  <c r="AY23" i="2"/>
  <c r="AY1" i="2"/>
  <c r="AU23" i="2"/>
  <c r="AU1" i="2"/>
  <c r="J58" i="2"/>
  <c r="L64" i="2" s="1"/>
  <c r="J18" i="2"/>
  <c r="AX23" i="2"/>
  <c r="AX1" i="2"/>
  <c r="AT23" i="2"/>
  <c r="AT1" i="2"/>
  <c r="AQ23" i="2"/>
  <c r="AQ1" i="2"/>
  <c r="AR23" i="2"/>
  <c r="AR1" i="2"/>
  <c r="J14" i="1"/>
  <c r="AI62" i="2"/>
  <c r="AI61" i="2"/>
  <c r="W32" i="2"/>
  <c r="W34" i="2" s="1"/>
  <c r="W38" i="2"/>
  <c r="W108" i="2"/>
  <c r="W109" i="2" s="1"/>
  <c r="W51" i="2"/>
  <c r="AH62" i="2"/>
  <c r="AH61" i="2"/>
  <c r="AH63" i="2"/>
  <c r="AN61" i="2"/>
  <c r="AK64" i="2"/>
  <c r="AI63" i="2"/>
  <c r="AJ62" i="2"/>
  <c r="AN63" i="2"/>
  <c r="AN62" i="2"/>
  <c r="AM61" i="2"/>
  <c r="AL61" i="2"/>
  <c r="AJ64" i="2"/>
  <c r="AI64" i="2"/>
  <c r="AH64" i="2"/>
  <c r="AL64" i="2"/>
  <c r="AL63" i="2"/>
  <c r="AK63" i="2"/>
  <c r="AJ63" i="2"/>
  <c r="AJ61" i="2"/>
  <c r="K64" i="2"/>
  <c r="AM64" i="2"/>
  <c r="AM63" i="2"/>
  <c r="AM62" i="2"/>
  <c r="AL62" i="2"/>
  <c r="AK62" i="2"/>
  <c r="AK61" i="2"/>
  <c r="AN64" i="2"/>
  <c r="G63" i="2"/>
  <c r="F62" i="2"/>
  <c r="H61" i="2"/>
  <c r="I62" i="2"/>
  <c r="AJ38" i="2"/>
  <c r="AJ51" i="2"/>
  <c r="M64" i="2"/>
  <c r="O64" i="2"/>
  <c r="G64" i="2"/>
  <c r="I64" i="2"/>
  <c r="I63" i="2"/>
  <c r="G62" i="2"/>
  <c r="AN34" i="2"/>
  <c r="AN36" i="2" s="1"/>
  <c r="AN51" i="2"/>
  <c r="R61" i="2"/>
  <c r="AL38" i="2"/>
  <c r="AL51" i="2"/>
  <c r="F63" i="2"/>
  <c r="H62" i="2"/>
  <c r="T157" i="2"/>
  <c r="H64" i="2"/>
  <c r="AM38" i="2"/>
  <c r="AM51" i="2"/>
  <c r="AK38" i="2"/>
  <c r="AK51" i="2"/>
  <c r="F64" i="2"/>
  <c r="H63" i="2"/>
  <c r="I61" i="2"/>
  <c r="F61" i="2"/>
  <c r="S61" i="2"/>
  <c r="G61" i="2"/>
  <c r="N56" i="2"/>
  <c r="Q62" i="2" s="1"/>
  <c r="J55" i="2"/>
  <c r="M61" i="2" s="1"/>
  <c r="N55" i="2"/>
  <c r="Q61" i="2" s="1"/>
  <c r="J45" i="2"/>
  <c r="J56" i="2"/>
  <c r="M62" i="2" s="1"/>
  <c r="R58" i="2"/>
  <c r="R64" i="2" s="1"/>
  <c r="R57" i="2"/>
  <c r="S63" i="2" s="1"/>
  <c r="R56" i="2"/>
  <c r="J57" i="2"/>
  <c r="M63" i="2" s="1"/>
  <c r="N57" i="2"/>
  <c r="Q63" i="2" s="1"/>
  <c r="R107" i="2"/>
  <c r="R45" i="2"/>
  <c r="N45" i="2"/>
  <c r="E38" i="2"/>
  <c r="E108" i="2"/>
  <c r="E109" i="2" s="1"/>
  <c r="O38" i="2"/>
  <c r="O108" i="2"/>
  <c r="O109" i="2" s="1"/>
  <c r="K38" i="2"/>
  <c r="K108" i="2"/>
  <c r="K109" i="2" s="1"/>
  <c r="I38" i="2"/>
  <c r="I108" i="2"/>
  <c r="I109" i="2" s="1"/>
  <c r="H38" i="2"/>
  <c r="H108" i="2"/>
  <c r="H109" i="2" s="1"/>
  <c r="D38" i="2"/>
  <c r="D108" i="2"/>
  <c r="D109" i="2" s="1"/>
  <c r="Q38" i="2"/>
  <c r="Q108" i="2"/>
  <c r="Q109" i="2" s="1"/>
  <c r="L38" i="2"/>
  <c r="L108" i="2"/>
  <c r="L109" i="2" s="1"/>
  <c r="C38" i="2"/>
  <c r="C108" i="2"/>
  <c r="C109" i="2" s="1"/>
  <c r="G38" i="2"/>
  <c r="G108" i="2"/>
  <c r="G109" i="2" s="1"/>
  <c r="J107" i="2"/>
  <c r="N107" i="2"/>
  <c r="Q133" i="2"/>
  <c r="Q142" i="2"/>
  <c r="R139" i="2"/>
  <c r="R142" i="2" s="1"/>
  <c r="R129" i="2"/>
  <c r="U149" i="2"/>
  <c r="T144" i="2"/>
  <c r="U144" i="2"/>
  <c r="R29" i="2"/>
  <c r="S38" i="2"/>
  <c r="S51" i="2"/>
  <c r="S32" i="2"/>
  <c r="S34" i="2" s="1"/>
  <c r="S150" i="2" s="1"/>
  <c r="AG32" i="2"/>
  <c r="AG38" i="2"/>
  <c r="M32" i="2"/>
  <c r="M34" i="2" s="1"/>
  <c r="M38" i="2"/>
  <c r="AF32" i="2"/>
  <c r="AF38" i="2"/>
  <c r="P51" i="2"/>
  <c r="P38" i="2"/>
  <c r="F32" i="2"/>
  <c r="F34" i="2" s="1"/>
  <c r="F150" i="2" s="1"/>
  <c r="F38" i="2"/>
  <c r="AE32" i="2"/>
  <c r="AE34" i="2" s="1"/>
  <c r="AE36" i="2" s="1"/>
  <c r="AE38" i="2"/>
  <c r="AI32" i="2"/>
  <c r="AI38" i="2"/>
  <c r="AH32" i="2"/>
  <c r="AH38" i="2"/>
  <c r="Q32" i="2"/>
  <c r="Q34" i="2" s="1"/>
  <c r="Q51" i="2"/>
  <c r="O32" i="2"/>
  <c r="O34" i="2" s="1"/>
  <c r="O51" i="2"/>
  <c r="N29" i="2"/>
  <c r="AM32" i="2"/>
  <c r="P32" i="2"/>
  <c r="P34" i="2" s="1"/>
  <c r="F51" i="2"/>
  <c r="G32" i="2"/>
  <c r="G34" i="2" s="1"/>
  <c r="G150" i="2" s="1"/>
  <c r="G51" i="2"/>
  <c r="AJ32" i="2"/>
  <c r="J50" i="2"/>
  <c r="I32" i="2"/>
  <c r="I34" i="2" s="1"/>
  <c r="I150" i="2" s="1"/>
  <c r="I51" i="2"/>
  <c r="H32" i="2"/>
  <c r="H34" i="2" s="1"/>
  <c r="H150" i="2" s="1"/>
  <c r="H51" i="2"/>
  <c r="L32" i="2"/>
  <c r="L34" i="2" s="1"/>
  <c r="L150" i="2" s="1"/>
  <c r="L51" i="2"/>
  <c r="K32" i="2"/>
  <c r="K51" i="2"/>
  <c r="AK32" i="2"/>
  <c r="E32" i="2"/>
  <c r="E34" i="2" s="1"/>
  <c r="E150" i="2" s="1"/>
  <c r="E51" i="2"/>
  <c r="D32" i="2"/>
  <c r="D34" i="2" s="1"/>
  <c r="D150" i="2" s="1"/>
  <c r="D51" i="2"/>
  <c r="C32" i="2"/>
  <c r="C34" i="2" s="1"/>
  <c r="C150" i="2" s="1"/>
  <c r="C51" i="2"/>
  <c r="AL32" i="2"/>
  <c r="AL52" i="2" s="1"/>
  <c r="J29" i="2"/>
  <c r="J108" i="2" s="1"/>
  <c r="J109" i="2" s="1"/>
  <c r="J64" i="2" l="1"/>
  <c r="Q64" i="2"/>
  <c r="N64" i="2"/>
  <c r="W36" i="2"/>
  <c r="W150" i="2"/>
  <c r="N62" i="2"/>
  <c r="K63" i="2"/>
  <c r="O62" i="2"/>
  <c r="AJ34" i="2"/>
  <c r="AJ36" i="2" s="1"/>
  <c r="AJ52" i="2"/>
  <c r="S64" i="2"/>
  <c r="AH34" i="2"/>
  <c r="AH36" i="2" s="1"/>
  <c r="AH52" i="2"/>
  <c r="AI34" i="2"/>
  <c r="AI36" i="2" s="1"/>
  <c r="AI52" i="2"/>
  <c r="AM34" i="2"/>
  <c r="AM36" i="2" s="1"/>
  <c r="AM52" i="2"/>
  <c r="AF34" i="2"/>
  <c r="AF36" i="2" s="1"/>
  <c r="AF52" i="2"/>
  <c r="AK34" i="2"/>
  <c r="AK36" i="2" s="1"/>
  <c r="AK52" i="2"/>
  <c r="AG34" i="2"/>
  <c r="AG36" i="2" s="1"/>
  <c r="AG52" i="2"/>
  <c r="N63" i="2"/>
  <c r="J62" i="2"/>
  <c r="O63" i="2"/>
  <c r="J63" i="2"/>
  <c r="S62" i="2"/>
  <c r="P62" i="2"/>
  <c r="K62" i="2"/>
  <c r="P63" i="2"/>
  <c r="R62" i="2"/>
  <c r="L62" i="2"/>
  <c r="R133" i="2"/>
  <c r="R155" i="2"/>
  <c r="R157" i="2" s="1"/>
  <c r="R63" i="2"/>
  <c r="L63" i="2"/>
  <c r="L61" i="2"/>
  <c r="O61" i="2"/>
  <c r="J61" i="2"/>
  <c r="N61" i="2"/>
  <c r="P61" i="2"/>
  <c r="K61" i="2"/>
  <c r="R32" i="2"/>
  <c r="R34" i="2" s="1"/>
  <c r="R113" i="2" s="1"/>
  <c r="R108" i="2"/>
  <c r="R109" i="2" s="1"/>
  <c r="N38" i="2"/>
  <c r="N108" i="2"/>
  <c r="N109" i="2" s="1"/>
  <c r="M113" i="2"/>
  <c r="M150" i="2"/>
  <c r="Q113" i="2"/>
  <c r="Q150" i="2"/>
  <c r="P113" i="2"/>
  <c r="P150" i="2"/>
  <c r="O113" i="2"/>
  <c r="O150" i="2"/>
  <c r="G36" i="2"/>
  <c r="G113" i="2"/>
  <c r="H36" i="2"/>
  <c r="H113" i="2"/>
  <c r="C36" i="2"/>
  <c r="C113" i="2"/>
  <c r="E36" i="2"/>
  <c r="E113" i="2"/>
  <c r="I36" i="2"/>
  <c r="I113" i="2"/>
  <c r="F36" i="2"/>
  <c r="F113" i="2"/>
  <c r="D36" i="2"/>
  <c r="D113" i="2"/>
  <c r="L36" i="2"/>
  <c r="L113" i="2"/>
  <c r="S36" i="2"/>
  <c r="S113" i="2"/>
  <c r="U28" i="2"/>
  <c r="U29" i="2" s="1"/>
  <c r="U32" i="2" s="1"/>
  <c r="J51" i="2"/>
  <c r="J38" i="2"/>
  <c r="O36" i="2"/>
  <c r="O114" i="2"/>
  <c r="P36" i="2"/>
  <c r="P114" i="2"/>
  <c r="P127" i="2" s="1"/>
  <c r="Q36" i="2"/>
  <c r="N32" i="2"/>
  <c r="M36" i="2"/>
  <c r="M50" i="2"/>
  <c r="N50" i="2"/>
  <c r="K34" i="2"/>
  <c r="K150" i="2" s="1"/>
  <c r="J32" i="2"/>
  <c r="AL34" i="2"/>
  <c r="R150" i="2" l="1"/>
  <c r="R152" i="2" s="1"/>
  <c r="R36" i="2"/>
  <c r="U51" i="2"/>
  <c r="U108" i="2"/>
  <c r="U109" i="2" s="1"/>
  <c r="O127" i="2"/>
  <c r="Q114" i="2"/>
  <c r="Q127" i="2" s="1"/>
  <c r="P144" i="2"/>
  <c r="P149" i="2"/>
  <c r="N34" i="2"/>
  <c r="K113" i="2"/>
  <c r="U38" i="2"/>
  <c r="K36" i="2"/>
  <c r="N36" i="2" s="1"/>
  <c r="N51" i="2"/>
  <c r="AL36" i="2"/>
  <c r="J34" i="2"/>
  <c r="J150" i="2" s="1"/>
  <c r="R114" i="2" l="1"/>
  <c r="R127" i="2" s="1"/>
  <c r="S152" i="2"/>
  <c r="N113" i="2"/>
  <c r="N150" i="2"/>
  <c r="R149" i="2"/>
  <c r="R144" i="2"/>
  <c r="Q144" i="2"/>
  <c r="Q149" i="2"/>
  <c r="O144" i="2"/>
  <c r="O146" i="2" s="1"/>
  <c r="P145" i="2" s="1"/>
  <c r="P146" i="2" s="1"/>
  <c r="O149" i="2"/>
  <c r="N35" i="2"/>
  <c r="N104" i="2" s="1"/>
  <c r="J36" i="2"/>
  <c r="J113" i="2"/>
  <c r="M51" i="2"/>
  <c r="J18" i="1" l="1"/>
  <c r="U151" i="2"/>
  <c r="R151" i="2"/>
  <c r="R153" i="2" s="1"/>
  <c r="T151" i="2"/>
  <c r="S151" i="2"/>
  <c r="S153" i="2" s="1"/>
  <c r="Q145" i="2"/>
  <c r="Q146" i="2" s="1"/>
  <c r="R145" i="2" s="1"/>
  <c r="R146" i="2" s="1"/>
  <c r="S145" i="2" s="1"/>
  <c r="S146" i="2" s="1"/>
  <c r="T145" i="2" s="1"/>
  <c r="T146" i="2" s="1"/>
  <c r="U145" i="2" s="1"/>
  <c r="U146" i="2" s="1"/>
  <c r="AN38" i="2" l="1"/>
  <c r="AP35" i="2" l="1"/>
  <c r="AQ35" i="2" s="1"/>
  <c r="AR35" i="2" s="1"/>
  <c r="AS35" i="2" s="1"/>
  <c r="AT35" i="2" s="1"/>
  <c r="AU35" i="2" s="1"/>
  <c r="AV35" i="2" s="1"/>
  <c r="AW35" i="2" s="1"/>
  <c r="AX35" i="2" s="1"/>
  <c r="AY35" i="2" s="1"/>
  <c r="K9" i="1" l="1"/>
  <c r="K10" i="1" s="1"/>
  <c r="R50" i="2" l="1"/>
  <c r="V45" i="2" l="1"/>
  <c r="V58" i="2"/>
  <c r="R51" i="2"/>
  <c r="R38" i="2"/>
  <c r="U34" i="2" l="1"/>
  <c r="U150" i="2" s="1"/>
  <c r="T23" i="2"/>
  <c r="T18" i="2" s="1"/>
  <c r="T57" i="2" l="1"/>
  <c r="T58" i="2"/>
  <c r="T55" i="2"/>
  <c r="T56" i="2"/>
  <c r="T107" i="2"/>
  <c r="T45" i="2"/>
  <c r="U36" i="2"/>
  <c r="U113" i="2"/>
  <c r="T50" i="2"/>
  <c r="V64" i="2" l="1"/>
  <c r="W64" i="2"/>
  <c r="U62" i="2"/>
  <c r="T62" i="2"/>
  <c r="T64" i="2"/>
  <c r="U64" i="2"/>
  <c r="T63" i="2"/>
  <c r="U63" i="2"/>
  <c r="T61" i="2"/>
  <c r="U61" i="2"/>
  <c r="T28" i="2"/>
  <c r="T29" i="2" s="1"/>
  <c r="T51" i="2" l="1"/>
  <c r="T108" i="2"/>
  <c r="T109" i="2" s="1"/>
  <c r="T32" i="2"/>
  <c r="T38" i="2"/>
  <c r="T34" i="2" l="1"/>
  <c r="T150" i="2" s="1"/>
  <c r="V44" i="2"/>
  <c r="V42" i="2"/>
  <c r="V43" i="2"/>
  <c r="AO58" i="2" l="1"/>
  <c r="AO64" i="2" s="1"/>
  <c r="U152" i="2"/>
  <c r="U153" i="2" s="1"/>
  <c r="T152" i="2"/>
  <c r="T153" i="2" s="1"/>
  <c r="AO57" i="2"/>
  <c r="AO63" i="2" s="1"/>
  <c r="V48" i="2"/>
  <c r="V57" i="2"/>
  <c r="V55" i="2"/>
  <c r="V46" i="2"/>
  <c r="V50" i="2"/>
  <c r="V56" i="2"/>
  <c r="V47" i="2"/>
  <c r="AO55" i="2"/>
  <c r="AO61" i="2" s="1"/>
  <c r="T36" i="2"/>
  <c r="T113" i="2"/>
  <c r="AO56" i="2"/>
  <c r="AO62" i="2" s="1"/>
  <c r="V28" i="2"/>
  <c r="V61" i="2" l="1"/>
  <c r="W61" i="2"/>
  <c r="V63" i="2"/>
  <c r="W63" i="2"/>
  <c r="V62" i="2"/>
  <c r="W62" i="2"/>
  <c r="V29" i="2"/>
  <c r="V32" i="2" s="1"/>
  <c r="V34" i="2" s="1"/>
  <c r="AO28" i="2"/>
  <c r="AO29" i="2" s="1"/>
  <c r="V51" i="2" l="1"/>
  <c r="V108" i="2"/>
  <c r="V109" i="2" s="1"/>
  <c r="V38" i="2"/>
  <c r="AO32" i="2"/>
  <c r="AO52" i="2" s="1"/>
  <c r="AO51" i="2"/>
  <c r="AO38" i="2"/>
  <c r="AO34" i="2" l="1"/>
  <c r="AO36" i="2" s="1"/>
  <c r="V36" i="2" s="1"/>
  <c r="AQ26" i="2"/>
  <c r="AQ27" i="2"/>
  <c r="AP45" i="2"/>
  <c r="AP25" i="2"/>
  <c r="AP56" i="2" s="1"/>
  <c r="AQ25" i="2"/>
  <c r="AP24" i="2"/>
  <c r="AR26" i="2" l="1"/>
  <c r="AR27" i="2"/>
  <c r="AP55" i="2"/>
  <c r="AP28" i="2"/>
  <c r="AP29" i="2" s="1"/>
  <c r="AQ45" i="2"/>
  <c r="AQ56" i="2"/>
  <c r="AP61" i="2"/>
  <c r="AP62" i="2"/>
  <c r="AP57" i="2"/>
  <c r="AP58" i="2"/>
  <c r="AP50" i="2"/>
  <c r="AR25" i="2"/>
  <c r="AQ24" i="2"/>
  <c r="AS26" i="2" l="1"/>
  <c r="AS27" i="2"/>
  <c r="AQ55" i="2"/>
  <c r="AQ61" i="2" s="1"/>
  <c r="AQ28" i="2"/>
  <c r="AQ29" i="2" s="1"/>
  <c r="AQ51" i="2" s="1"/>
  <c r="AR45" i="2"/>
  <c r="AP32" i="2"/>
  <c r="AP33" i="2" s="1"/>
  <c r="AP52" i="2" s="1"/>
  <c r="AQ62" i="2"/>
  <c r="AP64" i="2"/>
  <c r="AP63" i="2"/>
  <c r="AQ57" i="2"/>
  <c r="AQ50" i="2"/>
  <c r="AS25" i="2"/>
  <c r="AR24" i="2"/>
  <c r="AR28" i="2" s="1"/>
  <c r="AR57" i="2"/>
  <c r="AT27" i="2" l="1"/>
  <c r="AS45" i="2"/>
  <c r="AS56" i="2"/>
  <c r="AP51" i="2"/>
  <c r="AP38" i="2"/>
  <c r="AR55" i="2"/>
  <c r="AR61" i="2" s="1"/>
  <c r="AR56" i="2"/>
  <c r="AR62" i="2" s="1"/>
  <c r="AR63" i="2"/>
  <c r="AQ63" i="2"/>
  <c r="AQ58" i="2"/>
  <c r="AR50" i="2"/>
  <c r="AT25" i="2"/>
  <c r="AS57" i="2"/>
  <c r="AS63" i="2" s="1"/>
  <c r="AS24" i="2"/>
  <c r="AQ38" i="2"/>
  <c r="AU27" i="2" l="1"/>
  <c r="AS55" i="2"/>
  <c r="AS61" i="2" s="1"/>
  <c r="AS28" i="2"/>
  <c r="AT26" i="2"/>
  <c r="AT45" i="2"/>
  <c r="AR29" i="2"/>
  <c r="AR51" i="2" s="1"/>
  <c r="AQ64" i="2"/>
  <c r="AS62" i="2"/>
  <c r="AS58" i="2"/>
  <c r="AR58" i="2"/>
  <c r="AR64" i="2" s="1"/>
  <c r="AS50" i="2"/>
  <c r="AU25" i="2"/>
  <c r="AT56" i="2"/>
  <c r="AT24" i="2"/>
  <c r="AT55" i="2" s="1"/>
  <c r="AV27" i="2" l="1"/>
  <c r="AT61" i="2"/>
  <c r="AT28" i="2"/>
  <c r="AT29" i="2" s="1"/>
  <c r="AT51" i="2" s="1"/>
  <c r="AU26" i="2"/>
  <c r="AU57" i="2" s="1"/>
  <c r="AR38" i="2"/>
  <c r="AU45" i="2"/>
  <c r="AS64" i="2"/>
  <c r="AS29" i="2"/>
  <c r="AS51" i="2" s="1"/>
  <c r="AT62" i="2"/>
  <c r="AT57" i="2"/>
  <c r="AT50" i="2"/>
  <c r="AV25" i="2"/>
  <c r="AU56" i="2"/>
  <c r="AU62" i="2" s="1"/>
  <c r="AU24" i="2"/>
  <c r="AU55" i="2" s="1"/>
  <c r="AW27" i="2" l="1"/>
  <c r="AY25" i="2"/>
  <c r="AV26" i="2"/>
  <c r="AV45" i="2"/>
  <c r="AS38" i="2"/>
  <c r="AU63" i="2"/>
  <c r="AT63" i="2"/>
  <c r="AU61" i="2"/>
  <c r="AU28" i="2"/>
  <c r="AU29" i="2" s="1"/>
  <c r="AU51" i="2" s="1"/>
  <c r="AT58" i="2"/>
  <c r="AU50" i="2"/>
  <c r="AW25" i="2"/>
  <c r="AV57" i="2"/>
  <c r="AV63" i="2" s="1"/>
  <c r="AV24" i="2"/>
  <c r="AV55" i="2" s="1"/>
  <c r="AT38" i="2"/>
  <c r="AV56" i="2"/>
  <c r="AV62" i="2" s="1"/>
  <c r="AW26" i="2" l="1"/>
  <c r="AT64" i="2"/>
  <c r="AV61" i="2"/>
  <c r="AV28" i="2"/>
  <c r="AV29" i="2" s="1"/>
  <c r="AV51" i="2" s="1"/>
  <c r="AU58" i="2"/>
  <c r="AW45" i="2"/>
  <c r="AV50" i="2"/>
  <c r="AX25" i="2"/>
  <c r="AU38" i="2"/>
  <c r="AW24" i="2"/>
  <c r="AW55" i="2" s="1"/>
  <c r="AW61" i="2" s="1"/>
  <c r="AW56" i="2"/>
  <c r="AW62" i="2" s="1"/>
  <c r="AW57" i="2"/>
  <c r="AW63" i="2" s="1"/>
  <c r="AX27" i="2" l="1"/>
  <c r="AY27" i="2" s="1"/>
  <c r="AX26" i="2"/>
  <c r="AU64" i="2"/>
  <c r="AW28" i="2"/>
  <c r="AW29" i="2" s="1"/>
  <c r="AW51" i="2" s="1"/>
  <c r="AV58" i="2"/>
  <c r="AV64" i="2" s="1"/>
  <c r="AX45" i="2"/>
  <c r="AW50" i="2"/>
  <c r="AX56" i="2"/>
  <c r="AX62" i="2" s="1"/>
  <c r="AX24" i="2"/>
  <c r="AV38" i="2"/>
  <c r="AX55" i="2" l="1"/>
  <c r="AX61" i="2" s="1"/>
  <c r="AY24" i="2"/>
  <c r="AX57" i="2"/>
  <c r="AX63" i="2" s="1"/>
  <c r="AY26" i="2"/>
  <c r="AX50" i="2"/>
  <c r="AX58" i="2"/>
  <c r="AW58" i="2"/>
  <c r="AW64" i="2" s="1"/>
  <c r="AW38" i="2"/>
  <c r="AY28" i="2" l="1"/>
  <c r="AY29" i="2" s="1"/>
  <c r="AY38" i="2" s="1"/>
  <c r="AX28" i="2"/>
  <c r="AX29" i="2" s="1"/>
  <c r="AX51" i="2" s="1"/>
  <c r="AX64" i="2"/>
  <c r="AP34" i="2"/>
  <c r="BB48" i="2" s="1"/>
  <c r="AP69" i="2" l="1"/>
  <c r="J15" i="1"/>
  <c r="J16" i="1" s="1"/>
  <c r="AX38" i="2"/>
  <c r="AQ30" i="2"/>
  <c r="AP36" i="2"/>
  <c r="AQ32" i="2" l="1"/>
  <c r="AQ33" i="2" l="1"/>
  <c r="AQ52" i="2" s="1"/>
  <c r="AQ34" i="2" l="1"/>
  <c r="AQ69" i="2" l="1"/>
  <c r="BB49" i="2"/>
  <c r="AQ36" i="2"/>
  <c r="AR30" i="2" l="1"/>
  <c r="AR32" i="2" s="1"/>
  <c r="AR33" i="2" l="1"/>
  <c r="AR52" i="2" s="1"/>
  <c r="AR34" i="2" l="1"/>
  <c r="BB50" i="2" s="1"/>
  <c r="AR36" i="2" l="1"/>
  <c r="AR69" i="2"/>
  <c r="AS30" i="2" s="1"/>
  <c r="AS32" i="2" s="1"/>
  <c r="AS33" i="2" s="1"/>
  <c r="AS52" i="2" s="1"/>
  <c r="AS34" i="2" l="1"/>
  <c r="AS69" i="2" l="1"/>
  <c r="AT30" i="2" s="1"/>
  <c r="AT32" i="2" s="1"/>
  <c r="AT33" i="2" s="1"/>
  <c r="AS36" i="2"/>
  <c r="AT52" i="2" l="1"/>
  <c r="AT34" i="2"/>
  <c r="AT69" i="2" l="1"/>
  <c r="AU30" i="2" s="1"/>
  <c r="AU32" i="2" s="1"/>
  <c r="AU33" i="2" s="1"/>
  <c r="AU52" i="2" s="1"/>
  <c r="AT36" i="2"/>
  <c r="AU34" i="2" l="1"/>
  <c r="AU69" i="2" s="1"/>
  <c r="AU36" i="2" l="1"/>
  <c r="AV30" i="2"/>
  <c r="AV32" i="2" s="1"/>
  <c r="AV33" i="2" l="1"/>
  <c r="AV52" i="2" s="1"/>
  <c r="AV34" i="2" l="1"/>
  <c r="AV36" i="2" s="1"/>
  <c r="AV69" i="2" l="1"/>
  <c r="AW30" i="2" s="1"/>
  <c r="AW32" i="2" s="1"/>
  <c r="AW33" i="2" l="1"/>
  <c r="AW52" i="2" s="1"/>
  <c r="AW34" i="2" l="1"/>
  <c r="AW36" i="2" s="1"/>
  <c r="AW69" i="2" l="1"/>
  <c r="AX30" i="2" s="1"/>
  <c r="AX32" i="2" s="1"/>
  <c r="AX33" i="2" l="1"/>
  <c r="AX52" i="2" s="1"/>
  <c r="AX34" i="2" l="1"/>
  <c r="AX36" i="2" l="1"/>
  <c r="AX69" i="2"/>
  <c r="AY30" i="2" s="1"/>
  <c r="AY32" i="2" s="1"/>
  <c r="AY33" i="2" s="1"/>
  <c r="AY34" i="2" s="1"/>
  <c r="AY36" i="2" l="1"/>
  <c r="AZ34" i="2"/>
  <c r="BA34" i="2" l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l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HM34" i="2" s="1"/>
  <c r="HN34" i="2" s="1"/>
  <c r="HO34" i="2" s="1"/>
  <c r="HP34" i="2" s="1"/>
  <c r="HQ34" i="2" s="1"/>
  <c r="HR34" i="2" s="1"/>
  <c r="HS34" i="2" s="1"/>
  <c r="HT34" i="2" s="1"/>
  <c r="HU34" i="2" s="1"/>
  <c r="HV34" i="2" s="1"/>
  <c r="HW34" i="2" s="1"/>
  <c r="HX34" i="2" s="1"/>
  <c r="HY34" i="2" s="1"/>
  <c r="HZ34" i="2" s="1"/>
  <c r="IA34" i="2" s="1"/>
  <c r="IB34" i="2" s="1"/>
  <c r="IC34" i="2" s="1"/>
  <c r="ID34" i="2" s="1"/>
  <c r="IE34" i="2" s="1"/>
  <c r="IF34" i="2" s="1"/>
  <c r="IG34" i="2" s="1"/>
  <c r="IH34" i="2" s="1"/>
  <c r="II34" i="2" s="1"/>
  <c r="IJ34" i="2" s="1"/>
  <c r="IK34" i="2" s="1"/>
  <c r="IL34" i="2" s="1"/>
  <c r="IM34" i="2" s="1"/>
  <c r="IN34" i="2" s="1"/>
  <c r="IO34" i="2" s="1"/>
  <c r="IP34" i="2" s="1"/>
  <c r="IQ34" i="2" s="1"/>
  <c r="BB40" i="2" l="1"/>
  <c r="BB42" i="2" s="1"/>
  <c r="BB44" i="2" s="1"/>
  <c r="X23" i="2" l="1"/>
  <c r="X28" i="2"/>
  <c r="X29" i="2" s="1"/>
  <c r="X51" i="2" l="1"/>
  <c r="X38" i="2"/>
  <c r="X56" i="2"/>
  <c r="X62" i="2" s="1"/>
  <c r="X45" i="2"/>
  <c r="X50" i="2"/>
  <c r="X55" i="2"/>
  <c r="X61" i="2" s="1"/>
  <c r="X18" i="2"/>
  <c r="X58" i="2"/>
  <c r="X64" i="2" s="1"/>
  <c r="X57" i="2"/>
  <c r="X63" i="2" s="1"/>
  <c r="Y38" i="2"/>
  <c r="X32" i="2"/>
  <c r="X34" i="2"/>
  <c r="X36" i="2" s="1"/>
  <c r="BD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tc={F67E68F8-4663-CA42-B517-8624A8652212}</author>
  </authors>
  <commentList>
    <comment ref="F4" authorId="0" shapeId="0" xr:uid="{F67E68F8-4663-CA42-B517-8624A8652212}">
      <text>
        <t>[Threaded comment]
Your version of Excel allows you to read this threaded comment; however, any edits to it will get removed if the file is opened in a newer version of Excel. Learn more: https://go.microsoft.com/fwlink/?linkid=870924
Comment:
    Good tech experience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tc={9B548428-E727-0742-A6F8-32D53C71C9A8}</author>
    <author>tc={8CEF2EA8-4F18-A247-B73D-76FFAEE30125}</author>
    <author>tc={A1697648-F5D7-DD42-8E39-B8B2DA73CE01}</author>
    <author>tc={9C0B09FA-64C3-9945-8A5E-7B97F826E07D}</author>
    <author>tc={8CEF2EA8-4F18-A248-B73D-76FFAEE30125}</author>
    <author>tc={4D9150C6-2523-E847-815A-057C0F205095}</author>
    <author>jameel</author>
    <author>tc={32E5B1ED-C90D-F241-AA45-87CE0D1AA28E}</author>
    <author>tc={8E41CDF3-EF76-014E-BA0D-5C1CE4D9C513}</author>
    <author>tc={73B0A23F-F74B-E84B-A4D1-BE15A3E05DE0}</author>
  </authors>
  <commentList>
    <comment ref="V4" authorId="0" shapeId="0" xr:uid="{949F05B1-B48F-4F4F-8A37-87E42564DC51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GUIDANCE: 240-250 </t>
        </r>
      </text>
    </comment>
    <comment ref="U23" authorId="1" shapeId="0" xr:uid="{9B548428-E727-0742-A6F8-32D53C71C9A8}">
      <text>
        <t>[Threaded comment]
Your version of Excel allows you to read this threaded comment; however, any edits to it will get removed if the file is opened in a newer version of Excel. Learn more: https://go.microsoft.com/fwlink/?linkid=870924
Comment:
    Driven by strong SSS + Net new units</t>
      </text>
    </comment>
    <comment ref="S24" authorId="2" shapeId="0" xr:uid="{8CEF2EA8-4F18-A247-B73D-76FFAEE30125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in cost of deboned chicken</t>
      </text>
    </comment>
    <comment ref="T24" authorId="3" shapeId="0" xr:uid="{A1697648-F5D7-DD42-8E39-B8B2DA73CE01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cost of deboned chicken wings</t>
      </text>
    </comment>
    <comment ref="U24" authorId="4" shapeId="0" xr:uid="{9C0B09FA-64C3-9945-8A5E-7B97F826E07D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in cost of deboned chicken</t>
      </text>
    </comment>
    <comment ref="W24" authorId="5" shapeId="0" xr:uid="{D07DC5A0-00C7-DE43-82C4-DBA0C05EE288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in cost of deboned chicken</t>
      </text>
    </comment>
    <comment ref="U26" authorId="6" shapeId="0" xr:uid="{4D9150C6-2523-E847-815A-057C0F205095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in incentive comp, performance base comp, headcount, and increase in consulting fees</t>
      </text>
    </comment>
    <comment ref="AP26" authorId="7" shapeId="0" xr:uid="{B6CE59DD-6AB9-864D-A4E2-155FE00AF7D5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guidance: $111M</t>
        </r>
      </text>
    </comment>
    <comment ref="AP27" authorId="8" shapeId="0" xr:uid="{32E5B1ED-C90D-F241-AA45-87CE0D1AA28E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seen as non cash expense, but for restaurant biz I feel it’s good to keep it, company will have to replace goods — its. Cash intensive business
Reply:
    GUIDE 18-19M</t>
      </text>
    </comment>
    <comment ref="U30" authorId="9" shapeId="0" xr:uid="{8E41CDF3-EF76-014E-BA0D-5C1CE4D9C513}">
      <text>
        <t>[Threaded comment]
Your version of Excel allows you to read this threaded comment; however, any edits to it will get removed if the file is opened in a newer version of Excel. Learn more: https://go.microsoft.com/fwlink/?linkid=870924
Comment:
    $1m in interest income</t>
      </text>
    </comment>
    <comment ref="X56" authorId="7" shapeId="0" xr:uid="{FCF0F610-5079-C349-84AA-84B7E481DFC4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App as % of rev up 200 basis ppts</t>
        </r>
      </text>
    </comment>
    <comment ref="O137" authorId="10" shapeId="0" xr:uid="{73B0A23F-F74B-E84B-A4D1-BE15A3E05DE0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Secured Notes</t>
      </text>
    </comment>
  </commentList>
</comments>
</file>

<file path=xl/sharedStrings.xml><?xml version="1.0" encoding="utf-8"?>
<sst xmlns="http://schemas.openxmlformats.org/spreadsheetml/2006/main" count="227" uniqueCount="182">
  <si>
    <t>P</t>
  </si>
  <si>
    <t>S/O</t>
  </si>
  <si>
    <t>MC</t>
  </si>
  <si>
    <t xml:space="preserve">Cash </t>
  </si>
  <si>
    <t>Debt</t>
  </si>
  <si>
    <t>EV</t>
  </si>
  <si>
    <t>Q221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</si>
  <si>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</si>
  <si>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</si>
  <si>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</si>
  <si>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</si>
  <si>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</si>
  <si>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</si>
  <si>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</si>
  <si>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</si>
  <si>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</si>
  <si>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Q321</t>
  </si>
  <si>
    <t>Q421</t>
  </si>
  <si>
    <t xml:space="preserve">Royalty </t>
  </si>
  <si>
    <t>Ad fees</t>
  </si>
  <si>
    <t xml:space="preserve">Total Revenue </t>
  </si>
  <si>
    <t>Costs</t>
  </si>
  <si>
    <t>Ad expenses</t>
  </si>
  <si>
    <t>SG&amp;A</t>
  </si>
  <si>
    <t>D&amp;A</t>
  </si>
  <si>
    <t>Total costs + E</t>
  </si>
  <si>
    <t xml:space="preserve">Op Income </t>
  </si>
  <si>
    <t>Interest expense</t>
  </si>
  <si>
    <t>Income before Taxes</t>
  </si>
  <si>
    <t>Taxes</t>
  </si>
  <si>
    <t xml:space="preserve">Net Income </t>
  </si>
  <si>
    <t>Diluted shares</t>
  </si>
  <si>
    <t>eps</t>
  </si>
  <si>
    <t xml:space="preserve">YoY Growth </t>
  </si>
  <si>
    <t>Total System Wide</t>
  </si>
  <si>
    <t>Company Owned</t>
  </si>
  <si>
    <t xml:space="preserve">% of Revenue </t>
  </si>
  <si>
    <t>Discount</t>
  </si>
  <si>
    <t>NPV</t>
  </si>
  <si>
    <t>Shares</t>
  </si>
  <si>
    <t>Current</t>
  </si>
  <si>
    <t>Q222</t>
  </si>
  <si>
    <t>Q122</t>
  </si>
  <si>
    <t>Q322</t>
  </si>
  <si>
    <t>Q422</t>
  </si>
  <si>
    <t>Other</t>
  </si>
  <si>
    <t>TA</t>
  </si>
  <si>
    <t>Domestic Franchise Units</t>
  </si>
  <si>
    <t>Int'l F Units</t>
  </si>
  <si>
    <t>Restricted Cash</t>
  </si>
  <si>
    <t>A/R</t>
  </si>
  <si>
    <t>Prepaid E</t>
  </si>
  <si>
    <t>CA</t>
  </si>
  <si>
    <t>PPE</t>
  </si>
  <si>
    <t>Goodwill</t>
  </si>
  <si>
    <t>Trademarks</t>
  </si>
  <si>
    <t>Customer R</t>
  </si>
  <si>
    <t>ONA</t>
  </si>
  <si>
    <t>A/P</t>
  </si>
  <si>
    <t>OCL</t>
  </si>
  <si>
    <t>Advertising Fund</t>
  </si>
  <si>
    <t>CL</t>
  </si>
  <si>
    <t>LTD</t>
  </si>
  <si>
    <t>Deferred Rev</t>
  </si>
  <si>
    <t>Deferred income TX</t>
  </si>
  <si>
    <t>ONCL</t>
  </si>
  <si>
    <t>TL</t>
  </si>
  <si>
    <t>E</t>
  </si>
  <si>
    <t>TL + E</t>
  </si>
  <si>
    <t>Div Payable</t>
  </si>
  <si>
    <t>CFFO</t>
  </si>
  <si>
    <t>CFFI</t>
  </si>
  <si>
    <t>CFFF</t>
  </si>
  <si>
    <t>C. Owned Units</t>
  </si>
  <si>
    <t>Debt loss</t>
  </si>
  <si>
    <t>NI</t>
  </si>
  <si>
    <t>Deferred income tx</t>
  </si>
  <si>
    <t>SBC</t>
  </si>
  <si>
    <t>Loss on ass</t>
  </si>
  <si>
    <t>Amortization</t>
  </si>
  <si>
    <t>Ad fund assets</t>
  </si>
  <si>
    <t>Deferred rev</t>
  </si>
  <si>
    <t>CapEx</t>
  </si>
  <si>
    <t>Sale of assets</t>
  </si>
  <si>
    <t>Option proceeds</t>
  </si>
  <si>
    <t>Deferred Fin Costs</t>
  </si>
  <si>
    <t>Tax payments</t>
  </si>
  <si>
    <t>Dividends Paid</t>
  </si>
  <si>
    <t>Cash Increase</t>
  </si>
  <si>
    <t xml:space="preserve">Cash @ End </t>
  </si>
  <si>
    <t>Cash @ Begin</t>
  </si>
  <si>
    <t>Debt Payments</t>
  </si>
  <si>
    <t>ebitda</t>
  </si>
  <si>
    <t>Q123</t>
  </si>
  <si>
    <t>Q223</t>
  </si>
  <si>
    <t>Q323</t>
  </si>
  <si>
    <t>Q423</t>
  </si>
  <si>
    <t>https://ir.wingstop.com</t>
  </si>
  <si>
    <t>Advertising Fund Assets</t>
  </si>
  <si>
    <t xml:space="preserve">Net Cash </t>
  </si>
  <si>
    <t xml:space="preserve">Model NI </t>
  </si>
  <si>
    <t>Presses</t>
  </si>
  <si>
    <t>Acqs from franchisees</t>
  </si>
  <si>
    <t>Investments</t>
  </si>
  <si>
    <t>Buybacks</t>
  </si>
  <si>
    <t xml:space="preserve">Free Cash Flow </t>
  </si>
  <si>
    <t>\</t>
  </si>
  <si>
    <t xml:space="preserve">Ratio Analysis </t>
  </si>
  <si>
    <t>Total Debt</t>
  </si>
  <si>
    <t>Net Debt</t>
  </si>
  <si>
    <t>Debt Per Share</t>
  </si>
  <si>
    <t>WC</t>
  </si>
  <si>
    <t>NWC</t>
  </si>
  <si>
    <t>DSO</t>
  </si>
  <si>
    <t>Op Income</t>
  </si>
  <si>
    <t>Op Income / Total Debt</t>
  </si>
  <si>
    <t>SSS</t>
  </si>
  <si>
    <t xml:space="preserve">Growth Analysis </t>
  </si>
  <si>
    <t>OM%</t>
  </si>
  <si>
    <t>GM%</t>
  </si>
  <si>
    <t>Statistics</t>
  </si>
  <si>
    <t xml:space="preserve">Terminal </t>
  </si>
  <si>
    <t>Estimate</t>
  </si>
  <si>
    <t>Upside</t>
  </si>
  <si>
    <t>Depreciation</t>
  </si>
  <si>
    <t xml:space="preserve">Growth Check </t>
  </si>
  <si>
    <t>Growth/Shrink</t>
  </si>
  <si>
    <t>Website</t>
  </si>
  <si>
    <t xml:space="preserve">CEO </t>
  </si>
  <si>
    <t xml:space="preserve">CFO </t>
  </si>
  <si>
    <t>Alex  Kaleida</t>
  </si>
  <si>
    <t>Founder</t>
  </si>
  <si>
    <t>Founded</t>
  </si>
  <si>
    <t>HQ</t>
  </si>
  <si>
    <t>Michael Skipworth</t>
  </si>
  <si>
    <t>2024 EV/E</t>
  </si>
  <si>
    <t>$M</t>
  </si>
  <si>
    <t>4Q FCF</t>
  </si>
  <si>
    <t>Return</t>
  </si>
  <si>
    <t>ROIC</t>
  </si>
  <si>
    <t>Garland, Texas | 1994</t>
  </si>
  <si>
    <t>Antonio Swad</t>
  </si>
  <si>
    <t>Founded in 1994</t>
  </si>
  <si>
    <t>First franchise 1997</t>
  </si>
  <si>
    <t>Served two mill wings 2002</t>
  </si>
  <si>
    <t>Begin serving lunch 2005</t>
  </si>
  <si>
    <t>Boneles products 2009</t>
  </si>
  <si>
    <t>Hit Mexico 2010</t>
  </si>
  <si>
    <t xml:space="preserve">2014-2016 fastest growing chain </t>
  </si>
  <si>
    <t>2015 ipo $19 per share</t>
  </si>
  <si>
    <t>2019 uses tag "where wings get its flavor"</t>
  </si>
  <si>
    <t>2020 became avil for delivery in Dallas, TX via DD</t>
  </si>
  <si>
    <t>2021 (Thighstop) digital only restaurant</t>
  </si>
  <si>
    <t>News</t>
  </si>
  <si>
    <t>Dry Rub Jan  1/4/24</t>
  </si>
  <si>
    <t xml:space="preserve">CIO </t>
  </si>
  <si>
    <t>Chris Fallon</t>
  </si>
  <si>
    <t>New CIO 12/14/2023</t>
  </si>
  <si>
    <t>BOGO chicken sandwich 11/8/2023</t>
  </si>
  <si>
    <t xml:space="preserve">BUBACK GOAL: </t>
  </si>
  <si>
    <t>ASR 8/24/2023</t>
  </si>
  <si>
    <t>ASR</t>
  </si>
  <si>
    <t>Average Price</t>
  </si>
  <si>
    <t>4Q NI</t>
  </si>
  <si>
    <t>Q124</t>
  </si>
  <si>
    <t>Q224</t>
  </si>
  <si>
    <t>Q324</t>
  </si>
  <si>
    <t>Q424</t>
  </si>
  <si>
    <t>$K</t>
  </si>
  <si>
    <t>US 8W</t>
  </si>
  <si>
    <t xml:space="preserve">Risk </t>
  </si>
  <si>
    <t xml:space="preserve">Discount </t>
  </si>
  <si>
    <t>TIMELINE</t>
  </si>
  <si>
    <t>4/20 THC</t>
  </si>
  <si>
    <t>24E</t>
  </si>
  <si>
    <t>Royalty RPU</t>
  </si>
  <si>
    <t>C. Owned RPU</t>
  </si>
  <si>
    <t>Total RPU</t>
  </si>
  <si>
    <t>EV/24E</t>
  </si>
  <si>
    <t>EV/25E</t>
  </si>
  <si>
    <t>EV/26E</t>
  </si>
  <si>
    <t>OP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</si>
</sst>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"/>
    <numFmt numFmtId="165" formatCode="0\x"/>
    <numFmt numFmtId="166" formatCode="0.0\x"/>
    <numFmt numFmtId="167" formatCode="0.0%"/>
    <numFmt numFmtId="168" formatCode="&quot;$&quot;#,##0"/>
  </numFmts>
  <fonts count="11">
    <font>
      <sz val="10"/>
      <color theme="1"/>
      <name val="ArialMT"/>
      <family val="2"/>
    </font>
    <font>
      <sz val="10"/>
      <color theme="1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ArialMT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FF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3" fontId="5" fillId="0" borderId="0" xfId="0" applyNumberFormat="1" applyFont="1"/>
    <xf numFmtId="1" fontId="5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5" fillId="0" borderId="0" xfId="0" applyFont="1"/>
    <xf numFmtId="0" fontId="9" fillId="0" borderId="0" xfId="2" applyFont="1"/>
    <xf numFmtId="0" fontId="6" fillId="0" borderId="0" xfId="0" applyFont="1"/>
    <xf numFmtId="14" fontId="9" fillId="0" borderId="0" xfId="2" applyNumberFormat="1" applyFont="1"/>
    <xf numFmtId="0" fontId="4" fillId="0" borderId="0" xfId="2"/>
    <xf numFmtId="3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43" fontId="5" fillId="0" borderId="0" xfId="1" applyFont="1" applyAlignment="1">
      <alignment horizontal="right"/>
    </xf>
    <xf numFmtId="2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3" fontId="5" fillId="4" borderId="0" xfId="0" applyNumberFormat="1" applyFont="1" applyFill="1" applyAlignment="1">
      <alignment horizontal="right"/>
    </xf>
    <xf numFmtId="42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4" fillId="0" borderId="0" xfId="2" applyNumberFormat="1" applyAlignment="1">
      <alignment horizontal="right"/>
    </xf>
    <xf numFmtId="3" fontId="5" fillId="5" borderId="0" xfId="0" applyNumberFormat="1" applyFont="1" applyFill="1"/>
    <xf numFmtId="9" fontId="6" fillId="0" borderId="0" xfId="0" applyNumberFormat="1" applyFont="1" applyAlignment="1">
      <alignment horizontal="right"/>
    </xf>
    <xf numFmtId="4" fontId="5" fillId="0" borderId="1" xfId="0" applyNumberFormat="1" applyFont="1" applyBorder="1" applyAlignment="1">
      <alignment horizontal="left"/>
    </xf>
    <xf numFmtId="9" fontId="8" fillId="0" borderId="2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left"/>
    </xf>
    <xf numFmtId="4" fontId="5" fillId="0" borderId="3" xfId="0" applyNumberFormat="1" applyFont="1" applyBorder="1" applyAlignment="1">
      <alignment horizontal="left"/>
    </xf>
    <xf numFmtId="3" fontId="5" fillId="0" borderId="4" xfId="0" applyNumberFormat="1" applyFont="1" applyBorder="1" applyAlignment="1">
      <alignment horizontal="left"/>
    </xf>
    <xf numFmtId="9" fontId="8" fillId="0" borderId="0" xfId="0" applyNumberFormat="1" applyFont="1" applyAlignment="1">
      <alignment horizontal="left"/>
    </xf>
    <xf numFmtId="3" fontId="5" fillId="0" borderId="5" xfId="0" applyNumberFormat="1" applyFont="1" applyBorder="1" applyAlignment="1">
      <alignment horizontal="left"/>
    </xf>
    <xf numFmtId="4" fontId="5" fillId="0" borderId="4" xfId="0" applyNumberFormat="1" applyFont="1" applyBorder="1" applyAlignment="1">
      <alignment horizontal="left"/>
    </xf>
    <xf numFmtId="167" fontId="8" fillId="0" borderId="0" xfId="0" applyNumberFormat="1" applyFont="1" applyAlignment="1">
      <alignment horizontal="left"/>
    </xf>
    <xf numFmtId="4" fontId="6" fillId="0" borderId="5" xfId="0" applyNumberFormat="1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3" fontId="5" fillId="3" borderId="0" xfId="0" applyNumberFormat="1" applyFont="1" applyFill="1" applyAlignment="1">
      <alignment horizontal="left"/>
    </xf>
    <xf numFmtId="9" fontId="6" fillId="0" borderId="4" xfId="0" applyNumberFormat="1" applyFont="1" applyBorder="1" applyAlignment="1">
      <alignment horizontal="left"/>
    </xf>
    <xf numFmtId="9" fontId="5" fillId="0" borderId="5" xfId="0" applyNumberFormat="1" applyFont="1" applyBorder="1" applyAlignment="1">
      <alignment horizontal="left"/>
    </xf>
    <xf numFmtId="9" fontId="5" fillId="0" borderId="4" xfId="0" applyNumberFormat="1" applyFont="1" applyBorder="1" applyAlignment="1">
      <alignment horizontal="left"/>
    </xf>
    <xf numFmtId="9" fontId="6" fillId="0" borderId="6" xfId="0" applyNumberFormat="1" applyFont="1" applyBorder="1" applyAlignment="1">
      <alignment horizontal="left"/>
    </xf>
    <xf numFmtId="9" fontId="5" fillId="3" borderId="7" xfId="0" applyNumberFormat="1" applyFont="1" applyFill="1" applyBorder="1" applyAlignment="1">
      <alignment horizontal="left"/>
    </xf>
    <xf numFmtId="9" fontId="5" fillId="0" borderId="7" xfId="0" applyNumberFormat="1" applyFont="1" applyBorder="1" applyAlignment="1">
      <alignment horizontal="left"/>
    </xf>
    <xf numFmtId="9" fontId="5" fillId="0" borderId="8" xfId="0" applyNumberFormat="1" applyFont="1" applyBorder="1" applyAlignment="1">
      <alignment horizontal="left"/>
    </xf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3" fontId="5" fillId="0" borderId="5" xfId="0" applyNumberFormat="1" applyFont="1" applyBorder="1"/>
    <xf numFmtId="165" fontId="5" fillId="0" borderId="5" xfId="0" applyNumberFormat="1" applyFont="1" applyBorder="1"/>
    <xf numFmtId="0" fontId="5" fillId="0" borderId="6" xfId="0" applyFont="1" applyBorder="1"/>
    <xf numFmtId="9" fontId="5" fillId="0" borderId="8" xfId="0" applyNumberFormat="1" applyFont="1" applyBorder="1"/>
    <xf numFmtId="0" fontId="6" fillId="0" borderId="1" xfId="0" applyFont="1" applyBorder="1"/>
    <xf numFmtId="0" fontId="5" fillId="0" borderId="2" xfId="0" applyFont="1" applyBorder="1"/>
    <xf numFmtId="0" fontId="5" fillId="0" borderId="5" xfId="0" applyFont="1" applyBorder="1"/>
    <xf numFmtId="3" fontId="5" fillId="0" borderId="7" xfId="0" applyNumberFormat="1" applyFont="1" applyBorder="1"/>
    <xf numFmtId="0" fontId="5" fillId="0" borderId="8" xfId="0" applyFont="1" applyBorder="1"/>
    <xf numFmtId="3" fontId="10" fillId="0" borderId="0" xfId="0" applyNumberFormat="1" applyFont="1" applyAlignment="1">
      <alignment horizontal="left"/>
    </xf>
    <xf numFmtId="168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8668</xdr:colOff>
      <xdr:row>0</xdr:row>
      <xdr:rowOff>0</xdr:rowOff>
    </xdr:from>
    <xdr:to>
      <xdr:col>24</xdr:col>
      <xdr:colOff>25694</xdr:colOff>
      <xdr:row>175</xdr:row>
      <xdr:rowOff>101600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89311BD-6628-8441-833D-95FF286EF97C}"/>
            </a:ext>
          </a:extLst>
        </xdr:cNvPr>
        <xdr:cNvCxnSpPr/>
      </xdr:nvCxnSpPr>
      <xdr:spPr>
        <a:xfrm>
          <a:off x="14990987" y="0"/>
          <a:ext cx="17026" cy="28593774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615206</xdr:colOff>
      <xdr:row>0</xdr:row>
      <xdr:rowOff>0</xdr:rowOff>
    </xdr:from>
    <xdr:to>
      <xdr:col>41</xdr:col>
      <xdr:colOff>6894</xdr:colOff>
      <xdr:row>118</xdr:row>
      <xdr:rowOff>117928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F2C555B-5D31-3F40-B31C-02AEE6DA7678}"/>
            </a:ext>
          </a:extLst>
        </xdr:cNvPr>
        <xdr:cNvCxnSpPr/>
      </xdr:nvCxnSpPr>
      <xdr:spPr>
        <a:xfrm>
          <a:off x="20691366" y="0"/>
          <a:ext cx="11448" cy="18812328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0AC68EF-D066-5F48-89EA-AAB910802CB3}" userId="jameel" providerId="None"/>
  <person displayName="jameelbrannon" id="{35013F47-47FB-444D-8823-5837344D296E}" userId="jameelbrannon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1-17T02:46:47.01" personId="{35013F47-47FB-444D-8823-5837344D296E}" id="{F67E68F8-4663-CA42-B517-8624A8652212}">
    <text>Good tech experience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23" dT="2024-01-17T02:02:46.30" personId="{35013F47-47FB-444D-8823-5837344D296E}" id="{9B548428-E727-0742-A6F8-32D53C71C9A8}">
    <text>Driven by strong SSS + Net new units</text>
  </threadedComment>
  <threadedComment ref="S24" dT="2024-01-17T06:15:10.42" personId="{35013F47-47FB-444D-8823-5837344D296E}" id="{8CEF2EA8-4F18-A247-B73D-76FFAEE30125}">
    <text>Decrease in cost of deboned chicken</text>
  </threadedComment>
  <threadedComment ref="T24" dT="2024-01-17T06:13:34.62" personId="{35013F47-47FB-444D-8823-5837344D296E}" id="{A1697648-F5D7-DD42-8E39-B8B2DA73CE01}">
    <text>Lower cost of deboned chicken wings</text>
  </threadedComment>
  <threadedComment ref="U24" dT="2024-01-17T06:06:40.67" personId="{35013F47-47FB-444D-8823-5837344D296E}" id="{9C0B09FA-64C3-9945-8A5E-7B97F826E07D}">
    <text>Decrease in cost of deboned chicken</text>
  </threadedComment>
  <threadedComment ref="W24" dT="2024-01-17T06:15:10.42" personId="{35013F47-47FB-444D-8823-5837344D296E}" id="{8CEF2EA8-4F18-A248-B73D-76FFAEE30125}">
    <text>Decrease in cost of deboned chicken</text>
  </threadedComment>
  <threadedComment ref="U26" dT="2024-01-17T06:06:14.53" personId="{35013F47-47FB-444D-8823-5837344D296E}" id="{4D9150C6-2523-E847-815A-057C0F205095}">
    <text>Increase in incentive comp, performance base comp, headcount, and increase in consulting fees</text>
  </threadedComment>
  <threadedComment ref="AP27" dT="2024-01-17T02:17:05.46" personId="{35013F47-47FB-444D-8823-5837344D296E}" id="{32E5B1ED-C90D-F241-AA45-87CE0D1AA28E}">
    <text>Typically seen as non cash expense, but for restaurant biz I feel it’s good to keep it, company will have to replace goods — its. Cash intensive business</text>
  </threadedComment>
  <threadedComment ref="AP27" dT="2024-04-10T01:20:25.11" personId="{20AC68EF-D066-5F48-89EA-AAB910802CB3}" id="{84A25456-ABE4-BD41-99E6-E8607E50CBC2}" parentId="{32E5B1ED-C90D-F241-AA45-87CE0D1AA28E}">
    <text>GUIDE 18-19M</text>
  </threadedComment>
  <threadedComment ref="U30" dT="2024-01-17T06:04:39.27" personId="{35013F47-47FB-444D-8823-5837344D296E}" id="{8E41CDF3-EF76-014E-BA0D-5C1CE4D9C513}">
    <text>$1m in interest income</text>
  </threadedComment>
  <threadedComment ref="O137" dT="2024-01-17T02:23:10.62" personId="{35013F47-47FB-444D-8823-5837344D296E}" id="{73B0A23F-F74B-E84B-A4D1-BE15A3E05DE0}">
    <text>Secured Notes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ol.com/terms/a/accelerated-share-repurchase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sec.gov/Archives/edgar/data/1636222/000163622222000065/ceoofferletter.htm" TargetMode="External"/><Relationship Id="rId7" Type="http://schemas.openxmlformats.org/officeDocument/2006/relationships/hyperlink" Target="https://ir.wingstop.com/wingstop-announces-125-million-accelerated-share-repurchase-agreement/" TargetMode="External"/><Relationship Id="rId12" Type="http://schemas.openxmlformats.org/officeDocument/2006/relationships/hyperlink" Target="https://ir.wingstop.com/wingstop-elevates-4-20-with-a-new-strain-of-t-h-c-the-hot-chili-rub/" TargetMode="External"/><Relationship Id="rId2" Type="http://schemas.openxmlformats.org/officeDocument/2006/relationships/hyperlink" Target="https://ir.wingstop.com/wingstop-inc-reports-fiscal-third-quarter-2023-financial-results/" TargetMode="External"/><Relationship Id="rId1" Type="http://schemas.openxmlformats.org/officeDocument/2006/relationships/hyperlink" Target="https://ir.wingstop.com/" TargetMode="External"/><Relationship Id="rId6" Type="http://schemas.openxmlformats.org/officeDocument/2006/relationships/hyperlink" Target="https://ir.wingstop.com/the-flavor-experts-celebrate-national-chicken-sandwich-day-with-bogo-deal-all-weekend-long/" TargetMode="External"/><Relationship Id="rId11" Type="http://schemas.openxmlformats.org/officeDocument/2006/relationships/hyperlink" Target="https://ir.wingstop.com/wingstop-inc-reports-fiscal-fourth-quarter-and-full-year-2023-financial-results/" TargetMode="External"/><Relationship Id="rId5" Type="http://schemas.openxmlformats.org/officeDocument/2006/relationships/hyperlink" Target="https://ir.wingstop.com/wingstop-names-chris-fallon-chief-information-officer/" TargetMode="External"/><Relationship Id="rId15" Type="http://schemas.microsoft.com/office/2017/10/relationships/threadedComment" Target="../threadedComments/threadedComment1.xml"/><Relationship Id="rId10" Type="http://schemas.openxmlformats.org/officeDocument/2006/relationships/hyperlink" Target="https://ir.wingstop.com/wingstop-inc-reports-fiscal-first-quarter-2024-financial-results/" TargetMode="External"/><Relationship Id="rId4" Type="http://schemas.openxmlformats.org/officeDocument/2006/relationships/hyperlink" Target="https://ir.wingstop.com/spice-up-your-resolutions-wingstop-declares-dry-rub-january-a-month-of-flavorful-indulgence/" TargetMode="External"/><Relationship Id="rId9" Type="http://schemas.openxmlformats.org/officeDocument/2006/relationships/hyperlink" Target="https://ir.wingstop.com/wingstop-inc-reports-fiscal-second-quarter-2023-financial-results/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s://ir.wingstop.com/wingstop-announces-125-million-accelerated-share-repurchase-agreement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FD80-FF06-4B4C-9E48-8B8C1DA005D3}">
  <dimension ref="A2:K21"/>
  <sheetViews>
    <sheetView tabSelected="1" zoomScale="200" zoomScaleNormal="160" workbookViewId="0">
      <selection activeCell="C16" sqref="C16"/>
    </sheetView>
  </sheetViews>
  <sheetFormatPr baseColWidth="10" defaultRowHeight="13"/>
  <cols>
    <col min="1" max="1" width="4.6640625" style="14" bestFit="1" customWidth="1"/>
    <col min="2" max="2" width="16.83203125" style="14" bestFit="1" customWidth="1"/>
    <col min="3" max="3" width="10.83203125" style="14"/>
    <col min="4" max="4" width="18.5" style="14" bestFit="1" customWidth="1"/>
    <col min="5" max="8" width="10.83203125" style="14"/>
    <col min="9" max="9" width="9.6640625" style="14" bestFit="1" customWidth="1"/>
    <col min="10" max="10" width="12.6640625" style="14" bestFit="1" customWidth="1"/>
    <col min="11" max="11" width="5.5" style="14" bestFit="1" customWidth="1"/>
    <col min="12" max="16384" width="10.83203125" style="14"/>
  </cols>
  <sheetData>
    <row r="2" spans="1:11">
      <c r="C2" s="14" t="s">
        <v>127</v>
      </c>
      <c r="D2" s="15" t="s">
        <v>97</v>
      </c>
      <c r="E2" s="14" t="s">
        <v>128</v>
      </c>
      <c r="F2" s="15" t="s">
        <v>134</v>
      </c>
    </row>
    <row r="3" spans="1:11">
      <c r="C3" s="14" t="s">
        <v>131</v>
      </c>
      <c r="D3" s="14" t="s">
        <v>141</v>
      </c>
      <c r="E3" s="14" t="s">
        <v>129</v>
      </c>
      <c r="F3" s="14" t="s">
        <v>130</v>
      </c>
    </row>
    <row r="4" spans="1:11">
      <c r="C4" s="14" t="s">
        <v>132</v>
      </c>
      <c r="D4" s="14" t="s">
        <v>140</v>
      </c>
      <c r="E4" s="14" t="s">
        <v>155</v>
      </c>
      <c r="F4" s="14" t="s">
        <v>156</v>
      </c>
    </row>
    <row r="5" spans="1:11">
      <c r="C5" s="14" t="s">
        <v>133</v>
      </c>
      <c r="I5" s="61" t="s">
        <v>136</v>
      </c>
      <c r="J5" s="62"/>
      <c r="K5" s="55"/>
    </row>
    <row r="6" spans="1:11">
      <c r="I6" s="56" t="s">
        <v>0</v>
      </c>
      <c r="J6" s="1">
        <v>388.46</v>
      </c>
      <c r="K6" s="63"/>
    </row>
    <row r="7" spans="1:11">
      <c r="I7" s="56" t="s">
        <v>1</v>
      </c>
      <c r="J7" s="1">
        <v>29.304400999999999</v>
      </c>
      <c r="K7" s="63" t="s">
        <v>165</v>
      </c>
    </row>
    <row r="8" spans="1:11">
      <c r="I8" s="56" t="s">
        <v>2</v>
      </c>
      <c r="J8" s="1">
        <f>+J6*J7</f>
        <v>11383.587612459998</v>
      </c>
      <c r="K8" s="63"/>
    </row>
    <row r="9" spans="1:11">
      <c r="I9" s="56" t="s">
        <v>3</v>
      </c>
      <c r="J9" s="1">
        <f>96.749+11.444</f>
        <v>108.193</v>
      </c>
      <c r="K9" s="63" t="str">
        <f>+K7</f>
        <v>Q224</v>
      </c>
    </row>
    <row r="10" spans="1:11">
      <c r="B10" s="14" t="s">
        <v>153</v>
      </c>
      <c r="C10" s="16" t="s">
        <v>101</v>
      </c>
      <c r="D10" s="16"/>
      <c r="E10" s="16" t="s">
        <v>172</v>
      </c>
      <c r="I10" s="56" t="s">
        <v>4</v>
      </c>
      <c r="J10" s="1">
        <v>713.25800000000004</v>
      </c>
      <c r="K10" s="63" t="str">
        <f>+K9</f>
        <v>Q224</v>
      </c>
    </row>
    <row r="11" spans="1:11">
      <c r="B11" s="18" t="s">
        <v>173</v>
      </c>
      <c r="C11" s="18" t="s">
        <v>164</v>
      </c>
      <c r="E11" s="14" t="s">
        <v>142</v>
      </c>
      <c r="I11" s="59" t="s">
        <v>5</v>
      </c>
      <c r="J11" s="64">
        <f>+J8-J9+J10</f>
        <v>11988.652612459999</v>
      </c>
      <c r="K11" s="65"/>
    </row>
    <row r="12" spans="1:11">
      <c r="B12" s="15" t="s">
        <v>154</v>
      </c>
      <c r="C12" s="18" t="s">
        <v>96</v>
      </c>
      <c r="E12" s="14" t="s">
        <v>143</v>
      </c>
      <c r="J12" s="1"/>
    </row>
    <row r="13" spans="1:11">
      <c r="B13" s="17" t="s">
        <v>157</v>
      </c>
      <c r="C13" s="15" t="s">
        <v>95</v>
      </c>
      <c r="E13" s="14" t="s">
        <v>144</v>
      </c>
      <c r="I13" s="54" t="s">
        <v>168</v>
      </c>
      <c r="J13" s="55"/>
    </row>
    <row r="14" spans="1:11">
      <c r="B14" s="17" t="s">
        <v>158</v>
      </c>
      <c r="C14" s="18" t="s">
        <v>94</v>
      </c>
      <c r="E14" s="14" t="s">
        <v>145</v>
      </c>
      <c r="I14" s="56" t="s">
        <v>5</v>
      </c>
      <c r="J14" s="57">
        <f>+J11*1000</f>
        <v>11988652.612459999</v>
      </c>
    </row>
    <row r="15" spans="1:11">
      <c r="A15" s="15" t="s">
        <v>161</v>
      </c>
      <c r="B15" s="17" t="s">
        <v>160</v>
      </c>
      <c r="C15" s="14" t="s">
        <v>93</v>
      </c>
      <c r="E15" s="14" t="s">
        <v>146</v>
      </c>
      <c r="I15" s="56" t="s">
        <v>174</v>
      </c>
      <c r="J15" s="57">
        <f>+Model!AP34</f>
        <v>123713.91078150143</v>
      </c>
    </row>
    <row r="16" spans="1:11">
      <c r="C16" s="14" t="s">
        <v>44</v>
      </c>
      <c r="E16" s="14" t="s">
        <v>147</v>
      </c>
      <c r="I16" s="56" t="s">
        <v>135</v>
      </c>
      <c r="J16" s="58">
        <f>+J11*1000/J15</f>
        <v>96.906261686560683</v>
      </c>
    </row>
    <row r="17" spans="3:10">
      <c r="C17" s="14" t="s">
        <v>43</v>
      </c>
      <c r="E17" s="14" t="s">
        <v>148</v>
      </c>
      <c r="I17" s="56" t="s">
        <v>137</v>
      </c>
      <c r="J17" s="57">
        <f>+Model!W149*4</f>
        <v>134168</v>
      </c>
    </row>
    <row r="18" spans="3:10">
      <c r="C18" s="14" t="s">
        <v>41</v>
      </c>
      <c r="E18" s="14" t="s">
        <v>149</v>
      </c>
      <c r="I18" s="59" t="s">
        <v>138</v>
      </c>
      <c r="J18" s="60">
        <f>+J17/J14</f>
        <v>1.1191249286892928E-2</v>
      </c>
    </row>
    <row r="19" spans="3:10">
      <c r="C19" s="14" t="s">
        <v>42</v>
      </c>
      <c r="E19" s="14" t="s">
        <v>150</v>
      </c>
    </row>
    <row r="20" spans="3:10">
      <c r="E20" s="14" t="s">
        <v>151</v>
      </c>
    </row>
    <row r="21" spans="3:10">
      <c r="E21" s="14" t="s">
        <v>152</v>
      </c>
    </row>
  </sheetData>
  <hyperlinks>
    <hyperlink ref="D2" r:id="rId1" xr:uid="{EE590A54-179B-FE45-B683-872C94684F68}"/>
    <hyperlink ref="C13" r:id="rId2" xr:uid="{0A521868-F75C-5A46-B82D-6EAEA351E7E4}"/>
    <hyperlink ref="F2" r:id="rId3" display="Michaek Skipworth" xr:uid="{2E080B02-4345-E740-A4F9-E13CB4C76620}"/>
    <hyperlink ref="B12" r:id="rId4" xr:uid="{ABC9C923-BCFD-2045-BD80-AC34095D015F}"/>
    <hyperlink ref="B13" r:id="rId5" xr:uid="{302DC749-FE1F-7744-B860-76A0A53A3740}"/>
    <hyperlink ref="B14" r:id="rId6" xr:uid="{49B793E6-29FE-D749-8DE7-47AACCD58E88}"/>
    <hyperlink ref="B15" r:id="rId7" xr:uid="{64FA26DD-15A7-4B43-8F48-F48F454D1BF7}"/>
    <hyperlink ref="A15" r:id="rId8" location=":~:text=An%20accelerated%20share%20repurchase%20(ASR,at%20a%20very%20attractive%20value." xr:uid="{5D04945F-4643-3345-A12B-08280AE76D68}"/>
    <hyperlink ref="C14" r:id="rId9" xr:uid="{008CA037-CBAC-B549-BACF-42557875B587}"/>
    <hyperlink ref="C11" r:id="rId10" xr:uid="{6D98B2D5-D355-0E49-A8F3-C7CF4A4292AC}"/>
    <hyperlink ref="C12" r:id="rId11" xr:uid="{D13CAB9B-8667-744A-A965-9ABFA7E3A79D}"/>
    <hyperlink ref="B11" r:id="rId12" xr:uid="{6AC0CE1F-1F2B-A54E-835D-8CB9C8F5237E}"/>
  </hyperlinks>
  <pageMargins left="0.7" right="0.7" top="0.75" bottom="0.75" header="0.3" footer="0.3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C3A6-9331-BF42-B689-1BE01B3CBCEA}">
  <dimension ref="A1:LI172"/>
  <sheetViews>
    <sheetView zoomScale="130" zoomScaleNormal="130" workbookViewId="0">
      <pane xSplit="2" ySplit="3" topLeftCell="AO13" activePane="bottomRight" state="frozen"/>
      <selection pane="topRight" activeCell="D1" sqref="D1"/>
      <selection pane="bottomLeft" activeCell="A4" sqref="A4"/>
      <selection pane="bottomRight" activeCell="BB48" sqref="BB48"/>
    </sheetView>
  </sheetViews>
  <sheetFormatPr baseColWidth="10" defaultRowHeight="13"/>
  <cols>
    <col min="1" max="1" width="2" style="1" customWidth="1"/>
    <col min="2" max="2" width="21" style="1" bestFit="1" customWidth="1"/>
    <col min="3" max="13" width="7.6640625" style="1" bestFit="1" customWidth="1"/>
    <col min="14" max="22" width="8.1640625" style="1" bestFit="1" customWidth="1"/>
    <col min="23" max="27" width="8.1640625" style="1" customWidth="1"/>
    <col min="28" max="28" width="5.6640625" style="1" bestFit="1" customWidth="1"/>
    <col min="29" max="29" width="6.6640625" style="1" customWidth="1"/>
    <col min="30" max="30" width="5.1640625" style="1" bestFit="1" customWidth="1"/>
    <col min="31" max="33" width="6.6640625" style="1" bestFit="1" customWidth="1"/>
    <col min="34" max="39" width="7.6640625" style="1" bestFit="1" customWidth="1"/>
    <col min="40" max="40" width="8.1640625" style="1" bestFit="1" customWidth="1"/>
    <col min="41" max="41" width="8.6640625" style="1" bestFit="1" customWidth="1"/>
    <col min="42" max="42" width="9.1640625" style="1" bestFit="1" customWidth="1"/>
    <col min="43" max="43" width="8.1640625" style="1" bestFit="1" customWidth="1"/>
    <col min="44" max="53" width="9.1640625" style="1" bestFit="1" customWidth="1"/>
    <col min="54" max="54" width="10.1640625" style="1" bestFit="1" customWidth="1"/>
    <col min="55" max="66" width="9.1640625" style="1" bestFit="1" customWidth="1"/>
    <col min="67" max="110" width="7.6640625" style="1" bestFit="1" customWidth="1"/>
    <col min="111" max="16384" width="10.83203125" style="1"/>
  </cols>
  <sheetData>
    <row r="1" spans="1:321">
      <c r="A1" s="33" t="s">
        <v>168</v>
      </c>
      <c r="AP1" s="1">
        <f t="shared" ref="AP1:AY1" si="0">+AP4-AO4</f>
        <v>285</v>
      </c>
      <c r="AQ1" s="1">
        <f t="shared" si="0"/>
        <v>245</v>
      </c>
      <c r="AR1" s="1">
        <f t="shared" si="0"/>
        <v>245</v>
      </c>
      <c r="AS1" s="1">
        <f t="shared" si="0"/>
        <v>245</v>
      </c>
      <c r="AT1" s="1">
        <f t="shared" si="0"/>
        <v>245</v>
      </c>
      <c r="AU1" s="1">
        <f t="shared" si="0"/>
        <v>245</v>
      </c>
      <c r="AV1" s="1">
        <f t="shared" si="0"/>
        <v>245</v>
      </c>
      <c r="AW1" s="1">
        <f t="shared" si="0"/>
        <v>245</v>
      </c>
      <c r="AX1" s="1">
        <f t="shared" si="0"/>
        <v>245</v>
      </c>
      <c r="AY1" s="1">
        <f t="shared" si="0"/>
        <v>245</v>
      </c>
    </row>
    <row r="3" spans="1:321"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1" t="s">
        <v>16</v>
      </c>
      <c r="N3" s="1" t="s">
        <v>17</v>
      </c>
      <c r="O3" s="1" t="s">
        <v>42</v>
      </c>
      <c r="P3" s="1" t="s">
        <v>41</v>
      </c>
      <c r="Q3" s="1" t="s">
        <v>43</v>
      </c>
      <c r="R3" s="1" t="s">
        <v>44</v>
      </c>
      <c r="S3" s="1" t="s">
        <v>93</v>
      </c>
      <c r="T3" s="1" t="s">
        <v>94</v>
      </c>
      <c r="U3" s="1" t="s">
        <v>95</v>
      </c>
      <c r="V3" s="1" t="s">
        <v>96</v>
      </c>
      <c r="W3" s="1" t="s">
        <v>164</v>
      </c>
      <c r="X3" s="1" t="s">
        <v>165</v>
      </c>
      <c r="Y3" s="1" t="s">
        <v>166</v>
      </c>
      <c r="Z3" s="1" t="s">
        <v>167</v>
      </c>
      <c r="AD3" s="2">
        <f t="shared" ref="AD3:AH3" si="1">+AE3-1</f>
        <v>2012</v>
      </c>
      <c r="AE3" s="2">
        <f t="shared" si="1"/>
        <v>2013</v>
      </c>
      <c r="AF3" s="2">
        <f t="shared" si="1"/>
        <v>2014</v>
      </c>
      <c r="AG3" s="2">
        <f t="shared" si="1"/>
        <v>2015</v>
      </c>
      <c r="AH3" s="2">
        <f t="shared" si="1"/>
        <v>2016</v>
      </c>
      <c r="AI3" s="2">
        <f>+AJ3-1</f>
        <v>2017</v>
      </c>
      <c r="AJ3" s="2">
        <v>2018</v>
      </c>
      <c r="AK3" s="2">
        <v>2019</v>
      </c>
      <c r="AL3" s="2">
        <v>2020</v>
      </c>
      <c r="AM3" s="2">
        <f>+AL3+1</f>
        <v>2021</v>
      </c>
      <c r="AN3" s="2">
        <f t="shared" ref="AN3:AV3" si="2">+AM3+1</f>
        <v>2022</v>
      </c>
      <c r="AO3" s="2">
        <f t="shared" si="2"/>
        <v>2023</v>
      </c>
      <c r="AP3" s="2">
        <f t="shared" si="2"/>
        <v>2024</v>
      </c>
      <c r="AQ3" s="2">
        <f t="shared" si="2"/>
        <v>2025</v>
      </c>
      <c r="AR3" s="2">
        <f t="shared" si="2"/>
        <v>2026</v>
      </c>
      <c r="AS3" s="2">
        <f t="shared" si="2"/>
        <v>2027</v>
      </c>
      <c r="AT3" s="2">
        <f t="shared" si="2"/>
        <v>2028</v>
      </c>
      <c r="AU3" s="2">
        <f t="shared" si="2"/>
        <v>2029</v>
      </c>
      <c r="AV3" s="2">
        <f t="shared" si="2"/>
        <v>2030</v>
      </c>
      <c r="AW3" s="2">
        <f t="shared" ref="AW3:AY3" si="3">+AV3+1</f>
        <v>2031</v>
      </c>
      <c r="AX3" s="2">
        <f t="shared" si="3"/>
        <v>2032</v>
      </c>
      <c r="AY3" s="2">
        <f t="shared" si="3"/>
        <v>2033</v>
      </c>
      <c r="AZ3" s="2">
        <f>+AY3+1</f>
        <v>2034</v>
      </c>
      <c r="BA3" s="2">
        <f t="shared" ref="BA3:DF3" si="4">+AZ3+1</f>
        <v>2035</v>
      </c>
      <c r="BB3" s="2">
        <f t="shared" si="4"/>
        <v>2036</v>
      </c>
      <c r="BC3" s="2">
        <f t="shared" si="4"/>
        <v>2037</v>
      </c>
      <c r="BD3" s="2">
        <f t="shared" si="4"/>
        <v>2038</v>
      </c>
      <c r="BE3" s="2">
        <f t="shared" si="4"/>
        <v>2039</v>
      </c>
      <c r="BF3" s="2">
        <f t="shared" si="4"/>
        <v>2040</v>
      </c>
      <c r="BG3" s="2">
        <f t="shared" si="4"/>
        <v>2041</v>
      </c>
      <c r="BH3" s="2">
        <f t="shared" si="4"/>
        <v>2042</v>
      </c>
      <c r="BI3" s="2">
        <f t="shared" si="4"/>
        <v>2043</v>
      </c>
      <c r="BJ3" s="2">
        <f t="shared" si="4"/>
        <v>2044</v>
      </c>
      <c r="BK3" s="2">
        <f t="shared" si="4"/>
        <v>2045</v>
      </c>
      <c r="BL3" s="2">
        <f t="shared" si="4"/>
        <v>2046</v>
      </c>
      <c r="BM3" s="2">
        <f t="shared" si="4"/>
        <v>2047</v>
      </c>
      <c r="BN3" s="2">
        <f t="shared" si="4"/>
        <v>2048</v>
      </c>
      <c r="BO3" s="2">
        <f t="shared" si="4"/>
        <v>2049</v>
      </c>
      <c r="BP3" s="2">
        <f t="shared" si="4"/>
        <v>2050</v>
      </c>
      <c r="BQ3" s="2">
        <f t="shared" si="4"/>
        <v>2051</v>
      </c>
      <c r="BR3" s="2">
        <f t="shared" si="4"/>
        <v>2052</v>
      </c>
      <c r="BS3" s="2">
        <f t="shared" si="4"/>
        <v>2053</v>
      </c>
      <c r="BT3" s="2">
        <f t="shared" si="4"/>
        <v>2054</v>
      </c>
      <c r="BU3" s="2">
        <f t="shared" si="4"/>
        <v>2055</v>
      </c>
      <c r="BV3" s="2">
        <f t="shared" si="4"/>
        <v>2056</v>
      </c>
      <c r="BW3" s="2">
        <f t="shared" si="4"/>
        <v>2057</v>
      </c>
      <c r="BX3" s="2">
        <f t="shared" si="4"/>
        <v>2058</v>
      </c>
      <c r="BY3" s="2">
        <f t="shared" si="4"/>
        <v>2059</v>
      </c>
      <c r="BZ3" s="2">
        <f t="shared" si="4"/>
        <v>2060</v>
      </c>
      <c r="CA3" s="2">
        <f t="shared" si="4"/>
        <v>2061</v>
      </c>
      <c r="CB3" s="2">
        <f t="shared" si="4"/>
        <v>2062</v>
      </c>
      <c r="CC3" s="2">
        <f t="shared" si="4"/>
        <v>2063</v>
      </c>
      <c r="CD3" s="2">
        <f t="shared" si="4"/>
        <v>2064</v>
      </c>
      <c r="CE3" s="2">
        <f t="shared" si="4"/>
        <v>2065</v>
      </c>
      <c r="CF3" s="2">
        <f t="shared" si="4"/>
        <v>2066</v>
      </c>
      <c r="CG3" s="2">
        <f t="shared" si="4"/>
        <v>2067</v>
      </c>
      <c r="CH3" s="2">
        <f t="shared" si="4"/>
        <v>2068</v>
      </c>
      <c r="CI3" s="2">
        <f t="shared" si="4"/>
        <v>2069</v>
      </c>
      <c r="CJ3" s="2">
        <f t="shared" si="4"/>
        <v>2070</v>
      </c>
      <c r="CK3" s="2">
        <f t="shared" si="4"/>
        <v>2071</v>
      </c>
      <c r="CL3" s="2">
        <f t="shared" si="4"/>
        <v>2072</v>
      </c>
      <c r="CM3" s="2">
        <f t="shared" si="4"/>
        <v>2073</v>
      </c>
      <c r="CN3" s="2">
        <f t="shared" si="4"/>
        <v>2074</v>
      </c>
      <c r="CO3" s="2">
        <f t="shared" si="4"/>
        <v>2075</v>
      </c>
      <c r="CP3" s="2">
        <f t="shared" si="4"/>
        <v>2076</v>
      </c>
      <c r="CQ3" s="2">
        <f t="shared" si="4"/>
        <v>2077</v>
      </c>
      <c r="CR3" s="2">
        <f t="shared" si="4"/>
        <v>2078</v>
      </c>
      <c r="CS3" s="2">
        <f t="shared" si="4"/>
        <v>2079</v>
      </c>
      <c r="CT3" s="2">
        <f t="shared" si="4"/>
        <v>2080</v>
      </c>
      <c r="CU3" s="2">
        <f t="shared" si="4"/>
        <v>2081</v>
      </c>
      <c r="CV3" s="2">
        <f t="shared" si="4"/>
        <v>2082</v>
      </c>
      <c r="CW3" s="2">
        <f t="shared" si="4"/>
        <v>2083</v>
      </c>
      <c r="CX3" s="2">
        <f t="shared" si="4"/>
        <v>2084</v>
      </c>
      <c r="CY3" s="2">
        <f t="shared" si="4"/>
        <v>2085</v>
      </c>
      <c r="CZ3" s="2">
        <f t="shared" si="4"/>
        <v>2086</v>
      </c>
      <c r="DA3" s="2">
        <f t="shared" si="4"/>
        <v>2087</v>
      </c>
      <c r="DB3" s="2">
        <f t="shared" si="4"/>
        <v>2088</v>
      </c>
      <c r="DC3" s="2">
        <f t="shared" si="4"/>
        <v>2089</v>
      </c>
      <c r="DD3" s="2">
        <f t="shared" si="4"/>
        <v>2090</v>
      </c>
      <c r="DE3" s="2">
        <f t="shared" si="4"/>
        <v>2091</v>
      </c>
      <c r="DF3" s="2">
        <f t="shared" si="4"/>
        <v>2092</v>
      </c>
      <c r="DG3" s="2">
        <f t="shared" ref="DG3:FR3" si="5">+DF3+1</f>
        <v>2093</v>
      </c>
      <c r="DH3" s="2">
        <f t="shared" si="5"/>
        <v>2094</v>
      </c>
      <c r="DI3" s="2">
        <f t="shared" si="5"/>
        <v>2095</v>
      </c>
      <c r="DJ3" s="2">
        <f t="shared" si="5"/>
        <v>2096</v>
      </c>
      <c r="DK3" s="2">
        <f t="shared" si="5"/>
        <v>2097</v>
      </c>
      <c r="DL3" s="2">
        <f t="shared" si="5"/>
        <v>2098</v>
      </c>
      <c r="DM3" s="2">
        <f t="shared" si="5"/>
        <v>2099</v>
      </c>
      <c r="DN3" s="2">
        <f t="shared" si="5"/>
        <v>2100</v>
      </c>
      <c r="DO3" s="2">
        <f t="shared" si="5"/>
        <v>2101</v>
      </c>
      <c r="DP3" s="2">
        <f t="shared" si="5"/>
        <v>2102</v>
      </c>
      <c r="DQ3" s="2">
        <f t="shared" si="5"/>
        <v>2103</v>
      </c>
      <c r="DR3" s="2">
        <f t="shared" si="5"/>
        <v>2104</v>
      </c>
      <c r="DS3" s="2">
        <f t="shared" si="5"/>
        <v>2105</v>
      </c>
      <c r="DT3" s="2">
        <f t="shared" si="5"/>
        <v>2106</v>
      </c>
      <c r="DU3" s="2">
        <f t="shared" si="5"/>
        <v>2107</v>
      </c>
      <c r="DV3" s="2">
        <f t="shared" si="5"/>
        <v>2108</v>
      </c>
      <c r="DW3" s="2">
        <f t="shared" si="5"/>
        <v>2109</v>
      </c>
      <c r="DX3" s="2">
        <f t="shared" si="5"/>
        <v>2110</v>
      </c>
      <c r="DY3" s="2">
        <f t="shared" si="5"/>
        <v>2111</v>
      </c>
      <c r="DZ3" s="2">
        <f t="shared" si="5"/>
        <v>2112</v>
      </c>
      <c r="EA3" s="2">
        <f t="shared" si="5"/>
        <v>2113</v>
      </c>
      <c r="EB3" s="2">
        <f t="shared" si="5"/>
        <v>2114</v>
      </c>
      <c r="EC3" s="2">
        <f t="shared" si="5"/>
        <v>2115</v>
      </c>
      <c r="ED3" s="2">
        <f t="shared" si="5"/>
        <v>2116</v>
      </c>
      <c r="EE3" s="2">
        <f t="shared" si="5"/>
        <v>2117</v>
      </c>
      <c r="EF3" s="2">
        <f t="shared" si="5"/>
        <v>2118</v>
      </c>
      <c r="EG3" s="2">
        <f t="shared" si="5"/>
        <v>2119</v>
      </c>
      <c r="EH3" s="2">
        <f t="shared" si="5"/>
        <v>2120</v>
      </c>
      <c r="EI3" s="2">
        <f t="shared" si="5"/>
        <v>2121</v>
      </c>
      <c r="EJ3" s="2">
        <f t="shared" si="5"/>
        <v>2122</v>
      </c>
      <c r="EK3" s="2">
        <f t="shared" si="5"/>
        <v>2123</v>
      </c>
      <c r="EL3" s="2">
        <f t="shared" si="5"/>
        <v>2124</v>
      </c>
      <c r="EM3" s="2">
        <f t="shared" si="5"/>
        <v>2125</v>
      </c>
      <c r="EN3" s="2">
        <f t="shared" si="5"/>
        <v>2126</v>
      </c>
      <c r="EO3" s="2">
        <f t="shared" si="5"/>
        <v>2127</v>
      </c>
      <c r="EP3" s="2">
        <f t="shared" si="5"/>
        <v>2128</v>
      </c>
      <c r="EQ3" s="2">
        <f t="shared" si="5"/>
        <v>2129</v>
      </c>
      <c r="ER3" s="2">
        <f t="shared" si="5"/>
        <v>2130</v>
      </c>
      <c r="ES3" s="2">
        <f t="shared" si="5"/>
        <v>2131</v>
      </c>
      <c r="ET3" s="2">
        <f t="shared" si="5"/>
        <v>2132</v>
      </c>
      <c r="EU3" s="2">
        <f t="shared" si="5"/>
        <v>2133</v>
      </c>
      <c r="EV3" s="2">
        <f t="shared" si="5"/>
        <v>2134</v>
      </c>
      <c r="EW3" s="2">
        <f t="shared" si="5"/>
        <v>2135</v>
      </c>
      <c r="EX3" s="2">
        <f t="shared" si="5"/>
        <v>2136</v>
      </c>
      <c r="EY3" s="2">
        <f t="shared" si="5"/>
        <v>2137</v>
      </c>
      <c r="EZ3" s="2">
        <f t="shared" si="5"/>
        <v>2138</v>
      </c>
      <c r="FA3" s="2">
        <f t="shared" si="5"/>
        <v>2139</v>
      </c>
      <c r="FB3" s="2">
        <f t="shared" si="5"/>
        <v>2140</v>
      </c>
      <c r="FC3" s="2">
        <f t="shared" si="5"/>
        <v>2141</v>
      </c>
      <c r="FD3" s="2">
        <f t="shared" si="5"/>
        <v>2142</v>
      </c>
      <c r="FE3" s="2">
        <f t="shared" si="5"/>
        <v>2143</v>
      </c>
      <c r="FF3" s="2">
        <f t="shared" si="5"/>
        <v>2144</v>
      </c>
      <c r="FG3" s="2">
        <f t="shared" si="5"/>
        <v>2145</v>
      </c>
      <c r="FH3" s="2">
        <f t="shared" si="5"/>
        <v>2146</v>
      </c>
      <c r="FI3" s="2">
        <f t="shared" si="5"/>
        <v>2147</v>
      </c>
      <c r="FJ3" s="2">
        <f t="shared" si="5"/>
        <v>2148</v>
      </c>
      <c r="FK3" s="2">
        <f t="shared" si="5"/>
        <v>2149</v>
      </c>
      <c r="FL3" s="2">
        <f t="shared" si="5"/>
        <v>2150</v>
      </c>
      <c r="FM3" s="2">
        <f t="shared" si="5"/>
        <v>2151</v>
      </c>
      <c r="FN3" s="2">
        <f t="shared" si="5"/>
        <v>2152</v>
      </c>
      <c r="FO3" s="2">
        <f t="shared" si="5"/>
        <v>2153</v>
      </c>
      <c r="FP3" s="2">
        <f t="shared" si="5"/>
        <v>2154</v>
      </c>
      <c r="FQ3" s="2">
        <f t="shared" si="5"/>
        <v>2155</v>
      </c>
      <c r="FR3" s="2">
        <f t="shared" si="5"/>
        <v>2156</v>
      </c>
      <c r="FS3" s="2">
        <f t="shared" ref="FS3:GG3" si="6">+FR3+1</f>
        <v>2157</v>
      </c>
      <c r="FT3" s="2">
        <f t="shared" si="6"/>
        <v>2158</v>
      </c>
      <c r="FU3" s="2">
        <f t="shared" si="6"/>
        <v>2159</v>
      </c>
      <c r="FV3" s="2">
        <f t="shared" si="6"/>
        <v>2160</v>
      </c>
      <c r="FW3" s="2">
        <f t="shared" si="6"/>
        <v>2161</v>
      </c>
      <c r="FX3" s="2">
        <f t="shared" si="6"/>
        <v>2162</v>
      </c>
      <c r="FY3" s="2">
        <f t="shared" si="6"/>
        <v>2163</v>
      </c>
      <c r="FZ3" s="2">
        <f t="shared" si="6"/>
        <v>2164</v>
      </c>
      <c r="GA3" s="2">
        <f t="shared" si="6"/>
        <v>2165</v>
      </c>
      <c r="GB3" s="2">
        <f t="shared" si="6"/>
        <v>2166</v>
      </c>
      <c r="GC3" s="2">
        <f t="shared" si="6"/>
        <v>2167</v>
      </c>
      <c r="GD3" s="2">
        <f t="shared" si="6"/>
        <v>2168</v>
      </c>
      <c r="GE3" s="2">
        <f t="shared" si="6"/>
        <v>2169</v>
      </c>
      <c r="GF3" s="2">
        <f t="shared" si="6"/>
        <v>2170</v>
      </c>
      <c r="GG3" s="2">
        <f t="shared" si="6"/>
        <v>2171</v>
      </c>
      <c r="GH3" s="2">
        <f t="shared" ref="GH3:IQ3" si="7">+GG3+1</f>
        <v>2172</v>
      </c>
      <c r="GI3" s="2">
        <f t="shared" si="7"/>
        <v>2173</v>
      </c>
      <c r="GJ3" s="2">
        <f t="shared" si="7"/>
        <v>2174</v>
      </c>
      <c r="GK3" s="2">
        <f t="shared" si="7"/>
        <v>2175</v>
      </c>
      <c r="GL3" s="2">
        <f t="shared" si="7"/>
        <v>2176</v>
      </c>
      <c r="GM3" s="2">
        <f t="shared" si="7"/>
        <v>2177</v>
      </c>
      <c r="GN3" s="2">
        <f t="shared" si="7"/>
        <v>2178</v>
      </c>
      <c r="GO3" s="2">
        <f t="shared" si="7"/>
        <v>2179</v>
      </c>
      <c r="GP3" s="2">
        <f t="shared" si="7"/>
        <v>2180</v>
      </c>
      <c r="GQ3" s="2">
        <f t="shared" si="7"/>
        <v>2181</v>
      </c>
      <c r="GR3" s="2">
        <f t="shared" si="7"/>
        <v>2182</v>
      </c>
      <c r="GS3" s="2">
        <f t="shared" si="7"/>
        <v>2183</v>
      </c>
      <c r="GT3" s="2">
        <f t="shared" si="7"/>
        <v>2184</v>
      </c>
      <c r="GU3" s="2">
        <f t="shared" si="7"/>
        <v>2185</v>
      </c>
      <c r="GV3" s="2">
        <f t="shared" si="7"/>
        <v>2186</v>
      </c>
      <c r="GW3" s="2">
        <f t="shared" si="7"/>
        <v>2187</v>
      </c>
      <c r="GX3" s="2">
        <f t="shared" si="7"/>
        <v>2188</v>
      </c>
      <c r="GY3" s="2">
        <f t="shared" si="7"/>
        <v>2189</v>
      </c>
      <c r="GZ3" s="2">
        <f t="shared" si="7"/>
        <v>2190</v>
      </c>
      <c r="HA3" s="2">
        <f t="shared" si="7"/>
        <v>2191</v>
      </c>
      <c r="HB3" s="2">
        <f t="shared" si="7"/>
        <v>2192</v>
      </c>
      <c r="HC3" s="2">
        <f t="shared" si="7"/>
        <v>2193</v>
      </c>
      <c r="HD3" s="2">
        <f t="shared" si="7"/>
        <v>2194</v>
      </c>
      <c r="HE3" s="2">
        <f t="shared" si="7"/>
        <v>2195</v>
      </c>
      <c r="HF3" s="2">
        <f t="shared" si="7"/>
        <v>2196</v>
      </c>
      <c r="HG3" s="2">
        <f t="shared" si="7"/>
        <v>2197</v>
      </c>
      <c r="HH3" s="2">
        <f t="shared" si="7"/>
        <v>2198</v>
      </c>
      <c r="HI3" s="2">
        <f t="shared" si="7"/>
        <v>2199</v>
      </c>
      <c r="HJ3" s="2">
        <f t="shared" si="7"/>
        <v>2200</v>
      </c>
      <c r="HK3" s="2">
        <f t="shared" si="7"/>
        <v>2201</v>
      </c>
      <c r="HL3" s="2">
        <f t="shared" si="7"/>
        <v>2202</v>
      </c>
      <c r="HM3" s="2">
        <f t="shared" si="7"/>
        <v>2203</v>
      </c>
      <c r="HN3" s="2">
        <f t="shared" si="7"/>
        <v>2204</v>
      </c>
      <c r="HO3" s="2">
        <f t="shared" si="7"/>
        <v>2205</v>
      </c>
      <c r="HP3" s="2">
        <f t="shared" si="7"/>
        <v>2206</v>
      </c>
      <c r="HQ3" s="2">
        <f t="shared" si="7"/>
        <v>2207</v>
      </c>
      <c r="HR3" s="2">
        <f t="shared" si="7"/>
        <v>2208</v>
      </c>
      <c r="HS3" s="2">
        <f t="shared" si="7"/>
        <v>2209</v>
      </c>
      <c r="HT3" s="2">
        <f t="shared" si="7"/>
        <v>2210</v>
      </c>
      <c r="HU3" s="2">
        <f t="shared" si="7"/>
        <v>2211</v>
      </c>
      <c r="HV3" s="2">
        <f t="shared" si="7"/>
        <v>2212</v>
      </c>
      <c r="HW3" s="2">
        <f t="shared" si="7"/>
        <v>2213</v>
      </c>
      <c r="HX3" s="2">
        <f t="shared" si="7"/>
        <v>2214</v>
      </c>
      <c r="HY3" s="2">
        <f t="shared" si="7"/>
        <v>2215</v>
      </c>
      <c r="HZ3" s="2">
        <f t="shared" si="7"/>
        <v>2216</v>
      </c>
      <c r="IA3" s="2">
        <f t="shared" si="7"/>
        <v>2217</v>
      </c>
      <c r="IB3" s="2">
        <f t="shared" si="7"/>
        <v>2218</v>
      </c>
      <c r="IC3" s="2">
        <f t="shared" si="7"/>
        <v>2219</v>
      </c>
      <c r="ID3" s="2">
        <f t="shared" si="7"/>
        <v>2220</v>
      </c>
      <c r="IE3" s="2">
        <f t="shared" si="7"/>
        <v>2221</v>
      </c>
      <c r="IF3" s="2">
        <f t="shared" si="7"/>
        <v>2222</v>
      </c>
      <c r="IG3" s="2">
        <f t="shared" si="7"/>
        <v>2223</v>
      </c>
      <c r="IH3" s="2">
        <f t="shared" si="7"/>
        <v>2224</v>
      </c>
      <c r="II3" s="2">
        <f t="shared" si="7"/>
        <v>2225</v>
      </c>
      <c r="IJ3" s="2">
        <f t="shared" si="7"/>
        <v>2226</v>
      </c>
      <c r="IK3" s="2">
        <f t="shared" si="7"/>
        <v>2227</v>
      </c>
      <c r="IL3" s="2">
        <f t="shared" si="7"/>
        <v>2228</v>
      </c>
      <c r="IM3" s="2">
        <f t="shared" si="7"/>
        <v>2229</v>
      </c>
      <c r="IN3" s="2">
        <f t="shared" si="7"/>
        <v>2230</v>
      </c>
      <c r="IO3" s="2">
        <f t="shared" si="7"/>
        <v>2231</v>
      </c>
      <c r="IP3" s="2">
        <f t="shared" si="7"/>
        <v>2232</v>
      </c>
      <c r="IQ3" s="2">
        <f t="shared" si="7"/>
        <v>2233</v>
      </c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</row>
    <row r="4" spans="1:321" s="5" customFormat="1">
      <c r="B4" s="66" t="s">
        <v>34</v>
      </c>
      <c r="C4" s="19"/>
      <c r="D4" s="19"/>
      <c r="E4" s="19">
        <v>1340</v>
      </c>
      <c r="F4" s="19">
        <v>1385</v>
      </c>
      <c r="G4" s="19">
        <v>1413</v>
      </c>
      <c r="H4" s="19">
        <v>1436</v>
      </c>
      <c r="I4" s="19">
        <v>1479</v>
      </c>
      <c r="J4" s="19">
        <v>1538</v>
      </c>
      <c r="K4" s="19">
        <v>1579</v>
      </c>
      <c r="L4" s="19">
        <v>1624</v>
      </c>
      <c r="M4" s="19">
        <f>SUM(M5:M7)</f>
        <v>1673</v>
      </c>
      <c r="N4" s="19">
        <f>SUM(N5:N7)</f>
        <v>1731</v>
      </c>
      <c r="O4" s="19">
        <v>1791</v>
      </c>
      <c r="P4" s="19">
        <f>SUM(P5:P7)</f>
        <v>1858</v>
      </c>
      <c r="Q4" s="19">
        <f>SUM(Q5:Q7)</f>
        <v>1898</v>
      </c>
      <c r="R4" s="19">
        <f>SUM(R5:R7)</f>
        <v>1959</v>
      </c>
      <c r="S4" s="19">
        <v>1996</v>
      </c>
      <c r="T4" s="19">
        <f>SUM(T5:T7)</f>
        <v>2046</v>
      </c>
      <c r="U4" s="19">
        <f>SUM(U5:U7)</f>
        <v>2099</v>
      </c>
      <c r="V4" s="19">
        <f>+SUM(V5:V7)</f>
        <v>2214</v>
      </c>
      <c r="W4" s="19">
        <f>SUM(W5:W7)</f>
        <v>2279</v>
      </c>
      <c r="X4" s="19">
        <f>SUM(X5:X7)</f>
        <v>2352</v>
      </c>
      <c r="Y4" s="19"/>
      <c r="Z4" s="19"/>
      <c r="AA4" s="19"/>
      <c r="AB4" s="19"/>
      <c r="AC4" s="19"/>
      <c r="AD4" s="19"/>
      <c r="AE4" s="19"/>
      <c r="AF4" s="19">
        <v>712</v>
      </c>
      <c r="AG4" s="19">
        <v>845</v>
      </c>
      <c r="AH4" s="19">
        <v>998</v>
      </c>
      <c r="AI4" s="19">
        <v>1133</v>
      </c>
      <c r="AJ4" s="20">
        <v>1252</v>
      </c>
      <c r="AK4" s="20">
        <f>+F4</f>
        <v>1385</v>
      </c>
      <c r="AL4" s="20">
        <f>+J4</f>
        <v>1538</v>
      </c>
      <c r="AM4" s="19">
        <f>+N4</f>
        <v>1731</v>
      </c>
      <c r="AN4" s="19">
        <v>1959</v>
      </c>
      <c r="AO4" s="19">
        <v>2214</v>
      </c>
      <c r="AP4" s="19">
        <f>+AO4+AVERAGE(275,295)</f>
        <v>2499</v>
      </c>
      <c r="AQ4" s="19">
        <f>SUM(AQ5:AQ7)</f>
        <v>2744</v>
      </c>
      <c r="AR4" s="19">
        <f t="shared" ref="AR4:AY4" si="8">SUM(AR5:AR7)</f>
        <v>2989</v>
      </c>
      <c r="AS4" s="19">
        <f t="shared" si="8"/>
        <v>3234</v>
      </c>
      <c r="AT4" s="19">
        <f t="shared" si="8"/>
        <v>3479</v>
      </c>
      <c r="AU4" s="19">
        <f t="shared" si="8"/>
        <v>3724</v>
      </c>
      <c r="AV4" s="19">
        <f t="shared" si="8"/>
        <v>3969</v>
      </c>
      <c r="AW4" s="19">
        <f t="shared" si="8"/>
        <v>4214</v>
      </c>
      <c r="AX4" s="19">
        <f t="shared" si="8"/>
        <v>4459</v>
      </c>
      <c r="AY4" s="19">
        <f t="shared" si="8"/>
        <v>4704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</row>
    <row r="5" spans="1:321" s="4" customFormat="1">
      <c r="B5" s="4" t="s">
        <v>47</v>
      </c>
      <c r="C5" s="21"/>
      <c r="D5" s="21"/>
      <c r="E5" s="21">
        <v>1169</v>
      </c>
      <c r="F5" s="21">
        <v>1200</v>
      </c>
      <c r="G5" s="21">
        <v>1221</v>
      </c>
      <c r="H5" s="21">
        <v>1244</v>
      </c>
      <c r="I5" s="21">
        <v>1277</v>
      </c>
      <c r="J5" s="21">
        <v>1327</v>
      </c>
      <c r="K5" s="21">
        <v>1371</v>
      </c>
      <c r="L5" s="21">
        <v>1415</v>
      </c>
      <c r="M5" s="21">
        <v>1461</v>
      </c>
      <c r="N5" s="21">
        <v>1498</v>
      </c>
      <c r="O5" s="21">
        <v>1551</v>
      </c>
      <c r="P5" s="21">
        <v>1600</v>
      </c>
      <c r="Q5" s="21">
        <v>1631</v>
      </c>
      <c r="R5" s="21">
        <v>1678</v>
      </c>
      <c r="S5" s="21">
        <v>1678</v>
      </c>
      <c r="T5" s="21">
        <v>1749</v>
      </c>
      <c r="U5" s="21">
        <v>1791</v>
      </c>
      <c r="V5" s="21">
        <v>1877</v>
      </c>
      <c r="W5" s="21">
        <v>1924</v>
      </c>
      <c r="X5" s="21">
        <v>1988</v>
      </c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>
        <f>+J5</f>
        <v>1327</v>
      </c>
      <c r="AM5" s="21">
        <f>+N5</f>
        <v>1498</v>
      </c>
      <c r="AN5" s="21">
        <f>+R5</f>
        <v>1678</v>
      </c>
      <c r="AO5" s="21">
        <f>+V5</f>
        <v>1877</v>
      </c>
      <c r="AP5" s="21">
        <f>+AO5+230</f>
        <v>2107</v>
      </c>
      <c r="AQ5" s="21">
        <f>+AP5+220</f>
        <v>2327</v>
      </c>
      <c r="AR5" s="21">
        <f t="shared" ref="AR5:AY5" si="9">+AQ5+220</f>
        <v>2547</v>
      </c>
      <c r="AS5" s="21">
        <f t="shared" si="9"/>
        <v>2767</v>
      </c>
      <c r="AT5" s="21">
        <f t="shared" si="9"/>
        <v>2987</v>
      </c>
      <c r="AU5" s="21">
        <f t="shared" si="9"/>
        <v>3207</v>
      </c>
      <c r="AV5" s="21">
        <f t="shared" si="9"/>
        <v>3427</v>
      </c>
      <c r="AW5" s="21">
        <f t="shared" si="9"/>
        <v>3647</v>
      </c>
      <c r="AX5" s="21">
        <f t="shared" si="9"/>
        <v>3867</v>
      </c>
      <c r="AY5" s="21">
        <f t="shared" si="9"/>
        <v>4087</v>
      </c>
    </row>
    <row r="6" spans="1:321" s="4" customFormat="1">
      <c r="B6" s="4" t="s">
        <v>48</v>
      </c>
      <c r="C6" s="21"/>
      <c r="D6" s="21"/>
      <c r="E6" s="21">
        <v>141</v>
      </c>
      <c r="F6" s="21">
        <v>154</v>
      </c>
      <c r="G6" s="21">
        <v>160</v>
      </c>
      <c r="H6" s="21">
        <v>162</v>
      </c>
      <c r="I6" s="21">
        <v>171</v>
      </c>
      <c r="J6" s="21">
        <v>179</v>
      </c>
      <c r="K6" s="21">
        <v>175</v>
      </c>
      <c r="L6" s="21">
        <v>175</v>
      </c>
      <c r="M6" s="21">
        <v>180</v>
      </c>
      <c r="N6" s="21">
        <v>197</v>
      </c>
      <c r="O6" s="21">
        <v>203</v>
      </c>
      <c r="P6" s="21">
        <v>219</v>
      </c>
      <c r="Q6" s="21">
        <v>42</v>
      </c>
      <c r="R6" s="21">
        <v>238</v>
      </c>
      <c r="S6" s="21">
        <v>243</v>
      </c>
      <c r="T6" s="21">
        <v>252</v>
      </c>
      <c r="U6" s="21">
        <v>262</v>
      </c>
      <c r="V6" s="21">
        <v>288</v>
      </c>
      <c r="W6" s="21">
        <v>305</v>
      </c>
      <c r="X6" s="21">
        <v>312</v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>
        <f>+J6</f>
        <v>179</v>
      </c>
      <c r="AM6" s="21">
        <f>+N6</f>
        <v>197</v>
      </c>
      <c r="AN6" s="21">
        <f>+R6</f>
        <v>238</v>
      </c>
      <c r="AO6" s="21">
        <f>+V6</f>
        <v>288</v>
      </c>
      <c r="AP6" s="21">
        <f>+AO6+50</f>
        <v>338</v>
      </c>
      <c r="AQ6" s="21">
        <f>+AP6+20</f>
        <v>358</v>
      </c>
      <c r="AR6" s="21">
        <f t="shared" ref="AR6:AY6" si="10">+AQ6+20</f>
        <v>378</v>
      </c>
      <c r="AS6" s="21">
        <f t="shared" si="10"/>
        <v>398</v>
      </c>
      <c r="AT6" s="21">
        <f t="shared" si="10"/>
        <v>418</v>
      </c>
      <c r="AU6" s="21">
        <f t="shared" si="10"/>
        <v>438</v>
      </c>
      <c r="AV6" s="21">
        <f t="shared" si="10"/>
        <v>458</v>
      </c>
      <c r="AW6" s="21">
        <f t="shared" si="10"/>
        <v>478</v>
      </c>
      <c r="AX6" s="21">
        <f t="shared" si="10"/>
        <v>498</v>
      </c>
      <c r="AY6" s="21">
        <f t="shared" si="10"/>
        <v>518</v>
      </c>
    </row>
    <row r="7" spans="1:321" s="4" customFormat="1">
      <c r="B7" s="4" t="s">
        <v>35</v>
      </c>
      <c r="C7" s="21"/>
      <c r="D7" s="21"/>
      <c r="E7" s="21">
        <f t="shared" ref="E7:K7" si="11">+E4-SUM(E5:E6)</f>
        <v>30</v>
      </c>
      <c r="F7" s="21">
        <f t="shared" si="11"/>
        <v>31</v>
      </c>
      <c r="G7" s="21">
        <f t="shared" si="11"/>
        <v>32</v>
      </c>
      <c r="H7" s="21">
        <f t="shared" si="11"/>
        <v>30</v>
      </c>
      <c r="I7" s="21">
        <f t="shared" si="11"/>
        <v>31</v>
      </c>
      <c r="J7" s="21">
        <f t="shared" si="11"/>
        <v>32</v>
      </c>
      <c r="K7" s="21">
        <f t="shared" si="11"/>
        <v>33</v>
      </c>
      <c r="L7" s="21">
        <f>+L4-SUM(L5:L6)</f>
        <v>34</v>
      </c>
      <c r="M7" s="21">
        <v>32</v>
      </c>
      <c r="N7" s="21">
        <v>36</v>
      </c>
      <c r="O7" s="21">
        <v>37</v>
      </c>
      <c r="P7" s="21">
        <v>39</v>
      </c>
      <c r="Q7" s="21">
        <v>225</v>
      </c>
      <c r="R7" s="21">
        <v>43</v>
      </c>
      <c r="S7" s="21">
        <v>43</v>
      </c>
      <c r="T7" s="21">
        <v>45</v>
      </c>
      <c r="U7" s="21">
        <v>46</v>
      </c>
      <c r="V7" s="21">
        <v>49</v>
      </c>
      <c r="W7" s="21">
        <v>50</v>
      </c>
      <c r="X7" s="21">
        <v>52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>
        <f>+J7</f>
        <v>32</v>
      </c>
      <c r="AM7" s="21">
        <f>+N7</f>
        <v>36</v>
      </c>
      <c r="AN7" s="21">
        <f>+R7</f>
        <v>43</v>
      </c>
      <c r="AO7" s="21">
        <f>+V7</f>
        <v>49</v>
      </c>
      <c r="AP7" s="21">
        <f>+AO7+5</f>
        <v>54</v>
      </c>
      <c r="AQ7" s="21">
        <f>+AP7+5</f>
        <v>59</v>
      </c>
      <c r="AR7" s="21">
        <f t="shared" ref="AR7:AY7" si="12">+AQ7+5</f>
        <v>64</v>
      </c>
      <c r="AS7" s="21">
        <f t="shared" si="12"/>
        <v>69</v>
      </c>
      <c r="AT7" s="21">
        <f t="shared" si="12"/>
        <v>74</v>
      </c>
      <c r="AU7" s="21">
        <f t="shared" si="12"/>
        <v>79</v>
      </c>
      <c r="AV7" s="21">
        <f t="shared" si="12"/>
        <v>84</v>
      </c>
      <c r="AW7" s="21">
        <f t="shared" si="12"/>
        <v>89</v>
      </c>
      <c r="AX7" s="21">
        <f t="shared" si="12"/>
        <v>94</v>
      </c>
      <c r="AY7" s="21">
        <f t="shared" si="12"/>
        <v>99</v>
      </c>
    </row>
    <row r="8" spans="1:321" s="4" customFormat="1"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3"/>
      <c r="AL8" s="24"/>
      <c r="AM8" s="23"/>
      <c r="AN8" s="22"/>
      <c r="AO8" s="23"/>
      <c r="AP8" s="23"/>
      <c r="AQ8" s="23"/>
      <c r="AR8" s="23"/>
      <c r="AS8" s="23"/>
      <c r="AT8" s="23"/>
      <c r="AU8" s="23"/>
      <c r="AV8" s="23"/>
      <c r="AW8" s="23"/>
      <c r="AX8" s="22"/>
      <c r="AY8" s="22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</row>
    <row r="9" spans="1:321" s="4" customFormat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3"/>
      <c r="AK9" s="23"/>
      <c r="AL9" s="23"/>
      <c r="AM9" s="23">
        <f t="shared" ref="AM9:AO10" si="13">+AM5-AL5</f>
        <v>171</v>
      </c>
      <c r="AN9" s="23">
        <f t="shared" si="13"/>
        <v>180</v>
      </c>
      <c r="AO9" s="23">
        <f t="shared" si="13"/>
        <v>199</v>
      </c>
      <c r="AP9" s="23"/>
      <c r="AQ9" s="23"/>
      <c r="AR9" s="23"/>
      <c r="AS9" s="23"/>
      <c r="AT9" s="23"/>
      <c r="AU9" s="23"/>
      <c r="AV9" s="23"/>
      <c r="AW9" s="23"/>
      <c r="AX9" s="23"/>
      <c r="AY9" s="23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</row>
    <row r="10" spans="1:321" s="4" customFormat="1">
      <c r="B10" s="5" t="s">
        <v>33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3"/>
      <c r="AK10" s="23"/>
      <c r="AL10" s="23"/>
      <c r="AM10" s="23">
        <f t="shared" si="13"/>
        <v>18</v>
      </c>
      <c r="AN10" s="23">
        <f t="shared" si="13"/>
        <v>41</v>
      </c>
      <c r="AO10" s="23">
        <f t="shared" si="13"/>
        <v>50</v>
      </c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1:321" s="4" customFormat="1">
      <c r="B11" s="4" t="s">
        <v>34</v>
      </c>
      <c r="C11" s="21"/>
      <c r="D11" s="21"/>
      <c r="E11" s="21"/>
      <c r="F11" s="21"/>
      <c r="G11" s="21"/>
      <c r="H11" s="21"/>
      <c r="I11" s="22">
        <f>+IFERROR(I4/E4-1,0)</f>
        <v>0.10373134328358202</v>
      </c>
      <c r="J11" s="22">
        <f t="shared" ref="J11:X13" si="14">+IFERROR(J4/F4-1,0)</f>
        <v>0.1104693140794224</v>
      </c>
      <c r="K11" s="22">
        <f t="shared" si="14"/>
        <v>0.11748053786270352</v>
      </c>
      <c r="L11" s="22">
        <f t="shared" si="14"/>
        <v>0.13091922005571033</v>
      </c>
      <c r="M11" s="22">
        <f t="shared" si="14"/>
        <v>0.13116970926301552</v>
      </c>
      <c r="N11" s="22">
        <f t="shared" si="14"/>
        <v>0.12548764629388809</v>
      </c>
      <c r="O11" s="22">
        <f t="shared" si="14"/>
        <v>0.13426219126029126</v>
      </c>
      <c r="P11" s="22">
        <f t="shared" si="14"/>
        <v>0.14408866995073888</v>
      </c>
      <c r="Q11" s="22">
        <f t="shared" si="14"/>
        <v>0.1344889420203228</v>
      </c>
      <c r="R11" s="22">
        <f t="shared" si="14"/>
        <v>0.1317157712305026</v>
      </c>
      <c r="S11" s="22">
        <f t="shared" si="14"/>
        <v>0.11446119486320483</v>
      </c>
      <c r="T11" s="22">
        <f t="shared" si="14"/>
        <v>0.10118406889128084</v>
      </c>
      <c r="U11" s="22">
        <f t="shared" si="14"/>
        <v>0.10590094836670172</v>
      </c>
      <c r="V11" s="22">
        <f t="shared" si="14"/>
        <v>0.13016845329249627</v>
      </c>
      <c r="W11" s="22">
        <f t="shared" si="14"/>
        <v>0.14178356713426843</v>
      </c>
      <c r="X11" s="22">
        <f t="shared" si="14"/>
        <v>0.14956011730205288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</row>
    <row r="12" spans="1:321" s="4" customFormat="1">
      <c r="B12" s="4" t="s">
        <v>47</v>
      </c>
      <c r="C12" s="21"/>
      <c r="D12" s="21"/>
      <c r="E12" s="21"/>
      <c r="F12" s="21"/>
      <c r="G12" s="21"/>
      <c r="H12" s="21"/>
      <c r="I12" s="22">
        <f t="shared" ref="I12:I13" si="15">+IFERROR(I5/E5-1,0)</f>
        <v>9.2386655260906725E-2</v>
      </c>
      <c r="J12" s="22">
        <f t="shared" si="14"/>
        <v>0.10583333333333322</v>
      </c>
      <c r="K12" s="22">
        <f t="shared" si="14"/>
        <v>0.12285012285012287</v>
      </c>
      <c r="L12" s="22">
        <f t="shared" si="14"/>
        <v>0.137459807073955</v>
      </c>
      <c r="M12" s="22">
        <f t="shared" si="14"/>
        <v>0.14408770555990613</v>
      </c>
      <c r="N12" s="22">
        <f t="shared" si="14"/>
        <v>0.1288620949510173</v>
      </c>
      <c r="O12" s="22">
        <f t="shared" si="14"/>
        <v>0.13129102844638951</v>
      </c>
      <c r="P12" s="22">
        <f t="shared" si="14"/>
        <v>0.13074204946996471</v>
      </c>
      <c r="Q12" s="22">
        <f t="shared" si="14"/>
        <v>0.11635865845311422</v>
      </c>
      <c r="R12" s="22">
        <f t="shared" si="14"/>
        <v>0.12016021361815765</v>
      </c>
      <c r="S12" s="22">
        <f t="shared" si="14"/>
        <v>8.1882656350741545E-2</v>
      </c>
      <c r="T12" s="22">
        <f t="shared" si="14"/>
        <v>9.3124999999999902E-2</v>
      </c>
      <c r="U12" s="22">
        <f t="shared" si="14"/>
        <v>9.8099325567136741E-2</v>
      </c>
      <c r="V12" s="22">
        <f t="shared" si="14"/>
        <v>0.11859356376638863</v>
      </c>
      <c r="W12" s="22">
        <f t="shared" si="14"/>
        <v>0.1466030989272944</v>
      </c>
      <c r="X12" s="22">
        <f t="shared" si="14"/>
        <v>0.13664951400800462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</row>
    <row r="13" spans="1:321" s="4" customFormat="1">
      <c r="B13" s="4" t="s">
        <v>48</v>
      </c>
      <c r="C13" s="21"/>
      <c r="D13" s="21"/>
      <c r="E13" s="21"/>
      <c r="F13" s="21"/>
      <c r="G13" s="21"/>
      <c r="H13" s="21"/>
      <c r="I13" s="22">
        <f t="shared" si="15"/>
        <v>0.2127659574468086</v>
      </c>
      <c r="J13" s="22">
        <f t="shared" si="14"/>
        <v>0.16233766233766245</v>
      </c>
      <c r="K13" s="22">
        <f t="shared" si="14"/>
        <v>9.375E-2</v>
      </c>
      <c r="L13" s="22">
        <f t="shared" si="14"/>
        <v>8.0246913580246826E-2</v>
      </c>
      <c r="M13" s="22">
        <f t="shared" si="14"/>
        <v>5.2631578947368363E-2</v>
      </c>
      <c r="N13" s="22">
        <f t="shared" si="14"/>
        <v>0.1005586592178771</v>
      </c>
      <c r="O13" s="22">
        <f t="shared" si="14"/>
        <v>0.15999999999999992</v>
      </c>
      <c r="P13" s="22">
        <f t="shared" si="14"/>
        <v>0.25142857142857133</v>
      </c>
      <c r="Q13" s="22">
        <f t="shared" si="14"/>
        <v>-0.76666666666666661</v>
      </c>
      <c r="R13" s="22">
        <f t="shared" si="14"/>
        <v>0.20812182741116758</v>
      </c>
      <c r="S13" s="22">
        <f t="shared" si="14"/>
        <v>0.19704433497536944</v>
      </c>
      <c r="T13" s="22">
        <f t="shared" si="14"/>
        <v>0.15068493150684925</v>
      </c>
      <c r="U13" s="22">
        <f t="shared" si="14"/>
        <v>5.2380952380952381</v>
      </c>
      <c r="V13" s="22">
        <f t="shared" si="14"/>
        <v>0.2100840336134453</v>
      </c>
      <c r="W13" s="22">
        <f t="shared" si="14"/>
        <v>0.25514403292181065</v>
      </c>
      <c r="X13" s="22">
        <f t="shared" si="14"/>
        <v>0.23809523809523814</v>
      </c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</row>
    <row r="14" spans="1:321" s="7" customFormat="1">
      <c r="B14" s="9" t="s">
        <v>116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>
        <v>6.9000000000000006E-2</v>
      </c>
      <c r="R14" s="22"/>
      <c r="S14" s="22"/>
      <c r="T14" s="22"/>
      <c r="U14" s="22">
        <v>0.153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 spans="1:321" s="4" customFormat="1"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21"/>
      <c r="N15" s="22"/>
      <c r="O15" s="22"/>
      <c r="P15" s="22"/>
      <c r="Q15" s="22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</row>
    <row r="16" spans="1:321" s="8" customFormat="1">
      <c r="B16" s="8" t="s">
        <v>175</v>
      </c>
      <c r="C16" s="23"/>
      <c r="D16" s="23"/>
      <c r="E16" s="67">
        <f>+E20/SUM(E5:E6)</f>
        <v>16.699236641221376</v>
      </c>
      <c r="F16" s="67">
        <f t="shared" ref="F16:W16" si="16">+F20/SUM(F5:F6)</f>
        <v>17.651403249630725</v>
      </c>
      <c r="G16" s="67">
        <f t="shared" si="16"/>
        <v>17.522809558291094</v>
      </c>
      <c r="H16" s="67">
        <f t="shared" si="16"/>
        <v>19.813655761024183</v>
      </c>
      <c r="I16" s="67">
        <f t="shared" si="16"/>
        <v>19.893646408839778</v>
      </c>
      <c r="J16" s="67">
        <f t="shared" si="16"/>
        <v>18.605577689243027</v>
      </c>
      <c r="K16" s="67">
        <f t="shared" si="16"/>
        <v>20.443725743855111</v>
      </c>
      <c r="L16" s="67">
        <f t="shared" si="16"/>
        <v>20.839622641509433</v>
      </c>
      <c r="M16" s="67">
        <f t="shared" si="16"/>
        <v>20.005484460694699</v>
      </c>
      <c r="N16" s="67">
        <f t="shared" si="16"/>
        <v>19.53156342182891</v>
      </c>
      <c r="O16" s="67">
        <f t="shared" si="16"/>
        <v>19.994298745724059</v>
      </c>
      <c r="P16" s="67">
        <f t="shared" si="16"/>
        <v>19.815283122594831</v>
      </c>
      <c r="Q16" s="67">
        <f t="shared" si="16"/>
        <v>24.126120741183502</v>
      </c>
      <c r="R16" s="67">
        <f t="shared" si="16"/>
        <v>24.601774530271399</v>
      </c>
      <c r="S16" s="67">
        <f t="shared" si="16"/>
        <v>25.084851639770953</v>
      </c>
      <c r="T16" s="67">
        <f t="shared" si="16"/>
        <v>23.980009995002497</v>
      </c>
      <c r="U16" s="67">
        <f t="shared" si="16"/>
        <v>25.913297613248904</v>
      </c>
      <c r="V16" s="67">
        <f t="shared" si="16"/>
        <v>26.653579676674365</v>
      </c>
      <c r="W16" s="67">
        <f t="shared" si="16"/>
        <v>30.101839389860924</v>
      </c>
      <c r="X16" s="67">
        <f t="shared" ref="X16" si="17">+X20/SUM(X5:X6)</f>
        <v>30.939130434782609</v>
      </c>
      <c r="Y16" s="23"/>
      <c r="Z16" s="23"/>
      <c r="AA16" s="23"/>
      <c r="AB16" s="23"/>
      <c r="AC16" s="23"/>
      <c r="AD16" s="23"/>
      <c r="AE16" s="23"/>
      <c r="AF16" s="67"/>
      <c r="AG16" s="23"/>
      <c r="AH16" s="23"/>
      <c r="AI16" s="23"/>
      <c r="AJ16" s="23"/>
      <c r="AK16" s="23"/>
      <c r="AL16" s="67">
        <f t="shared" ref="AL16:AM16" si="18">+AL20/SUM(AL5:AL6)</f>
        <v>72.299468791500658</v>
      </c>
      <c r="AM16" s="67">
        <f t="shared" si="18"/>
        <v>77.094985250737466</v>
      </c>
      <c r="AN16" s="67">
        <f t="shared" ref="AN16:AO16" si="19">+AN20/SUM(AN5:AN6)</f>
        <v>82.783924843423804</v>
      </c>
      <c r="AO16" s="67">
        <f t="shared" si="19"/>
        <v>95.647575057736717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</row>
    <row r="17" spans="2:95" s="8" customFormat="1">
      <c r="B17" s="8" t="s">
        <v>176</v>
      </c>
      <c r="C17" s="23"/>
      <c r="D17" s="23"/>
      <c r="E17" s="67">
        <f>+E22/E7</f>
        <v>464.76666666666665</v>
      </c>
      <c r="F17" s="67">
        <f t="shared" ref="F17:W17" si="20">+F22/F7</f>
        <v>455.06451612903226</v>
      </c>
      <c r="G17" s="67">
        <f t="shared" si="20"/>
        <v>475.71875</v>
      </c>
      <c r="H17" s="67">
        <f t="shared" si="20"/>
        <v>610.79999999999995</v>
      </c>
      <c r="I17" s="67">
        <f t="shared" si="20"/>
        <v>500.93548387096774</v>
      </c>
      <c r="J17" s="67">
        <f t="shared" si="20"/>
        <v>497.5625</v>
      </c>
      <c r="K17" s="67">
        <f t="shared" si="20"/>
        <v>532.24242424242425</v>
      </c>
      <c r="L17" s="67">
        <f t="shared" si="20"/>
        <v>537.88235294117646</v>
      </c>
      <c r="M17" s="67">
        <f t="shared" si="20"/>
        <v>543.125</v>
      </c>
      <c r="N17" s="67">
        <f t="shared" si="20"/>
        <v>474.02777777777777</v>
      </c>
      <c r="O17" s="67">
        <f t="shared" si="20"/>
        <v>502.59459459459458</v>
      </c>
      <c r="P17" s="67">
        <f t="shared" si="20"/>
        <v>480.66666666666669</v>
      </c>
      <c r="Q17" s="67">
        <f t="shared" si="20"/>
        <v>89.61333333333333</v>
      </c>
      <c r="R17" s="67">
        <f t="shared" si="20"/>
        <v>520.72093023255809</v>
      </c>
      <c r="S17" s="67">
        <f t="shared" si="20"/>
        <v>536.51162790697674</v>
      </c>
      <c r="T17" s="67">
        <f t="shared" si="20"/>
        <v>502.06666666666666</v>
      </c>
      <c r="U17" s="67">
        <f t="shared" si="20"/>
        <v>520.71739130434787</v>
      </c>
      <c r="V17" s="67">
        <f t="shared" si="20"/>
        <v>535.18367346938771</v>
      </c>
      <c r="W17" s="67">
        <f t="shared" si="20"/>
        <v>570.86</v>
      </c>
      <c r="X17" s="67">
        <f t="shared" ref="X17" si="21">+X22/X7</f>
        <v>574.71153846153845</v>
      </c>
      <c r="Y17" s="23"/>
      <c r="Z17" s="23"/>
      <c r="AA17" s="23"/>
      <c r="AB17" s="23"/>
      <c r="AC17" s="23"/>
      <c r="AD17" s="23"/>
      <c r="AE17" s="23"/>
      <c r="AF17" s="67"/>
      <c r="AG17" s="23">
        <f t="shared" ref="AG17:AK17" si="22">+AG23/AG4</f>
        <v>92.271005917159769</v>
      </c>
      <c r="AH17" s="23">
        <f t="shared" si="22"/>
        <v>103.53106212424849</v>
      </c>
      <c r="AI17" s="23">
        <f t="shared" si="22"/>
        <v>117.66902030008826</v>
      </c>
      <c r="AJ17" s="23">
        <f t="shared" si="22"/>
        <v>122.34904153354633</v>
      </c>
      <c r="AK17" s="23">
        <f t="shared" si="22"/>
        <v>144.17039711191336</v>
      </c>
      <c r="AL17" s="67">
        <f t="shared" ref="AL17:AM17" si="23">+AL22/AL7</f>
        <v>2031.1875</v>
      </c>
      <c r="AM17" s="67">
        <f t="shared" si="23"/>
        <v>1952.6944444444443</v>
      </c>
      <c r="AN17" s="67">
        <f t="shared" ref="AN17:AO17" si="24">+AN22/AN7</f>
        <v>1858.046511627907</v>
      </c>
      <c r="AO17" s="67">
        <f t="shared" si="24"/>
        <v>1955.9183673469388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</row>
    <row r="18" spans="2:95" s="4" customFormat="1">
      <c r="B18" s="4" t="s">
        <v>177</v>
      </c>
      <c r="C18" s="21"/>
      <c r="D18" s="21"/>
      <c r="E18" s="21">
        <f>+E23/E4</f>
        <v>37.220149253731343</v>
      </c>
      <c r="F18" s="21">
        <f t="shared" ref="F18:W18" si="25">+F23/F4</f>
        <v>38.401444043321298</v>
      </c>
      <c r="G18" s="21">
        <f t="shared" si="25"/>
        <v>39.232837933474876</v>
      </c>
      <c r="H18" s="21">
        <f t="shared" si="25"/>
        <v>46.034122562674092</v>
      </c>
      <c r="I18" s="21">
        <f t="shared" si="25"/>
        <v>43.264367816091955</v>
      </c>
      <c r="J18" s="21">
        <f t="shared" si="25"/>
        <v>41.145643693107935</v>
      </c>
      <c r="K18" s="21">
        <f t="shared" si="25"/>
        <v>44.768841038632047</v>
      </c>
      <c r="L18" s="21">
        <f t="shared" si="25"/>
        <v>45.566502463054185</v>
      </c>
      <c r="M18" s="21">
        <f t="shared" si="25"/>
        <v>39.320980274955168</v>
      </c>
      <c r="N18" s="21">
        <f t="shared" si="25"/>
        <v>41.610629693818602</v>
      </c>
      <c r="O18" s="21">
        <f t="shared" si="25"/>
        <v>42.548855388051365</v>
      </c>
      <c r="P18" s="21">
        <f t="shared" si="25"/>
        <v>45.089881593110874</v>
      </c>
      <c r="Q18" s="21">
        <f t="shared" si="25"/>
        <v>48.826132771338251</v>
      </c>
      <c r="R18" s="21">
        <f t="shared" si="25"/>
        <v>53.530883103624298</v>
      </c>
      <c r="S18" s="21">
        <f t="shared" si="25"/>
        <v>54.469438877755508</v>
      </c>
      <c r="T18" s="21">
        <f t="shared" si="25"/>
        <v>52.381720430107528</v>
      </c>
      <c r="U18" s="21">
        <f t="shared" si="25"/>
        <v>55.790376369699857</v>
      </c>
      <c r="V18" s="21">
        <f t="shared" si="25"/>
        <v>57.387985546522131</v>
      </c>
      <c r="W18" s="21">
        <f t="shared" si="25"/>
        <v>63.970601140851251</v>
      </c>
      <c r="X18" s="21">
        <f t="shared" ref="X18" si="26">+X23/X4</f>
        <v>66.198554421768705</v>
      </c>
      <c r="Y18" s="21"/>
      <c r="Z18" s="21"/>
      <c r="AA18" s="21"/>
      <c r="AB18" s="21"/>
      <c r="AC18" s="21"/>
      <c r="AD18" s="21"/>
      <c r="AE18" s="21"/>
      <c r="AF18" s="21">
        <f t="shared" ref="AF18:AO18" si="27">+AF23/AF4</f>
        <v>94.731741573033702</v>
      </c>
      <c r="AG18" s="21">
        <f t="shared" si="27"/>
        <v>92.271005917159769</v>
      </c>
      <c r="AH18" s="21">
        <f t="shared" si="27"/>
        <v>103.53106212424849</v>
      </c>
      <c r="AI18" s="21">
        <f t="shared" si="27"/>
        <v>117.66902030008826</v>
      </c>
      <c r="AJ18" s="21">
        <f t="shared" si="27"/>
        <v>122.34904153354633</v>
      </c>
      <c r="AK18" s="21">
        <f t="shared" si="27"/>
        <v>144.17039711191336</v>
      </c>
      <c r="AL18" s="21">
        <f t="shared" si="27"/>
        <v>161.77568270481143</v>
      </c>
      <c r="AM18" s="21">
        <f t="shared" si="27"/>
        <v>163.20161756210283</v>
      </c>
      <c r="AN18" s="21">
        <f t="shared" si="27"/>
        <v>182.50178662582951</v>
      </c>
      <c r="AO18" s="21">
        <f t="shared" si="27"/>
        <v>207.79358626919603</v>
      </c>
      <c r="AP18" s="21">
        <f>+AO18*1.2</f>
        <v>249.35230352303523</v>
      </c>
      <c r="AQ18" s="21">
        <f t="shared" ref="AQ18:AY18" si="28">+AP18*1.2</f>
        <v>299.22276422764224</v>
      </c>
      <c r="AR18" s="21">
        <f t="shared" si="28"/>
        <v>359.06731707317067</v>
      </c>
      <c r="AS18" s="21">
        <f t="shared" si="28"/>
        <v>430.88078048780477</v>
      </c>
      <c r="AT18" s="21">
        <f t="shared" si="28"/>
        <v>517.05693658536575</v>
      </c>
      <c r="AU18" s="21">
        <f t="shared" si="28"/>
        <v>620.4683239024389</v>
      </c>
      <c r="AV18" s="21">
        <f t="shared" si="28"/>
        <v>744.56198868292665</v>
      </c>
      <c r="AW18" s="21">
        <f t="shared" si="28"/>
        <v>893.47438641951192</v>
      </c>
      <c r="AX18" s="21">
        <f t="shared" si="28"/>
        <v>1072.1692637034143</v>
      </c>
      <c r="AY18" s="21">
        <f t="shared" si="28"/>
        <v>1286.6031164440972</v>
      </c>
    </row>
    <row r="19" spans="2:95" s="4" customFormat="1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</row>
    <row r="20" spans="2:95" s="4" customFormat="1">
      <c r="B20" s="4" t="s">
        <v>18</v>
      </c>
      <c r="C20" s="21">
        <v>21328</v>
      </c>
      <c r="D20" s="21">
        <v>21187</v>
      </c>
      <c r="E20" s="21">
        <v>21876</v>
      </c>
      <c r="F20" s="21">
        <v>23900</v>
      </c>
      <c r="G20" s="21">
        <v>24199</v>
      </c>
      <c r="H20" s="21">
        <v>27858</v>
      </c>
      <c r="I20" s="21">
        <v>28806</v>
      </c>
      <c r="J20" s="21">
        <f t="shared" ref="J20:J30" si="29">+AL20-SUM(G20:I20)</f>
        <v>28020</v>
      </c>
      <c r="K20" s="21">
        <v>31606</v>
      </c>
      <c r="L20" s="21">
        <v>33135</v>
      </c>
      <c r="M20" s="21">
        <v>32829</v>
      </c>
      <c r="N20" s="21">
        <f t="shared" ref="N20:N34" si="30">+AM20-SUM(K20:M20)</f>
        <v>33106</v>
      </c>
      <c r="O20" s="21">
        <v>35070</v>
      </c>
      <c r="P20" s="21">
        <v>36044</v>
      </c>
      <c r="Q20" s="21">
        <v>40363</v>
      </c>
      <c r="R20" s="21">
        <f t="shared" ref="R20:R27" si="31">+AN20-SUM(O20:Q20)</f>
        <v>47137</v>
      </c>
      <c r="S20" s="21">
        <v>48188</v>
      </c>
      <c r="T20" s="21">
        <v>47984</v>
      </c>
      <c r="U20" s="21">
        <v>53200</v>
      </c>
      <c r="V20" s="21">
        <f>+AO20-SUM(S20:U20)</f>
        <v>57705</v>
      </c>
      <c r="W20" s="21">
        <v>67097</v>
      </c>
      <c r="X20" s="21">
        <v>71160</v>
      </c>
      <c r="Z20" s="21"/>
      <c r="AA20" s="21"/>
      <c r="AB20" s="21"/>
      <c r="AC20" s="21"/>
      <c r="AD20" s="21"/>
      <c r="AE20" s="21">
        <v>30202</v>
      </c>
      <c r="AF20" s="21">
        <v>38032</v>
      </c>
      <c r="AG20" s="21">
        <v>46688</v>
      </c>
      <c r="AH20" s="21">
        <v>54475</v>
      </c>
      <c r="AI20" s="21">
        <v>66076</v>
      </c>
      <c r="AJ20" s="21">
        <v>71858</v>
      </c>
      <c r="AK20" s="21">
        <v>88291</v>
      </c>
      <c r="AL20" s="21">
        <v>108883</v>
      </c>
      <c r="AM20" s="21">
        <v>130676</v>
      </c>
      <c r="AN20" s="21">
        <v>158614</v>
      </c>
      <c r="AO20" s="21">
        <v>207077</v>
      </c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2:95" s="4" customFormat="1">
      <c r="B21" s="4" t="s">
        <v>19</v>
      </c>
      <c r="C21" s="21">
        <v>13210</v>
      </c>
      <c r="D21" s="21">
        <v>13487</v>
      </c>
      <c r="E21" s="21">
        <v>14056</v>
      </c>
      <c r="F21" s="21">
        <v>15179</v>
      </c>
      <c r="G21" s="21">
        <v>16014</v>
      </c>
      <c r="H21" s="21">
        <v>19923</v>
      </c>
      <c r="I21" s="21">
        <v>19653</v>
      </c>
      <c r="J21" s="21">
        <f t="shared" si="29"/>
        <v>19340</v>
      </c>
      <c r="K21" s="21">
        <v>21520</v>
      </c>
      <c r="L21" s="21">
        <v>22577</v>
      </c>
      <c r="M21" s="21">
        <v>15575</v>
      </c>
      <c r="N21" s="21">
        <f t="shared" si="30"/>
        <v>21857</v>
      </c>
      <c r="O21" s="21">
        <v>22539</v>
      </c>
      <c r="P21" s="21">
        <v>28987</v>
      </c>
      <c r="Q21" s="21">
        <v>32146</v>
      </c>
      <c r="R21" s="21">
        <f t="shared" si="31"/>
        <v>35339</v>
      </c>
      <c r="S21" s="21">
        <v>37463</v>
      </c>
      <c r="T21" s="21">
        <v>36596</v>
      </c>
      <c r="U21" s="21">
        <v>39951</v>
      </c>
      <c r="V21" s="21">
        <f>+AO21-SUM(S21:U21)</f>
        <v>43128</v>
      </c>
      <c r="W21" s="21">
        <v>50149</v>
      </c>
      <c r="X21" s="21">
        <v>54654</v>
      </c>
      <c r="Z21" s="21"/>
      <c r="AA21" s="21"/>
      <c r="AB21" s="21"/>
      <c r="AC21" s="21"/>
      <c r="AD21" s="21"/>
      <c r="AE21" s="21">
        <v>0</v>
      </c>
      <c r="AF21" s="21">
        <v>0</v>
      </c>
      <c r="AG21" s="21">
        <v>0</v>
      </c>
      <c r="AH21" s="21">
        <v>14561</v>
      </c>
      <c r="AI21" s="21">
        <v>30174</v>
      </c>
      <c r="AJ21" s="21">
        <v>34484</v>
      </c>
      <c r="AK21" s="21">
        <v>55932</v>
      </c>
      <c r="AL21" s="21">
        <v>74930</v>
      </c>
      <c r="AM21" s="21">
        <v>81529</v>
      </c>
      <c r="AN21" s="21">
        <v>119011</v>
      </c>
      <c r="AO21" s="21">
        <v>157138</v>
      </c>
      <c r="AP21" s="21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2:95" s="4" customFormat="1">
      <c r="B22" s="4" t="s">
        <v>73</v>
      </c>
      <c r="C22" s="21">
        <v>13515</v>
      </c>
      <c r="D22" s="21">
        <v>13888</v>
      </c>
      <c r="E22" s="21">
        <v>13943</v>
      </c>
      <c r="F22" s="21">
        <v>14107</v>
      </c>
      <c r="G22" s="21">
        <v>15223</v>
      </c>
      <c r="H22" s="21">
        <v>18324</v>
      </c>
      <c r="I22" s="21">
        <v>15529</v>
      </c>
      <c r="J22" s="21">
        <f t="shared" si="29"/>
        <v>15922</v>
      </c>
      <c r="K22" s="21">
        <v>17564</v>
      </c>
      <c r="L22" s="21">
        <v>18288</v>
      </c>
      <c r="M22" s="21">
        <v>17380</v>
      </c>
      <c r="N22" s="21">
        <f t="shared" si="30"/>
        <v>17065</v>
      </c>
      <c r="O22" s="21">
        <v>18596</v>
      </c>
      <c r="P22" s="21">
        <v>18746</v>
      </c>
      <c r="Q22" s="21">
        <v>20163</v>
      </c>
      <c r="R22" s="21">
        <f t="shared" si="31"/>
        <v>22391</v>
      </c>
      <c r="S22" s="21">
        <v>23070</v>
      </c>
      <c r="T22" s="21">
        <v>22593</v>
      </c>
      <c r="U22" s="21">
        <v>23953</v>
      </c>
      <c r="V22" s="21">
        <f>+AO22-SUM(S22:U22)</f>
        <v>26224</v>
      </c>
      <c r="W22" s="21">
        <v>28543</v>
      </c>
      <c r="X22" s="21">
        <v>29885</v>
      </c>
      <c r="Z22" s="21"/>
      <c r="AA22" s="21"/>
      <c r="AB22" s="21"/>
      <c r="AC22" s="21"/>
      <c r="AD22" s="21"/>
      <c r="AE22" s="21">
        <v>28797</v>
      </c>
      <c r="AF22" s="21">
        <v>29417</v>
      </c>
      <c r="AG22" s="21">
        <v>31281</v>
      </c>
      <c r="AH22" s="21">
        <v>34288</v>
      </c>
      <c r="AI22" s="21">
        <v>37069</v>
      </c>
      <c r="AJ22" s="21">
        <v>46839</v>
      </c>
      <c r="AK22" s="21">
        <v>55453</v>
      </c>
      <c r="AL22" s="21">
        <v>64998</v>
      </c>
      <c r="AM22" s="21">
        <v>70297</v>
      </c>
      <c r="AN22" s="21">
        <v>79896</v>
      </c>
      <c r="AO22" s="21">
        <v>95840</v>
      </c>
      <c r="AP22" s="21"/>
      <c r="AQ22" s="21"/>
      <c r="AR22" s="21"/>
      <c r="AS22" s="21"/>
      <c r="AT22" s="21"/>
      <c r="AU22" s="21"/>
      <c r="AV22" s="21"/>
      <c r="AW22" s="21"/>
      <c r="AX22" s="21"/>
      <c r="AY22" s="21"/>
    </row>
    <row r="23" spans="2:95" s="5" customFormat="1">
      <c r="B23" s="5" t="s">
        <v>20</v>
      </c>
      <c r="C23" s="19">
        <f t="shared" ref="C23:I23" si="32">+SUM(C20:C22)</f>
        <v>48053</v>
      </c>
      <c r="D23" s="19">
        <f t="shared" si="32"/>
        <v>48562</v>
      </c>
      <c r="E23" s="19">
        <f t="shared" si="32"/>
        <v>49875</v>
      </c>
      <c r="F23" s="19">
        <f t="shared" si="32"/>
        <v>53186</v>
      </c>
      <c r="G23" s="19">
        <f t="shared" si="32"/>
        <v>55436</v>
      </c>
      <c r="H23" s="19">
        <f t="shared" si="32"/>
        <v>66105</v>
      </c>
      <c r="I23" s="19">
        <f t="shared" si="32"/>
        <v>63988</v>
      </c>
      <c r="J23" s="19">
        <f t="shared" si="29"/>
        <v>63282</v>
      </c>
      <c r="K23" s="19">
        <f>+SUM(K20:K22)</f>
        <v>70690</v>
      </c>
      <c r="L23" s="19">
        <f>+SUM(L20:L22)</f>
        <v>74000</v>
      </c>
      <c r="M23" s="19">
        <f>+SUM(M20:M22)</f>
        <v>65784</v>
      </c>
      <c r="N23" s="19">
        <f t="shared" si="30"/>
        <v>72028</v>
      </c>
      <c r="O23" s="19">
        <f>+SUM(O20:O22)</f>
        <v>76205</v>
      </c>
      <c r="P23" s="19">
        <f>+SUM(P20:P22)</f>
        <v>83777</v>
      </c>
      <c r="Q23" s="19">
        <f>+SUM(Q20:Q22)</f>
        <v>92672</v>
      </c>
      <c r="R23" s="19">
        <f t="shared" si="31"/>
        <v>104867</v>
      </c>
      <c r="S23" s="19">
        <f>+SUM(S20:S22)</f>
        <v>108721</v>
      </c>
      <c r="T23" s="19">
        <f t="shared" ref="T23:V23" si="33">+SUM(T20:T22)</f>
        <v>107173</v>
      </c>
      <c r="U23" s="19">
        <f t="shared" si="33"/>
        <v>117104</v>
      </c>
      <c r="V23" s="19">
        <f t="shared" si="33"/>
        <v>127057</v>
      </c>
      <c r="W23" s="19">
        <f>+SUM(W20:W22)</f>
        <v>145789</v>
      </c>
      <c r="X23" s="19">
        <f t="shared" ref="X23" si="34">+SUM(X20:X22)</f>
        <v>155699</v>
      </c>
      <c r="Z23" s="19"/>
      <c r="AA23" s="19"/>
      <c r="AB23" s="19"/>
      <c r="AC23" s="19"/>
      <c r="AD23" s="19"/>
      <c r="AE23" s="19">
        <f t="shared" ref="AE23:AM23" si="35">+SUM(AE20:AE22)</f>
        <v>58999</v>
      </c>
      <c r="AF23" s="19">
        <f t="shared" si="35"/>
        <v>67449</v>
      </c>
      <c r="AG23" s="19">
        <f t="shared" si="35"/>
        <v>77969</v>
      </c>
      <c r="AH23" s="19">
        <f t="shared" si="35"/>
        <v>103324</v>
      </c>
      <c r="AI23" s="19">
        <f t="shared" si="35"/>
        <v>133319</v>
      </c>
      <c r="AJ23" s="19">
        <f t="shared" si="35"/>
        <v>153181</v>
      </c>
      <c r="AK23" s="19">
        <f t="shared" si="35"/>
        <v>199676</v>
      </c>
      <c r="AL23" s="19">
        <f t="shared" si="35"/>
        <v>248811</v>
      </c>
      <c r="AM23" s="19">
        <f t="shared" si="35"/>
        <v>282502</v>
      </c>
      <c r="AN23" s="19">
        <f t="shared" ref="AN23:AO23" si="36">+SUM(AN20:AN22)</f>
        <v>357521</v>
      </c>
      <c r="AO23" s="19">
        <f t="shared" si="36"/>
        <v>460055</v>
      </c>
      <c r="AP23" s="19">
        <f>+AP18*AP4</f>
        <v>623131.40650406503</v>
      </c>
      <c r="AQ23" s="19">
        <f t="shared" ref="AQ23:AY23" si="37">+AQ18*AQ4</f>
        <v>821067.26504065027</v>
      </c>
      <c r="AR23" s="19">
        <f t="shared" si="37"/>
        <v>1073252.210731707</v>
      </c>
      <c r="AS23" s="19">
        <f t="shared" si="37"/>
        <v>1393468.4440975606</v>
      </c>
      <c r="AT23" s="19">
        <f t="shared" si="37"/>
        <v>1798841.0823804874</v>
      </c>
      <c r="AU23" s="19">
        <f t="shared" si="37"/>
        <v>2310624.0382126826</v>
      </c>
      <c r="AV23" s="19">
        <f t="shared" si="37"/>
        <v>2955166.533082536</v>
      </c>
      <c r="AW23" s="19">
        <f t="shared" si="37"/>
        <v>3765101.0643718233</v>
      </c>
      <c r="AX23" s="19">
        <f t="shared" si="37"/>
        <v>4780802.7468535248</v>
      </c>
      <c r="AY23" s="19">
        <f t="shared" si="37"/>
        <v>6052181.0597530333</v>
      </c>
    </row>
    <row r="24" spans="2:95" s="4" customFormat="1">
      <c r="B24" s="4" t="s">
        <v>21</v>
      </c>
      <c r="C24" s="21">
        <v>9730</v>
      </c>
      <c r="D24" s="21">
        <v>10573</v>
      </c>
      <c r="E24" s="21">
        <v>10339</v>
      </c>
      <c r="F24" s="21">
        <v>10463</v>
      </c>
      <c r="G24" s="21">
        <v>11176</v>
      </c>
      <c r="H24" s="21">
        <v>13387</v>
      </c>
      <c r="I24" s="21">
        <v>11804</v>
      </c>
      <c r="J24" s="21">
        <f t="shared" si="29"/>
        <v>12216</v>
      </c>
      <c r="K24" s="21">
        <v>13279</v>
      </c>
      <c r="L24" s="21">
        <v>14207</v>
      </c>
      <c r="M24" s="21">
        <v>15206</v>
      </c>
      <c r="N24" s="21">
        <f t="shared" si="30"/>
        <v>14724</v>
      </c>
      <c r="O24" s="21">
        <v>15674</v>
      </c>
      <c r="P24" s="21">
        <v>14899</v>
      </c>
      <c r="Q24" s="21">
        <v>15724</v>
      </c>
      <c r="R24" s="21">
        <f t="shared" si="31"/>
        <v>17098</v>
      </c>
      <c r="S24" s="21">
        <v>16695</v>
      </c>
      <c r="T24" s="21">
        <v>16642</v>
      </c>
      <c r="U24" s="21">
        <v>17622</v>
      </c>
      <c r="V24" s="21">
        <f>+AO24-SUM(S24:U24)</f>
        <v>19687</v>
      </c>
      <c r="W24" s="21">
        <v>21271</v>
      </c>
      <c r="X24" s="21">
        <v>22673</v>
      </c>
      <c r="Z24" s="21"/>
      <c r="AA24" s="21"/>
      <c r="AB24" s="21"/>
      <c r="AC24" s="21"/>
      <c r="AD24" s="21"/>
      <c r="AE24" s="21">
        <v>22176</v>
      </c>
      <c r="AF24" s="21">
        <v>20473</v>
      </c>
      <c r="AG24" s="21">
        <v>22219</v>
      </c>
      <c r="AH24" s="21">
        <v>25308</v>
      </c>
      <c r="AI24" s="21">
        <v>28745</v>
      </c>
      <c r="AJ24" s="21">
        <v>32063</v>
      </c>
      <c r="AK24" s="21">
        <v>41105</v>
      </c>
      <c r="AL24" s="21">
        <v>48583</v>
      </c>
      <c r="AM24" s="21">
        <v>57416</v>
      </c>
      <c r="AN24" s="21">
        <v>63395</v>
      </c>
      <c r="AO24" s="21">
        <v>70646</v>
      </c>
      <c r="AP24" s="21">
        <f t="shared" ref="AP24:AV24" si="38">+AP23*(AO24/AO23)</f>
        <v>95687.996747967467</v>
      </c>
      <c r="AQ24" s="21">
        <f t="shared" si="38"/>
        <v>126083.00747967476</v>
      </c>
      <c r="AR24" s="21">
        <f t="shared" si="38"/>
        <v>164808.50263414628</v>
      </c>
      <c r="AS24" s="21">
        <f t="shared" si="38"/>
        <v>213980.87555121945</v>
      </c>
      <c r="AT24" s="21">
        <f t="shared" si="38"/>
        <v>276229.85752975603</v>
      </c>
      <c r="AU24" s="21">
        <f t="shared" si="38"/>
        <v>354819.19727765844</v>
      </c>
      <c r="AV24" s="21">
        <f t="shared" si="38"/>
        <v>453795.07862353162</v>
      </c>
      <c r="AW24" s="21">
        <f t="shared" ref="AW24:AY24" si="39">+AW23*(AV24/AV23)</f>
        <v>578168.54461664765</v>
      </c>
      <c r="AX24" s="21">
        <f t="shared" si="39"/>
        <v>734139.59386206884</v>
      </c>
      <c r="AY24" s="21">
        <f t="shared" si="39"/>
        <v>929372.32102099271</v>
      </c>
    </row>
    <row r="25" spans="2:95" s="4" customFormat="1">
      <c r="B25" s="4" t="s">
        <v>22</v>
      </c>
      <c r="C25" s="21">
        <v>12734</v>
      </c>
      <c r="D25" s="21">
        <v>12973</v>
      </c>
      <c r="E25" s="21">
        <v>12652</v>
      </c>
      <c r="F25" s="21">
        <v>14532</v>
      </c>
      <c r="G25" s="21">
        <v>16995</v>
      </c>
      <c r="H25" s="21">
        <v>20424</v>
      </c>
      <c r="I25" s="21">
        <v>18267</v>
      </c>
      <c r="J25" s="21">
        <f t="shared" si="29"/>
        <v>13742</v>
      </c>
      <c r="K25" s="21">
        <v>22027</v>
      </c>
      <c r="L25" s="21">
        <v>23301</v>
      </c>
      <c r="M25" s="21">
        <v>16232</v>
      </c>
      <c r="N25" s="21">
        <f t="shared" si="30"/>
        <v>22429</v>
      </c>
      <c r="O25" s="21">
        <v>23167</v>
      </c>
      <c r="P25" s="21">
        <v>29685</v>
      </c>
      <c r="Q25" s="21">
        <v>33106</v>
      </c>
      <c r="R25" s="21">
        <f t="shared" si="31"/>
        <v>37111</v>
      </c>
      <c r="S25" s="21">
        <v>39643</v>
      </c>
      <c r="T25" s="21">
        <v>38729</v>
      </c>
      <c r="U25" s="21">
        <v>42381</v>
      </c>
      <c r="V25" s="21">
        <f>+AO25-SUM(S25:U25)</f>
        <v>45830</v>
      </c>
      <c r="W25" s="21">
        <v>53192</v>
      </c>
      <c r="X25" s="21">
        <v>58548</v>
      </c>
      <c r="Z25" s="21"/>
      <c r="AA25" s="21"/>
      <c r="AB25" s="21"/>
      <c r="AC25" s="21"/>
      <c r="AD25" s="21"/>
      <c r="AE25" s="21">
        <v>0</v>
      </c>
      <c r="AF25" s="21">
        <v>0</v>
      </c>
      <c r="AG25" s="21">
        <v>0</v>
      </c>
      <c r="AH25" s="21">
        <v>13849</v>
      </c>
      <c r="AI25" s="21">
        <v>32427</v>
      </c>
      <c r="AJ25" s="21">
        <v>33699</v>
      </c>
      <c r="AK25" s="21">
        <v>52891</v>
      </c>
      <c r="AL25" s="21">
        <v>69428</v>
      </c>
      <c r="AM25" s="21">
        <v>83989</v>
      </c>
      <c r="AN25" s="21">
        <v>123069</v>
      </c>
      <c r="AO25" s="21">
        <v>166583</v>
      </c>
      <c r="AP25" s="21">
        <f t="shared" ref="AP25" si="40">+AP23*(AO25/AO23)</f>
        <v>225631.93333333335</v>
      </c>
      <c r="AQ25" s="21">
        <f>+AQ23*0.34</f>
        <v>279162.87011382112</v>
      </c>
      <c r="AR25" s="21">
        <f t="shared" ref="AR25:AX25" si="41">+AR23*0.34</f>
        <v>364905.75164878042</v>
      </c>
      <c r="AS25" s="21">
        <f t="shared" si="41"/>
        <v>473779.27099317062</v>
      </c>
      <c r="AT25" s="21">
        <f t="shared" si="41"/>
        <v>611605.96800936572</v>
      </c>
      <c r="AU25" s="21">
        <f t="shared" si="41"/>
        <v>785612.17299231212</v>
      </c>
      <c r="AV25" s="21">
        <f t="shared" si="41"/>
        <v>1004756.6212480624</v>
      </c>
      <c r="AW25" s="21">
        <f t="shared" si="41"/>
        <v>1280134.3618864201</v>
      </c>
      <c r="AX25" s="21">
        <f t="shared" si="41"/>
        <v>1625472.9339301987</v>
      </c>
      <c r="AY25" s="21">
        <f t="shared" ref="AY25" si="42">+AY23*0.34</f>
        <v>2057741.5603160316</v>
      </c>
    </row>
    <row r="26" spans="2:95" s="4" customFormat="1">
      <c r="B26" s="4" t="s">
        <v>23</v>
      </c>
      <c r="C26" s="21">
        <v>12542</v>
      </c>
      <c r="D26" s="21">
        <v>13394</v>
      </c>
      <c r="E26" s="21">
        <v>13527</v>
      </c>
      <c r="F26" s="21">
        <v>17832</v>
      </c>
      <c r="G26" s="21">
        <v>12239</v>
      </c>
      <c r="H26" s="21">
        <v>13375</v>
      </c>
      <c r="I26" s="21">
        <v>17282</v>
      </c>
      <c r="J26" s="21">
        <f t="shared" si="29"/>
        <v>26089</v>
      </c>
      <c r="K26" s="21">
        <v>13786</v>
      </c>
      <c r="L26" s="21">
        <v>16066</v>
      </c>
      <c r="M26" s="21">
        <v>15020</v>
      </c>
      <c r="N26" s="21">
        <f t="shared" si="30"/>
        <v>18023</v>
      </c>
      <c r="O26" s="21">
        <v>18086</v>
      </c>
      <c r="P26" s="21">
        <v>13949</v>
      </c>
      <c r="Q26" s="21">
        <v>16686</v>
      </c>
      <c r="R26" s="21">
        <f t="shared" si="31"/>
        <v>18340</v>
      </c>
      <c r="S26" s="21">
        <v>23645</v>
      </c>
      <c r="T26" s="21">
        <v>22128</v>
      </c>
      <c r="U26" s="21">
        <v>23047</v>
      </c>
      <c r="V26" s="21">
        <f>+AO26-SUM(S26:U26)</f>
        <v>28078</v>
      </c>
      <c r="W26" s="21">
        <v>25178</v>
      </c>
      <c r="X26" s="21">
        <v>28097</v>
      </c>
      <c r="Z26" s="21"/>
      <c r="AA26" s="21"/>
      <c r="AB26" s="21"/>
      <c r="AC26" s="21"/>
      <c r="AD26" s="21"/>
      <c r="AE26" s="21">
        <v>18913</v>
      </c>
      <c r="AF26" s="21">
        <v>26006</v>
      </c>
      <c r="AG26" s="21">
        <v>33350</v>
      </c>
      <c r="AH26" s="21">
        <v>34552</v>
      </c>
      <c r="AI26" s="21">
        <v>34898</v>
      </c>
      <c r="AJ26" s="21">
        <v>44579</v>
      </c>
      <c r="AK26" s="21">
        <v>57295</v>
      </c>
      <c r="AL26" s="21">
        <v>68985</v>
      </c>
      <c r="AM26" s="21">
        <v>62895</v>
      </c>
      <c r="AN26" s="21">
        <v>67061</v>
      </c>
      <c r="AO26" s="19">
        <v>96898</v>
      </c>
      <c r="AP26" s="21">
        <v>111000</v>
      </c>
      <c r="AQ26" s="21">
        <f>+AQ23*(AP26/AP23)</f>
        <v>146258.82352941175</v>
      </c>
      <c r="AR26" s="21">
        <f>+AR23*(AQ26/AQ23)</f>
        <v>191181.17647058819</v>
      </c>
      <c r="AS26" s="21">
        <f>+AS23*(AR26/AR23)</f>
        <v>248222.11764705877</v>
      </c>
      <c r="AT26" s="21">
        <f t="shared" ref="AT26" si="43">+AT23*(AS26/AS23)</f>
        <v>320432.18823529407</v>
      </c>
      <c r="AU26" s="21">
        <f t="shared" ref="AU26" si="44">+AU23*(AT26/AT23)</f>
        <v>411597.40235294111</v>
      </c>
      <c r="AV26" s="21">
        <f t="shared" ref="AV26" si="45">+AV23*(AU26/AU23)</f>
        <v>526411.4145882352</v>
      </c>
      <c r="AW26" s="21">
        <f t="shared" ref="AW26" si="46">+AW23*(AV26/AV23)</f>
        <v>670687.1356235292</v>
      </c>
      <c r="AX26" s="21">
        <f t="shared" ref="AX26:AY26" si="47">+AX23*(AW26/AW23)</f>
        <v>851616.68848941161</v>
      </c>
      <c r="AY26" s="21">
        <f t="shared" si="47"/>
        <v>1078090.5770767056</v>
      </c>
    </row>
    <row r="27" spans="2:95" s="4" customFormat="1">
      <c r="B27" s="4" t="s">
        <v>24</v>
      </c>
      <c r="C27" s="21">
        <v>1276</v>
      </c>
      <c r="D27" s="21">
        <v>1335</v>
      </c>
      <c r="E27" s="21">
        <v>1408</v>
      </c>
      <c r="F27" s="21">
        <v>1465</v>
      </c>
      <c r="G27" s="21">
        <v>1555</v>
      </c>
      <c r="H27" s="21">
        <v>1398</v>
      </c>
      <c r="I27" s="21">
        <v>2334</v>
      </c>
      <c r="J27" s="21">
        <f t="shared" si="29"/>
        <v>2231</v>
      </c>
      <c r="K27" s="21">
        <v>0</v>
      </c>
      <c r="L27" s="21">
        <v>0</v>
      </c>
      <c r="M27" s="21">
        <v>2061</v>
      </c>
      <c r="N27" s="21">
        <f t="shared" si="30"/>
        <v>5882</v>
      </c>
      <c r="O27" s="21">
        <v>2227</v>
      </c>
      <c r="P27" s="21">
        <v>2547</v>
      </c>
      <c r="Q27" s="21">
        <v>2836</v>
      </c>
      <c r="R27" s="21">
        <f t="shared" si="31"/>
        <v>3289</v>
      </c>
      <c r="S27" s="21">
        <v>2989</v>
      </c>
      <c r="T27" s="21">
        <v>3218</v>
      </c>
      <c r="U27" s="21">
        <v>3384</v>
      </c>
      <c r="V27" s="21">
        <f>+AO27-SUM(S27:U27)</f>
        <v>3648</v>
      </c>
      <c r="W27" s="21">
        <v>3410</v>
      </c>
      <c r="X27" s="21">
        <v>5161</v>
      </c>
      <c r="Z27" s="21"/>
      <c r="AA27" s="21"/>
      <c r="AB27" s="21"/>
      <c r="AC27" s="21"/>
      <c r="AD27" s="21"/>
      <c r="AE27" s="21">
        <v>3030</v>
      </c>
      <c r="AF27" s="21">
        <v>2904</v>
      </c>
      <c r="AG27" s="21">
        <v>2682</v>
      </c>
      <c r="AH27" s="21">
        <v>3008</v>
      </c>
      <c r="AI27" s="21">
        <v>3376</v>
      </c>
      <c r="AJ27" s="21">
        <v>4313</v>
      </c>
      <c r="AK27" s="21">
        <v>5484</v>
      </c>
      <c r="AL27" s="21">
        <v>7518</v>
      </c>
      <c r="AM27" s="21">
        <v>7943</v>
      </c>
      <c r="AN27" s="21">
        <v>10899</v>
      </c>
      <c r="AO27" s="21">
        <v>13239</v>
      </c>
      <c r="AP27" s="21">
        <v>18500</v>
      </c>
      <c r="AQ27" s="21">
        <f>+AQ23*(AP27/AP23)</f>
        <v>24376.47058823529</v>
      </c>
      <c r="AR27" s="21">
        <f t="shared" ref="AR27:AY27" si="48">+AR23*(AQ27/AQ23)</f>
        <v>31863.529411764699</v>
      </c>
      <c r="AS27" s="21">
        <f t="shared" si="48"/>
        <v>41370.352941176461</v>
      </c>
      <c r="AT27" s="21">
        <f t="shared" si="48"/>
        <v>53405.364705882341</v>
      </c>
      <c r="AU27" s="21">
        <f t="shared" si="48"/>
        <v>68599.567058823523</v>
      </c>
      <c r="AV27" s="21">
        <f t="shared" si="48"/>
        <v>87735.235764705867</v>
      </c>
      <c r="AW27" s="21">
        <f t="shared" si="48"/>
        <v>111781.18927058821</v>
      </c>
      <c r="AX27" s="21">
        <f t="shared" si="48"/>
        <v>141936.11474823527</v>
      </c>
      <c r="AY27" s="21">
        <f t="shared" si="48"/>
        <v>179681.76284611761</v>
      </c>
    </row>
    <row r="28" spans="2:95" s="4" customFormat="1">
      <c r="B28" s="4" t="s">
        <v>25</v>
      </c>
      <c r="C28" s="21">
        <f t="shared" ref="C28:I28" si="49">+SUM(C24:C27)</f>
        <v>36282</v>
      </c>
      <c r="D28" s="21">
        <f t="shared" si="49"/>
        <v>38275</v>
      </c>
      <c r="E28" s="21">
        <f t="shared" si="49"/>
        <v>37926</v>
      </c>
      <c r="F28" s="21">
        <f t="shared" si="49"/>
        <v>44292</v>
      </c>
      <c r="G28" s="21">
        <f t="shared" si="49"/>
        <v>41965</v>
      </c>
      <c r="H28" s="21">
        <f t="shared" si="49"/>
        <v>48584</v>
      </c>
      <c r="I28" s="21">
        <f t="shared" si="49"/>
        <v>49687</v>
      </c>
      <c r="J28" s="21">
        <f t="shared" si="29"/>
        <v>54278</v>
      </c>
      <c r="K28" s="21">
        <f>+SUM(K24:K27)</f>
        <v>49092</v>
      </c>
      <c r="L28" s="21">
        <f>+SUM(L24:L27)</f>
        <v>53574</v>
      </c>
      <c r="M28" s="21">
        <f>+SUM(M24:M27)</f>
        <v>48519</v>
      </c>
      <c r="N28" s="21">
        <f t="shared" si="30"/>
        <v>61058</v>
      </c>
      <c r="O28" s="21">
        <f t="shared" ref="O28:V28" si="50">+SUM(O24:O27)</f>
        <v>59154</v>
      </c>
      <c r="P28" s="21">
        <f t="shared" si="50"/>
        <v>61080</v>
      </c>
      <c r="Q28" s="21">
        <f t="shared" si="50"/>
        <v>68352</v>
      </c>
      <c r="R28" s="21">
        <f t="shared" si="50"/>
        <v>75838</v>
      </c>
      <c r="S28" s="21">
        <f t="shared" si="50"/>
        <v>82972</v>
      </c>
      <c r="T28" s="21">
        <f t="shared" si="50"/>
        <v>80717</v>
      </c>
      <c r="U28" s="21">
        <f t="shared" si="50"/>
        <v>86434</v>
      </c>
      <c r="V28" s="21">
        <f t="shared" si="50"/>
        <v>97243</v>
      </c>
      <c r="W28" s="21">
        <f t="shared" ref="W28" si="51">+SUM(W24:W27)</f>
        <v>103051</v>
      </c>
      <c r="X28" s="21">
        <f t="shared" ref="X28" si="52">+SUM(X24:X27)</f>
        <v>114479</v>
      </c>
      <c r="Z28" s="21"/>
      <c r="AA28" s="21"/>
      <c r="AB28" s="21"/>
      <c r="AC28" s="21"/>
      <c r="AD28" s="21"/>
      <c r="AE28" s="21">
        <f t="shared" ref="AE28:AX28" si="53">+SUM(AE24:AE27)</f>
        <v>44119</v>
      </c>
      <c r="AF28" s="21">
        <f t="shared" si="53"/>
        <v>49383</v>
      </c>
      <c r="AG28" s="21">
        <f t="shared" si="53"/>
        <v>58251</v>
      </c>
      <c r="AH28" s="21">
        <f t="shared" si="53"/>
        <v>76717</v>
      </c>
      <c r="AI28" s="21">
        <f t="shared" si="53"/>
        <v>99446</v>
      </c>
      <c r="AJ28" s="21">
        <f t="shared" si="53"/>
        <v>114654</v>
      </c>
      <c r="AK28" s="21">
        <f t="shared" si="53"/>
        <v>156775</v>
      </c>
      <c r="AL28" s="21">
        <f t="shared" si="53"/>
        <v>194514</v>
      </c>
      <c r="AM28" s="21">
        <f t="shared" si="53"/>
        <v>212243</v>
      </c>
      <c r="AN28" s="21">
        <f t="shared" si="53"/>
        <v>264424</v>
      </c>
      <c r="AO28" s="21">
        <f t="shared" si="53"/>
        <v>347366</v>
      </c>
      <c r="AP28" s="21">
        <f>+SUM(AP24:AP27)</f>
        <v>450819.93008130079</v>
      </c>
      <c r="AQ28" s="21">
        <f>+SUM(AQ24:AQ27)</f>
        <v>575881.17171114299</v>
      </c>
      <c r="AR28" s="21">
        <f>+SUM(AR24:AR27)</f>
        <v>752758.96016527957</v>
      </c>
      <c r="AS28" s="21">
        <f>+SUM(AS24:AS27)</f>
        <v>977352.61713262543</v>
      </c>
      <c r="AT28" s="21">
        <f>+SUM(AT24:AT27)</f>
        <v>1261673.3784802982</v>
      </c>
      <c r="AU28" s="21">
        <f t="shared" si="53"/>
        <v>1620628.3396817353</v>
      </c>
      <c r="AV28" s="21">
        <f t="shared" si="53"/>
        <v>2072698.3502245352</v>
      </c>
      <c r="AW28" s="21">
        <f t="shared" si="53"/>
        <v>2640771.231397185</v>
      </c>
      <c r="AX28" s="21">
        <f t="shared" si="53"/>
        <v>3353165.3310299143</v>
      </c>
      <c r="AY28" s="21">
        <f t="shared" ref="AY28" si="54">+SUM(AY24:AY27)</f>
        <v>4244886.2212598473</v>
      </c>
    </row>
    <row r="29" spans="2:95" s="5" customFormat="1">
      <c r="B29" s="5" t="s">
        <v>26</v>
      </c>
      <c r="C29" s="19">
        <f t="shared" ref="C29:I29" si="55">+C23-C28</f>
        <v>11771</v>
      </c>
      <c r="D29" s="19">
        <f t="shared" si="55"/>
        <v>10287</v>
      </c>
      <c r="E29" s="19">
        <f t="shared" si="55"/>
        <v>11949</v>
      </c>
      <c r="F29" s="19">
        <f t="shared" si="55"/>
        <v>8894</v>
      </c>
      <c r="G29" s="19">
        <f t="shared" si="55"/>
        <v>13471</v>
      </c>
      <c r="H29" s="19">
        <f t="shared" si="55"/>
        <v>17521</v>
      </c>
      <c r="I29" s="19">
        <f t="shared" si="55"/>
        <v>14301</v>
      </c>
      <c r="J29" s="21">
        <f t="shared" si="29"/>
        <v>9004</v>
      </c>
      <c r="K29" s="19">
        <f>+K23-K28</f>
        <v>21598</v>
      </c>
      <c r="L29" s="19">
        <f>+L23-L28</f>
        <v>20426</v>
      </c>
      <c r="M29" s="19">
        <f>+M23-M28</f>
        <v>17265</v>
      </c>
      <c r="N29" s="21">
        <f t="shared" si="30"/>
        <v>10970</v>
      </c>
      <c r="O29" s="19">
        <f t="shared" ref="O29:V29" si="56">+O23-O28</f>
        <v>17051</v>
      </c>
      <c r="P29" s="19">
        <f t="shared" si="56"/>
        <v>22697</v>
      </c>
      <c r="Q29" s="19">
        <f t="shared" si="56"/>
        <v>24320</v>
      </c>
      <c r="R29" s="19">
        <f t="shared" si="56"/>
        <v>29029</v>
      </c>
      <c r="S29" s="19">
        <f t="shared" si="56"/>
        <v>25749</v>
      </c>
      <c r="T29" s="19">
        <f t="shared" si="56"/>
        <v>26456</v>
      </c>
      <c r="U29" s="19">
        <f t="shared" si="56"/>
        <v>30670</v>
      </c>
      <c r="V29" s="19">
        <f t="shared" si="56"/>
        <v>29814</v>
      </c>
      <c r="W29" s="19">
        <f t="shared" ref="W29" si="57">+W23-W28</f>
        <v>42738</v>
      </c>
      <c r="X29" s="19">
        <f t="shared" ref="X29" si="58">+X23-X28</f>
        <v>41220</v>
      </c>
      <c r="Z29" s="19"/>
      <c r="AA29" s="19"/>
      <c r="AB29" s="19"/>
      <c r="AC29" s="19"/>
      <c r="AD29" s="19"/>
      <c r="AE29" s="19">
        <f t="shared" ref="AE29:AX29" si="59">+AE23-AE28</f>
        <v>14880</v>
      </c>
      <c r="AF29" s="19">
        <f t="shared" si="59"/>
        <v>18066</v>
      </c>
      <c r="AG29" s="19">
        <f t="shared" si="59"/>
        <v>19718</v>
      </c>
      <c r="AH29" s="19">
        <f t="shared" si="59"/>
        <v>26607</v>
      </c>
      <c r="AI29" s="19">
        <f t="shared" si="59"/>
        <v>33873</v>
      </c>
      <c r="AJ29" s="19">
        <f t="shared" si="59"/>
        <v>38527</v>
      </c>
      <c r="AK29" s="19">
        <f t="shared" si="59"/>
        <v>42901</v>
      </c>
      <c r="AL29" s="19">
        <f t="shared" si="59"/>
        <v>54297</v>
      </c>
      <c r="AM29" s="19">
        <f t="shared" si="59"/>
        <v>70259</v>
      </c>
      <c r="AN29" s="19">
        <f t="shared" si="59"/>
        <v>93097</v>
      </c>
      <c r="AO29" s="19">
        <f t="shared" si="59"/>
        <v>112689</v>
      </c>
      <c r="AP29" s="19">
        <f>+AP23-AP28</f>
        <v>172311.47642276424</v>
      </c>
      <c r="AQ29" s="19">
        <f t="shared" si="59"/>
        <v>245186.09332950728</v>
      </c>
      <c r="AR29" s="19">
        <f t="shared" si="59"/>
        <v>320493.25056642748</v>
      </c>
      <c r="AS29" s="19">
        <f t="shared" si="59"/>
        <v>416115.82696493517</v>
      </c>
      <c r="AT29" s="19">
        <f t="shared" si="59"/>
        <v>537167.70390018914</v>
      </c>
      <c r="AU29" s="19">
        <f t="shared" si="59"/>
        <v>689995.69853094732</v>
      </c>
      <c r="AV29" s="19">
        <f t="shared" si="59"/>
        <v>882468.18285800074</v>
      </c>
      <c r="AW29" s="19">
        <f t="shared" si="59"/>
        <v>1124329.8329746383</v>
      </c>
      <c r="AX29" s="19">
        <f t="shared" si="59"/>
        <v>1427637.4158236105</v>
      </c>
      <c r="AY29" s="19">
        <f t="shared" ref="AY29" si="60">+AY23-AY28</f>
        <v>1807294.838493186</v>
      </c>
    </row>
    <row r="30" spans="2:95" s="4" customFormat="1">
      <c r="B30" s="4" t="s">
        <v>27</v>
      </c>
      <c r="C30" s="21">
        <v>4410</v>
      </c>
      <c r="D30" s="21">
        <v>4299</v>
      </c>
      <c r="E30" s="21">
        <v>4243</v>
      </c>
      <c r="F30" s="21">
        <v>4184</v>
      </c>
      <c r="G30" s="21">
        <v>4145</v>
      </c>
      <c r="H30" s="21">
        <v>4214</v>
      </c>
      <c r="I30" s="21">
        <v>4405</v>
      </c>
      <c r="J30" s="21">
        <f t="shared" si="29"/>
        <v>4018</v>
      </c>
      <c r="K30" s="21">
        <v>3782</v>
      </c>
      <c r="L30" s="21">
        <v>3724</v>
      </c>
      <c r="M30" s="21">
        <v>3724</v>
      </c>
      <c r="N30" s="21">
        <f t="shared" si="30"/>
        <v>3754</v>
      </c>
      <c r="O30" s="21">
        <v>4192</v>
      </c>
      <c r="P30" s="21">
        <v>5986</v>
      </c>
      <c r="Q30" s="21">
        <v>5742</v>
      </c>
      <c r="R30" s="21">
        <f>+AN30-SUM(O30:Q30)</f>
        <v>5310</v>
      </c>
      <c r="S30" s="21">
        <v>4573</v>
      </c>
      <c r="T30" s="21">
        <v>4244</v>
      </c>
      <c r="U30" s="21">
        <v>4520</v>
      </c>
      <c r="V30" s="21">
        <f>+AO30-SUM(S30:U30)</f>
        <v>4890</v>
      </c>
      <c r="W30" s="21">
        <v>4544</v>
      </c>
      <c r="X30" s="21">
        <v>5200</v>
      </c>
      <c r="Z30" s="21"/>
      <c r="AA30" s="21"/>
      <c r="AB30" s="21"/>
      <c r="AC30" s="21"/>
      <c r="AD30" s="21"/>
      <c r="AE30" s="21">
        <f>2863+-6</f>
        <v>2857</v>
      </c>
      <c r="AF30" s="21">
        <f>3684+84</f>
        <v>3768</v>
      </c>
      <c r="AG30" s="21">
        <f>3477+396</f>
        <v>3873</v>
      </c>
      <c r="AH30" s="21">
        <f>4396+254</f>
        <v>4650</v>
      </c>
      <c r="AI30" s="21">
        <v>5131</v>
      </c>
      <c r="AJ30" s="21">
        <v>10123</v>
      </c>
      <c r="AK30" s="21">
        <v>17136</v>
      </c>
      <c r="AL30" s="21">
        <v>16782</v>
      </c>
      <c r="AM30" s="21">
        <v>14984</v>
      </c>
      <c r="AN30" s="21">
        <v>21230</v>
      </c>
      <c r="AO30" s="21">
        <v>18227</v>
      </c>
      <c r="AP30" s="21">
        <f>-AO69*$BB$37</f>
        <v>6106.67</v>
      </c>
      <c r="AQ30" s="21">
        <f t="shared" ref="AQ30:AX30" si="61">-AP69*$BB$37</f>
        <v>4869.5308921849855</v>
      </c>
      <c r="AR30" s="21">
        <f t="shared" si="61"/>
        <v>3080.7437683599092</v>
      </c>
      <c r="AS30" s="21">
        <f t="shared" si="61"/>
        <v>718.09593692087458</v>
      </c>
      <c r="AT30" s="21">
        <f t="shared" si="61"/>
        <v>-2373.9011563833537</v>
      </c>
      <c r="AU30" s="21">
        <f t="shared" si="61"/>
        <v>-6389.9584189568768</v>
      </c>
      <c r="AV30" s="21">
        <f t="shared" si="61"/>
        <v>-11573.478371699821</v>
      </c>
      <c r="AW30" s="21">
        <f t="shared" si="61"/>
        <v>-18228.243218329877</v>
      </c>
      <c r="AX30" s="21">
        <f t="shared" si="61"/>
        <v>-26732.830476852192</v>
      </c>
      <c r="AY30" s="21">
        <f t="shared" ref="AY30" si="62">-AX69*$BB$37</f>
        <v>-37558.379675256248</v>
      </c>
    </row>
    <row r="31" spans="2:95" s="4" customFormat="1">
      <c r="B31" s="4" t="s">
        <v>45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>
        <v>-22</v>
      </c>
      <c r="N31" s="21">
        <f t="shared" si="30"/>
        <v>-113</v>
      </c>
      <c r="O31" s="21">
        <v>65</v>
      </c>
      <c r="P31" s="21">
        <v>26</v>
      </c>
      <c r="Q31" s="21">
        <v>290</v>
      </c>
      <c r="R31" s="21">
        <f>+AN31-SUM(O31:Q31)</f>
        <v>192</v>
      </c>
      <c r="S31" s="21">
        <v>188</v>
      </c>
      <c r="T31" s="21">
        <v>-46</v>
      </c>
      <c r="U31" s="21">
        <v>-19</v>
      </c>
      <c r="V31" s="21">
        <f>+AO31-SUM(S31:U31)</f>
        <v>-66</v>
      </c>
      <c r="W31" s="21">
        <v>-303</v>
      </c>
      <c r="X31" s="21">
        <v>-471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>
        <v>-135</v>
      </c>
      <c r="AN31" s="21">
        <v>573</v>
      </c>
      <c r="AO31" s="21">
        <v>57</v>
      </c>
      <c r="AP31" s="21"/>
      <c r="AQ31" s="21"/>
      <c r="AR31" s="21"/>
      <c r="AS31" s="21"/>
      <c r="AT31" s="21"/>
      <c r="AU31" s="21"/>
      <c r="AV31" s="21"/>
      <c r="AW31" s="21"/>
      <c r="AX31" s="21"/>
      <c r="AY31" s="21"/>
    </row>
    <row r="32" spans="2:95" s="4" customFormat="1">
      <c r="B32" s="4" t="s">
        <v>28</v>
      </c>
      <c r="C32" s="21">
        <f t="shared" ref="C32:I32" si="63">+C29-C30</f>
        <v>7361</v>
      </c>
      <c r="D32" s="21">
        <f t="shared" si="63"/>
        <v>5988</v>
      </c>
      <c r="E32" s="21">
        <f t="shared" si="63"/>
        <v>7706</v>
      </c>
      <c r="F32" s="21">
        <f t="shared" si="63"/>
        <v>4710</v>
      </c>
      <c r="G32" s="21">
        <f t="shared" si="63"/>
        <v>9326</v>
      </c>
      <c r="H32" s="21">
        <f t="shared" si="63"/>
        <v>13307</v>
      </c>
      <c r="I32" s="21">
        <f t="shared" si="63"/>
        <v>9896</v>
      </c>
      <c r="J32" s="21">
        <f>+AL32-SUM(G32:I32)</f>
        <v>4986</v>
      </c>
      <c r="K32" s="21">
        <f>+K29-K30</f>
        <v>17816</v>
      </c>
      <c r="L32" s="21">
        <f>+L29-L30</f>
        <v>16702</v>
      </c>
      <c r="M32" s="21">
        <f>+M29-SUM(M30:M31)</f>
        <v>13563</v>
      </c>
      <c r="N32" s="21">
        <f t="shared" si="30"/>
        <v>7329</v>
      </c>
      <c r="O32" s="21">
        <f t="shared" ref="O32:V32" si="64">+O29-SUM(O30:O31)</f>
        <v>12794</v>
      </c>
      <c r="P32" s="21">
        <f t="shared" si="64"/>
        <v>16685</v>
      </c>
      <c r="Q32" s="21">
        <f t="shared" si="64"/>
        <v>18288</v>
      </c>
      <c r="R32" s="21">
        <f t="shared" si="64"/>
        <v>23527</v>
      </c>
      <c r="S32" s="21">
        <f t="shared" si="64"/>
        <v>20988</v>
      </c>
      <c r="T32" s="21">
        <f t="shared" si="64"/>
        <v>22258</v>
      </c>
      <c r="U32" s="21">
        <f>+U29-SUM(U30:U31)</f>
        <v>26169</v>
      </c>
      <c r="V32" s="21">
        <f t="shared" si="64"/>
        <v>24990</v>
      </c>
      <c r="W32" s="21">
        <f t="shared" ref="W32" si="65">+W29-SUM(W30:W31)</f>
        <v>38497</v>
      </c>
      <c r="X32" s="21">
        <f t="shared" ref="X32" si="66">+X29-SUM(X30:X31)</f>
        <v>36491</v>
      </c>
      <c r="Z32" s="21"/>
      <c r="AA32" s="21"/>
      <c r="AB32" s="21"/>
      <c r="AC32" s="21"/>
      <c r="AD32" s="21"/>
      <c r="AE32" s="21">
        <f t="shared" ref="AE32:AL32" si="67">+AE29-SUM(AE30:AE30)</f>
        <v>12023</v>
      </c>
      <c r="AF32" s="21">
        <f t="shared" si="67"/>
        <v>14298</v>
      </c>
      <c r="AG32" s="21">
        <f t="shared" si="67"/>
        <v>15845</v>
      </c>
      <c r="AH32" s="21">
        <f t="shared" si="67"/>
        <v>21957</v>
      </c>
      <c r="AI32" s="21">
        <f t="shared" si="67"/>
        <v>28742</v>
      </c>
      <c r="AJ32" s="21">
        <f t="shared" si="67"/>
        <v>28404</v>
      </c>
      <c r="AK32" s="21">
        <f t="shared" si="67"/>
        <v>25765</v>
      </c>
      <c r="AL32" s="21">
        <f t="shared" si="67"/>
        <v>37515</v>
      </c>
      <c r="AM32" s="21">
        <f>+AM29-SUM(AM30:AM31)</f>
        <v>55410</v>
      </c>
      <c r="AN32" s="21">
        <f>+AN29-SUM(AN30:AN31)</f>
        <v>71294</v>
      </c>
      <c r="AO32" s="21">
        <f>+AO29-SUM(AO30:AO31)</f>
        <v>94405</v>
      </c>
      <c r="AP32" s="21">
        <f>+AP29-SUM(AP30:AP31)</f>
        <v>166204.80642276423</v>
      </c>
      <c r="AQ32" s="21">
        <f>+AQ29-SUM(AQ30:AQ31)</f>
        <v>240316.56243732228</v>
      </c>
      <c r="AR32" s="21">
        <f t="shared" ref="AR32:AX32" si="68">+AR29-SUM(AR30:AR31)</f>
        <v>317412.5067980676</v>
      </c>
      <c r="AS32" s="21">
        <f t="shared" si="68"/>
        <v>415397.73102801427</v>
      </c>
      <c r="AT32" s="21">
        <f t="shared" si="68"/>
        <v>539541.60505657247</v>
      </c>
      <c r="AU32" s="21">
        <f t="shared" si="68"/>
        <v>696385.65694990417</v>
      </c>
      <c r="AV32" s="21">
        <f t="shared" si="68"/>
        <v>894041.66122970055</v>
      </c>
      <c r="AW32" s="21">
        <f t="shared" si="68"/>
        <v>1142558.0761929683</v>
      </c>
      <c r="AX32" s="21">
        <f t="shared" si="68"/>
        <v>1454370.2463004626</v>
      </c>
      <c r="AY32" s="21">
        <f t="shared" ref="AY32" si="69">+AY29-SUM(AY30:AY31)</f>
        <v>1844853.2181684424</v>
      </c>
    </row>
    <row r="33" spans="2:251" s="4" customFormat="1">
      <c r="B33" s="4" t="s">
        <v>29</v>
      </c>
      <c r="C33" s="21">
        <v>755</v>
      </c>
      <c r="D33" s="21">
        <v>1070</v>
      </c>
      <c r="E33" s="21">
        <v>1801</v>
      </c>
      <c r="F33" s="21">
        <v>1663</v>
      </c>
      <c r="G33" s="21">
        <v>1230</v>
      </c>
      <c r="H33" s="21">
        <v>3784</v>
      </c>
      <c r="I33" s="21">
        <v>-185</v>
      </c>
      <c r="J33" s="21">
        <f>+AL33-SUM(G33:I33)</f>
        <v>-1192</v>
      </c>
      <c r="K33" s="21">
        <v>2861</v>
      </c>
      <c r="L33" s="21">
        <v>3867</v>
      </c>
      <c r="M33" s="21">
        <v>5840</v>
      </c>
      <c r="N33" s="21">
        <f t="shared" si="30"/>
        <v>3681</v>
      </c>
      <c r="O33" s="21">
        <v>2860</v>
      </c>
      <c r="P33" s="21">
        <v>3055</v>
      </c>
      <c r="Q33" s="21">
        <v>4681</v>
      </c>
      <c r="R33" s="21">
        <f>+AN33-SUM(O33:Q33)</f>
        <v>5773</v>
      </c>
      <c r="S33" s="21">
        <v>5242</v>
      </c>
      <c r="T33" s="21">
        <v>6077</v>
      </c>
      <c r="U33" s="21">
        <v>6640</v>
      </c>
      <c r="V33" s="21">
        <f>+AO33-SUM(S33:U33)</f>
        <v>6176</v>
      </c>
      <c r="W33" s="21">
        <v>9750</v>
      </c>
      <c r="X33" s="21">
        <v>9006</v>
      </c>
      <c r="Z33" s="21"/>
      <c r="AA33" s="21"/>
      <c r="AB33" s="21"/>
      <c r="AC33" s="21"/>
      <c r="AD33" s="21"/>
      <c r="AE33" s="21">
        <v>4493</v>
      </c>
      <c r="AF33" s="21">
        <v>5312</v>
      </c>
      <c r="AG33" s="21">
        <v>5739</v>
      </c>
      <c r="AH33" s="21">
        <v>8188</v>
      </c>
      <c r="AI33" s="21">
        <v>4802</v>
      </c>
      <c r="AJ33" s="21">
        <v>5208</v>
      </c>
      <c r="AK33" s="21">
        <v>5289</v>
      </c>
      <c r="AL33" s="21">
        <v>3637</v>
      </c>
      <c r="AM33" s="21">
        <v>16249</v>
      </c>
      <c r="AN33" s="21">
        <v>16369</v>
      </c>
      <c r="AO33" s="21">
        <v>24135</v>
      </c>
      <c r="AP33" s="21">
        <f>+AP32*(AO33/AO32)</f>
        <v>42490.895641262803</v>
      </c>
      <c r="AQ33" s="21">
        <f>+AQ32*(AP33/AP32)</f>
        <v>61437.850054814618</v>
      </c>
      <c r="AR33" s="21">
        <f t="shared" ref="AR33:AV33" si="70">+AR32*(AQ33/AQ32)</f>
        <v>81147.723654164103</v>
      </c>
      <c r="AS33" s="21">
        <f t="shared" si="70"/>
        <v>106198.0216975915</v>
      </c>
      <c r="AT33" s="21">
        <f t="shared" si="70"/>
        <v>137935.87879922014</v>
      </c>
      <c r="AU33" s="21">
        <f t="shared" si="70"/>
        <v>178033.66167560976</v>
      </c>
      <c r="AV33" s="21">
        <f t="shared" si="70"/>
        <v>228565.17656669483</v>
      </c>
      <c r="AW33" s="21">
        <f t="shared" ref="AW33:AY33" si="71">+AW32*(AV33/AV32)</f>
        <v>292099.35034073715</v>
      </c>
      <c r="AX33" s="21">
        <f t="shared" si="71"/>
        <v>371815.32646005688</v>
      </c>
      <c r="AY33" s="21">
        <f t="shared" si="71"/>
        <v>471643.794507657</v>
      </c>
    </row>
    <row r="34" spans="2:251" s="5" customFormat="1">
      <c r="B34" s="5" t="s">
        <v>30</v>
      </c>
      <c r="C34" s="19">
        <f t="shared" ref="C34:I34" si="72">+C32-C33</f>
        <v>6606</v>
      </c>
      <c r="D34" s="19">
        <f t="shared" si="72"/>
        <v>4918</v>
      </c>
      <c r="E34" s="19">
        <f t="shared" si="72"/>
        <v>5905</v>
      </c>
      <c r="F34" s="19">
        <f t="shared" si="72"/>
        <v>3047</v>
      </c>
      <c r="G34" s="19">
        <f t="shared" si="72"/>
        <v>8096</v>
      </c>
      <c r="H34" s="19">
        <f t="shared" si="72"/>
        <v>9523</v>
      </c>
      <c r="I34" s="19">
        <f t="shared" si="72"/>
        <v>10081</v>
      </c>
      <c r="J34" s="19">
        <f>+AL34-SUM(G34:I34)</f>
        <v>6178</v>
      </c>
      <c r="K34" s="19">
        <f>+K32-K33</f>
        <v>14955</v>
      </c>
      <c r="L34" s="19">
        <f>+L32-L33</f>
        <v>12835</v>
      </c>
      <c r="M34" s="19">
        <f>+M32-M33</f>
        <v>7723</v>
      </c>
      <c r="N34" s="19">
        <f t="shared" si="30"/>
        <v>3648</v>
      </c>
      <c r="O34" s="19">
        <f t="shared" ref="O34:V34" si="73">+O32-O33</f>
        <v>9934</v>
      </c>
      <c r="P34" s="19">
        <f t="shared" si="73"/>
        <v>13630</v>
      </c>
      <c r="Q34" s="19">
        <f t="shared" si="73"/>
        <v>13607</v>
      </c>
      <c r="R34" s="19">
        <f t="shared" si="73"/>
        <v>17754</v>
      </c>
      <c r="S34" s="19">
        <f t="shared" si="73"/>
        <v>15746</v>
      </c>
      <c r="T34" s="19">
        <f t="shared" si="73"/>
        <v>16181</v>
      </c>
      <c r="U34" s="19">
        <f t="shared" si="73"/>
        <v>19529</v>
      </c>
      <c r="V34" s="19">
        <f t="shared" si="73"/>
        <v>18814</v>
      </c>
      <c r="W34" s="19">
        <f t="shared" ref="W34" si="74">+W32-W33</f>
        <v>28747</v>
      </c>
      <c r="X34" s="19">
        <f t="shared" ref="X34" si="75">+X32-X33</f>
        <v>27485</v>
      </c>
      <c r="Z34" s="19"/>
      <c r="AA34" s="19"/>
      <c r="AB34" s="19"/>
      <c r="AC34" s="19"/>
      <c r="AD34" s="19"/>
      <c r="AE34" s="19">
        <f t="shared" ref="AE34:AM34" si="76">+AE32-AE33</f>
        <v>7530</v>
      </c>
      <c r="AF34" s="19">
        <f t="shared" si="76"/>
        <v>8986</v>
      </c>
      <c r="AG34" s="19">
        <f t="shared" si="76"/>
        <v>10106</v>
      </c>
      <c r="AH34" s="19">
        <f t="shared" si="76"/>
        <v>13769</v>
      </c>
      <c r="AI34" s="19">
        <f t="shared" si="76"/>
        <v>23940</v>
      </c>
      <c r="AJ34" s="19">
        <f t="shared" si="76"/>
        <v>23196</v>
      </c>
      <c r="AK34" s="19">
        <f t="shared" si="76"/>
        <v>20476</v>
      </c>
      <c r="AL34" s="19">
        <f t="shared" si="76"/>
        <v>33878</v>
      </c>
      <c r="AM34" s="19">
        <f t="shared" si="76"/>
        <v>39161</v>
      </c>
      <c r="AN34" s="19">
        <f t="shared" ref="AN34" si="77">+AN32-AN33</f>
        <v>54925</v>
      </c>
      <c r="AO34" s="19">
        <f t="shared" ref="AO34:AV34" si="78">+AO32-AO33</f>
        <v>70270</v>
      </c>
      <c r="AP34" s="19">
        <f t="shared" si="78"/>
        <v>123713.91078150143</v>
      </c>
      <c r="AQ34" s="19">
        <f>+AQ32-AQ33</f>
        <v>178878.71238250766</v>
      </c>
      <c r="AR34" s="19">
        <f>+AR32-AR33</f>
        <v>236264.78314390348</v>
      </c>
      <c r="AS34" s="19">
        <f t="shared" si="78"/>
        <v>309199.7093304228</v>
      </c>
      <c r="AT34" s="19">
        <f t="shared" si="78"/>
        <v>401605.72625735233</v>
      </c>
      <c r="AU34" s="19">
        <f t="shared" si="78"/>
        <v>518351.9952742944</v>
      </c>
      <c r="AV34" s="19">
        <f t="shared" si="78"/>
        <v>665476.48466300569</v>
      </c>
      <c r="AW34" s="19">
        <f t="shared" ref="AW34:AX34" si="79">+AW32-AW33</f>
        <v>850458.72585223115</v>
      </c>
      <c r="AX34" s="19">
        <f t="shared" si="79"/>
        <v>1082554.9198404057</v>
      </c>
      <c r="AY34" s="19">
        <f t="shared" ref="AY34" si="80">+AY32-AY33</f>
        <v>1373209.4236607854</v>
      </c>
      <c r="AZ34" s="5">
        <f>+AY34*(1+$BB$38)</f>
        <v>1386941.5178973933</v>
      </c>
      <c r="BA34" s="5">
        <f t="shared" ref="BA34:DF34" si="81">+AZ34*(1+$BB$38)</f>
        <v>1400810.9330763672</v>
      </c>
      <c r="BB34" s="5">
        <f t="shared" si="81"/>
        <v>1414819.0424071308</v>
      </c>
      <c r="BC34" s="5">
        <f t="shared" si="81"/>
        <v>1428967.2328312022</v>
      </c>
      <c r="BD34" s="5">
        <f t="shared" si="81"/>
        <v>1443256.9051595142</v>
      </c>
      <c r="BE34" s="5">
        <f t="shared" si="81"/>
        <v>1457689.4742111093</v>
      </c>
      <c r="BF34" s="5">
        <f t="shared" si="81"/>
        <v>1472266.3689532205</v>
      </c>
      <c r="BG34" s="5">
        <f t="shared" si="81"/>
        <v>1486989.0326427529</v>
      </c>
      <c r="BH34" s="5">
        <f t="shared" si="81"/>
        <v>1501858.9229691804</v>
      </c>
      <c r="BI34" s="5">
        <f t="shared" si="81"/>
        <v>1516877.5121988722</v>
      </c>
      <c r="BJ34" s="5">
        <f t="shared" si="81"/>
        <v>1532046.2873208609</v>
      </c>
      <c r="BK34" s="5">
        <f t="shared" si="81"/>
        <v>1547366.7501940695</v>
      </c>
      <c r="BL34" s="5">
        <f t="shared" si="81"/>
        <v>1562840.4176960101</v>
      </c>
      <c r="BM34" s="5">
        <f t="shared" si="81"/>
        <v>1578468.8218729701</v>
      </c>
      <c r="BN34" s="5">
        <f t="shared" si="81"/>
        <v>1594253.5100916999</v>
      </c>
      <c r="BO34" s="5">
        <f t="shared" si="81"/>
        <v>1610196.045192617</v>
      </c>
      <c r="BP34" s="5">
        <f t="shared" si="81"/>
        <v>1626298.0056445431</v>
      </c>
      <c r="BQ34" s="5">
        <f t="shared" si="81"/>
        <v>1642560.9857009884</v>
      </c>
      <c r="BR34" s="5">
        <f t="shared" si="81"/>
        <v>1658986.5955579984</v>
      </c>
      <c r="BS34" s="5">
        <f t="shared" si="81"/>
        <v>1675576.4615135784</v>
      </c>
      <c r="BT34" s="5">
        <f t="shared" si="81"/>
        <v>1692332.2261287142</v>
      </c>
      <c r="BU34" s="5">
        <f t="shared" si="81"/>
        <v>1709255.5483900013</v>
      </c>
      <c r="BV34" s="5">
        <f t="shared" si="81"/>
        <v>1726348.1038739013</v>
      </c>
      <c r="BW34" s="5">
        <f t="shared" si="81"/>
        <v>1743611.5849126403</v>
      </c>
      <c r="BX34" s="5">
        <f t="shared" si="81"/>
        <v>1761047.7007617666</v>
      </c>
      <c r="BY34" s="5">
        <f t="shared" si="81"/>
        <v>1778658.1777693843</v>
      </c>
      <c r="BZ34" s="5">
        <f t="shared" si="81"/>
        <v>1796444.7595470783</v>
      </c>
      <c r="CA34" s="5">
        <f t="shared" si="81"/>
        <v>1814409.2071425491</v>
      </c>
      <c r="CB34" s="5">
        <f t="shared" si="81"/>
        <v>1832553.2992139745</v>
      </c>
      <c r="CC34" s="5">
        <f t="shared" si="81"/>
        <v>1850878.8322061142</v>
      </c>
      <c r="CD34" s="5">
        <f t="shared" si="81"/>
        <v>1869387.6205281753</v>
      </c>
      <c r="CE34" s="5">
        <f t="shared" si="81"/>
        <v>1888081.4967334571</v>
      </c>
      <c r="CF34" s="5">
        <f t="shared" si="81"/>
        <v>1906962.3117007916</v>
      </c>
      <c r="CG34" s="5">
        <f t="shared" si="81"/>
        <v>1926031.9348177996</v>
      </c>
      <c r="CH34" s="5">
        <f t="shared" si="81"/>
        <v>1945292.2541659777</v>
      </c>
      <c r="CI34" s="5">
        <f t="shared" si="81"/>
        <v>1964745.1767076375</v>
      </c>
      <c r="CJ34" s="5">
        <f t="shared" si="81"/>
        <v>1984392.628474714</v>
      </c>
      <c r="CK34" s="5">
        <f t="shared" si="81"/>
        <v>2004236.5547594612</v>
      </c>
      <c r="CL34" s="5">
        <f t="shared" si="81"/>
        <v>2024278.9203070558</v>
      </c>
      <c r="CM34" s="5">
        <f t="shared" si="81"/>
        <v>2044521.7095101264</v>
      </c>
      <c r="CN34" s="5">
        <f t="shared" si="81"/>
        <v>2064966.9266052276</v>
      </c>
      <c r="CO34" s="5">
        <f t="shared" si="81"/>
        <v>2085616.5958712799</v>
      </c>
      <c r="CP34" s="5">
        <f t="shared" si="81"/>
        <v>2106472.7618299928</v>
      </c>
      <c r="CQ34" s="5">
        <f t="shared" si="81"/>
        <v>2127537.4894482926</v>
      </c>
      <c r="CR34" s="5">
        <f t="shared" si="81"/>
        <v>2148812.8643427757</v>
      </c>
      <c r="CS34" s="5">
        <f t="shared" si="81"/>
        <v>2170300.9929862036</v>
      </c>
      <c r="CT34" s="5">
        <f t="shared" si="81"/>
        <v>2192004.0029160655</v>
      </c>
      <c r="CU34" s="5">
        <f t="shared" si="81"/>
        <v>2213924.0429452262</v>
      </c>
      <c r="CV34" s="5">
        <f t="shared" si="81"/>
        <v>2236063.2833746783</v>
      </c>
      <c r="CW34" s="5">
        <f t="shared" si="81"/>
        <v>2258423.9162084251</v>
      </c>
      <c r="CX34" s="5">
        <f t="shared" si="81"/>
        <v>2281008.1553705093</v>
      </c>
      <c r="CY34" s="5">
        <f t="shared" si="81"/>
        <v>2303818.2369242143</v>
      </c>
      <c r="CZ34" s="5">
        <f t="shared" si="81"/>
        <v>2326856.4192934562</v>
      </c>
      <c r="DA34" s="5">
        <f t="shared" si="81"/>
        <v>2350124.9834863907</v>
      </c>
      <c r="DB34" s="5">
        <f t="shared" si="81"/>
        <v>2373626.2333212546</v>
      </c>
      <c r="DC34" s="5">
        <f t="shared" si="81"/>
        <v>2397362.495654467</v>
      </c>
      <c r="DD34" s="5">
        <f t="shared" si="81"/>
        <v>2421336.1206110115</v>
      </c>
      <c r="DE34" s="5">
        <f t="shared" si="81"/>
        <v>2445549.4818171216</v>
      </c>
      <c r="DF34" s="5">
        <f t="shared" si="81"/>
        <v>2470004.9766352926</v>
      </c>
      <c r="DG34" s="5">
        <f t="shared" ref="DG34" si="82">+DF34*(1+$BB$38)</f>
        <v>2494705.0264016455</v>
      </c>
      <c r="DH34" s="5">
        <f t="shared" ref="DH34" si="83">+DG34*(1+$BB$38)</f>
        <v>2519652.0766656618</v>
      </c>
      <c r="DI34" s="5">
        <f t="shared" ref="DI34" si="84">+DH34*(1+$BB$38)</f>
        <v>2544848.5974323186</v>
      </c>
      <c r="DJ34" s="5">
        <f t="shared" ref="DJ34" si="85">+DI34*(1+$BB$38)</f>
        <v>2570297.0834066416</v>
      </c>
      <c r="DK34" s="5">
        <f t="shared" ref="DK34" si="86">+DJ34*(1+$BB$38)</f>
        <v>2596000.0542407082</v>
      </c>
      <c r="DL34" s="5">
        <f t="shared" ref="DL34" si="87">+DK34*(1+$BB$38)</f>
        <v>2621960.0547831152</v>
      </c>
      <c r="DM34" s="5">
        <f t="shared" ref="DM34" si="88">+DL34*(1+$BB$38)</f>
        <v>2648179.6553309462</v>
      </c>
      <c r="DN34" s="5">
        <f t="shared" ref="DN34" si="89">+DM34*(1+$BB$38)</f>
        <v>2674661.4518842557</v>
      </c>
      <c r="DO34" s="5">
        <f t="shared" ref="DO34" si="90">+DN34*(1+$BB$38)</f>
        <v>2701408.0664030984</v>
      </c>
      <c r="DP34" s="5">
        <f t="shared" ref="DP34" si="91">+DO34*(1+$BB$38)</f>
        <v>2728422.1470671296</v>
      </c>
      <c r="DQ34" s="5">
        <f t="shared" ref="DQ34" si="92">+DP34*(1+$BB$38)</f>
        <v>2755706.3685378009</v>
      </c>
      <c r="DR34" s="5">
        <f t="shared" ref="DR34" si="93">+DQ34*(1+$BB$38)</f>
        <v>2783263.4322231789</v>
      </c>
      <c r="DS34" s="5">
        <f t="shared" ref="DS34" si="94">+DR34*(1+$BB$38)</f>
        <v>2811096.0665454105</v>
      </c>
      <c r="DT34" s="5">
        <f t="shared" ref="DT34" si="95">+DS34*(1+$BB$38)</f>
        <v>2839207.0272108647</v>
      </c>
      <c r="DU34" s="5">
        <f t="shared" ref="DU34" si="96">+DT34*(1+$BB$38)</f>
        <v>2867599.0974829732</v>
      </c>
      <c r="DV34" s="5">
        <f t="shared" ref="DV34" si="97">+DU34*(1+$BB$38)</f>
        <v>2896275.0884578028</v>
      </c>
      <c r="DW34" s="5">
        <f t="shared" ref="DW34" si="98">+DV34*(1+$BB$38)</f>
        <v>2925237.8393423809</v>
      </c>
      <c r="DX34" s="5">
        <f t="shared" ref="DX34" si="99">+DW34*(1+$BB$38)</f>
        <v>2954490.2177358046</v>
      </c>
      <c r="DY34" s="5">
        <f t="shared" ref="DY34" si="100">+DX34*(1+$BB$38)</f>
        <v>2984035.1199131627</v>
      </c>
      <c r="DZ34" s="5">
        <f t="shared" ref="DZ34" si="101">+DY34*(1+$BB$38)</f>
        <v>3013875.4711122941</v>
      </c>
      <c r="EA34" s="5">
        <f t="shared" ref="EA34" si="102">+DZ34*(1+$BB$38)</f>
        <v>3044014.2258234173</v>
      </c>
      <c r="EB34" s="5">
        <f t="shared" ref="EB34" si="103">+EA34*(1+$BB$38)</f>
        <v>3074454.3680816516</v>
      </c>
      <c r="EC34" s="5">
        <f t="shared" ref="EC34" si="104">+EB34*(1+$BB$38)</f>
        <v>3105198.9117624681</v>
      </c>
      <c r="ED34" s="5">
        <f t="shared" ref="ED34" si="105">+EC34*(1+$BB$38)</f>
        <v>3136250.9008800928</v>
      </c>
      <c r="EE34" s="5">
        <f t="shared" ref="EE34" si="106">+ED34*(1+$BB$38)</f>
        <v>3167613.4098888938</v>
      </c>
      <c r="EF34" s="5">
        <f t="shared" ref="EF34" si="107">+EE34*(1+$BB$38)</f>
        <v>3199289.5439877827</v>
      </c>
      <c r="EG34" s="5">
        <f t="shared" ref="EG34" si="108">+EF34*(1+$BB$38)</f>
        <v>3231282.4394276603</v>
      </c>
      <c r="EH34" s="5">
        <f t="shared" ref="EH34" si="109">+EG34*(1+$BB$38)</f>
        <v>3263595.2638219371</v>
      </c>
      <c r="EI34" s="5">
        <f t="shared" ref="EI34" si="110">+EH34*(1+$BB$38)</f>
        <v>3296231.2164601567</v>
      </c>
      <c r="EJ34" s="5">
        <f t="shared" ref="EJ34" si="111">+EI34*(1+$BB$38)</f>
        <v>3329193.5286247581</v>
      </c>
      <c r="EK34" s="5">
        <f t="shared" ref="EK34" si="112">+EJ34*(1+$BB$38)</f>
        <v>3362485.4639110058</v>
      </c>
      <c r="EL34" s="5">
        <f t="shared" ref="EL34" si="113">+EK34*(1+$BB$38)</f>
        <v>3396110.3185501159</v>
      </c>
      <c r="EM34" s="5">
        <f t="shared" ref="EM34" si="114">+EL34*(1+$BB$38)</f>
        <v>3430071.4217356173</v>
      </c>
      <c r="EN34" s="5">
        <f t="shared" ref="EN34" si="115">+EM34*(1+$BB$38)</f>
        <v>3464372.1359529737</v>
      </c>
      <c r="EO34" s="5">
        <f t="shared" ref="EO34" si="116">+EN34*(1+$BB$38)</f>
        <v>3499015.8573125037</v>
      </c>
      <c r="EP34" s="5">
        <f t="shared" ref="EP34" si="117">+EO34*(1+$BB$38)</f>
        <v>3534006.0158856288</v>
      </c>
      <c r="EQ34" s="5">
        <f t="shared" ref="EQ34" si="118">+EP34*(1+$BB$38)</f>
        <v>3569346.076044485</v>
      </c>
      <c r="ER34" s="5">
        <f t="shared" ref="ER34" si="119">+EQ34*(1+$BB$38)</f>
        <v>3605039.5368049298</v>
      </c>
      <c r="ES34" s="5">
        <f t="shared" ref="ES34" si="120">+ER34*(1+$BB$38)</f>
        <v>3641089.9321729792</v>
      </c>
      <c r="ET34" s="5">
        <f t="shared" ref="ET34" si="121">+ES34*(1+$BB$38)</f>
        <v>3677500.831494709</v>
      </c>
      <c r="EU34" s="5">
        <f t="shared" ref="EU34" si="122">+ET34*(1+$BB$38)</f>
        <v>3714275.8398096561</v>
      </c>
      <c r="EV34" s="5">
        <f t="shared" ref="EV34" si="123">+EU34*(1+$BB$38)</f>
        <v>3751418.5982077527</v>
      </c>
      <c r="EW34" s="5">
        <f t="shared" ref="EW34" si="124">+EV34*(1+$BB$38)</f>
        <v>3788932.7841898301</v>
      </c>
      <c r="EX34" s="5">
        <f t="shared" ref="EX34" si="125">+EW34*(1+$BB$38)</f>
        <v>3826822.1120317285</v>
      </c>
      <c r="EY34" s="5">
        <f t="shared" ref="EY34" si="126">+EX34*(1+$BB$38)</f>
        <v>3865090.333152046</v>
      </c>
      <c r="EZ34" s="5">
        <f t="shared" ref="EZ34" si="127">+EY34*(1+$BB$38)</f>
        <v>3903741.2364835665</v>
      </c>
      <c r="FA34" s="5">
        <f t="shared" ref="FA34" si="128">+EZ34*(1+$BB$38)</f>
        <v>3942778.6488484023</v>
      </c>
      <c r="FB34" s="5">
        <f t="shared" ref="FB34" si="129">+FA34*(1+$BB$38)</f>
        <v>3982206.4353368864</v>
      </c>
      <c r="FC34" s="5">
        <f t="shared" ref="FC34" si="130">+FB34*(1+$BB$38)</f>
        <v>4022028.4996902552</v>
      </c>
      <c r="FD34" s="5">
        <f t="shared" ref="FD34" si="131">+FC34*(1+$BB$38)</f>
        <v>4062248.7846871577</v>
      </c>
      <c r="FE34" s="5">
        <f t="shared" ref="FE34" si="132">+FD34*(1+$BB$38)</f>
        <v>4102871.2725340296</v>
      </c>
      <c r="FF34" s="5">
        <f t="shared" ref="FF34" si="133">+FE34*(1+$BB$38)</f>
        <v>4143899.9852593699</v>
      </c>
      <c r="FG34" s="5">
        <f t="shared" ref="FG34" si="134">+FF34*(1+$BB$38)</f>
        <v>4185338.9851119635</v>
      </c>
      <c r="FH34" s="5">
        <f t="shared" ref="FH34" si="135">+FG34*(1+$BB$38)</f>
        <v>4227192.3749630833</v>
      </c>
      <c r="FI34" s="5">
        <f t="shared" ref="FI34" si="136">+FH34*(1+$BB$38)</f>
        <v>4269464.2987127146</v>
      </c>
      <c r="FJ34" s="5">
        <f t="shared" ref="FJ34" si="137">+FI34*(1+$BB$38)</f>
        <v>4312158.941699842</v>
      </c>
      <c r="FK34" s="5">
        <f t="shared" ref="FK34" si="138">+FJ34*(1+$BB$38)</f>
        <v>4355280.5311168404</v>
      </c>
      <c r="FL34" s="5">
        <f t="shared" ref="FL34" si="139">+FK34*(1+$BB$38)</f>
        <v>4398833.336428009</v>
      </c>
      <c r="FM34" s="5">
        <f t="shared" ref="FM34" si="140">+FL34*(1+$BB$38)</f>
        <v>4442821.6697922889</v>
      </c>
      <c r="FN34" s="5">
        <f t="shared" ref="FN34" si="141">+FM34*(1+$BB$38)</f>
        <v>4487249.8864902118</v>
      </c>
      <c r="FO34" s="5">
        <f t="shared" ref="FO34" si="142">+FN34*(1+$BB$38)</f>
        <v>4532122.385355114</v>
      </c>
      <c r="FP34" s="5">
        <f t="shared" ref="FP34" si="143">+FO34*(1+$BB$38)</f>
        <v>4577443.6092086649</v>
      </c>
      <c r="FQ34" s="5">
        <f t="shared" ref="FQ34" si="144">+FP34*(1+$BB$38)</f>
        <v>4623218.0453007519</v>
      </c>
      <c r="FR34" s="5">
        <f t="shared" ref="FR34" si="145">+FQ34*(1+$BB$38)</f>
        <v>4669450.225753759</v>
      </c>
      <c r="FS34" s="5">
        <f t="shared" ref="FS34" si="146">+FR34*(1+$BB$38)</f>
        <v>4716144.7280112971</v>
      </c>
      <c r="FT34" s="5">
        <f t="shared" ref="FT34" si="147">+FS34*(1+$BB$38)</f>
        <v>4763306.1752914097</v>
      </c>
      <c r="FU34" s="5">
        <f t="shared" ref="FU34" si="148">+FT34*(1+$BB$38)</f>
        <v>4810939.2370443242</v>
      </c>
      <c r="FV34" s="5">
        <f t="shared" ref="FV34" si="149">+FU34*(1+$BB$38)</f>
        <v>4859048.629414767</v>
      </c>
      <c r="FW34" s="5">
        <f t="shared" ref="FW34" si="150">+FV34*(1+$BB$38)</f>
        <v>4907639.1157089146</v>
      </c>
      <c r="FX34" s="5">
        <f t="shared" ref="FX34" si="151">+FW34*(1+$BB$38)</f>
        <v>4956715.5068660034</v>
      </c>
      <c r="FY34" s="5">
        <f t="shared" ref="FY34" si="152">+FX34*(1+$BB$38)</f>
        <v>5006282.6619346635</v>
      </c>
      <c r="FZ34" s="5">
        <f t="shared" ref="FZ34" si="153">+FY34*(1+$BB$38)</f>
        <v>5056345.4885540102</v>
      </c>
      <c r="GA34" s="5">
        <f t="shared" ref="GA34" si="154">+FZ34*(1+$BB$38)</f>
        <v>5106908.9434395507</v>
      </c>
      <c r="GB34" s="5">
        <f t="shared" ref="GB34" si="155">+GA34*(1+$BB$38)</f>
        <v>5157978.0328739462</v>
      </c>
      <c r="GC34" s="5">
        <f t="shared" ref="GC34" si="156">+GB34*(1+$BB$38)</f>
        <v>5209557.8132026857</v>
      </c>
      <c r="GD34" s="5">
        <f t="shared" ref="GD34" si="157">+GC34*(1+$BB$38)</f>
        <v>5261653.3913347125</v>
      </c>
      <c r="GE34" s="5">
        <f t="shared" ref="GE34" si="158">+GD34*(1+$BB$38)</f>
        <v>5314269.9252480594</v>
      </c>
      <c r="GF34" s="5">
        <f t="shared" ref="GF34" si="159">+GE34*(1+$BB$38)</f>
        <v>5367412.6245005401</v>
      </c>
      <c r="GG34" s="5">
        <f t="shared" ref="GG34" si="160">+GF34*(1+$BB$38)</f>
        <v>5421086.7507455451</v>
      </c>
      <c r="GH34" s="5">
        <f t="shared" ref="GH34" si="161">+GG34*(1+$BB$38)</f>
        <v>5475297.618253001</v>
      </c>
      <c r="GI34" s="5">
        <f t="shared" ref="GI34" si="162">+GH34*(1+$BB$38)</f>
        <v>5530050.5944355307</v>
      </c>
      <c r="GJ34" s="5">
        <f t="shared" ref="GJ34" si="163">+GI34*(1+$BB$38)</f>
        <v>5585351.1003798861</v>
      </c>
      <c r="GK34" s="5">
        <f t="shared" ref="GK34" si="164">+GJ34*(1+$BB$38)</f>
        <v>5641204.6113836849</v>
      </c>
      <c r="GL34" s="5">
        <f t="shared" ref="GL34" si="165">+GK34*(1+$BB$38)</f>
        <v>5697616.6574975215</v>
      </c>
      <c r="GM34" s="5">
        <f t="shared" ref="GM34" si="166">+GL34*(1+$BB$38)</f>
        <v>5754592.824072497</v>
      </c>
      <c r="GN34" s="5">
        <f t="shared" ref="GN34" si="167">+GM34*(1+$BB$38)</f>
        <v>5812138.7523132218</v>
      </c>
      <c r="GO34" s="5">
        <f t="shared" ref="GO34" si="168">+GN34*(1+$BB$38)</f>
        <v>5870260.1398363542</v>
      </c>
      <c r="GP34" s="5">
        <f t="shared" ref="GP34" si="169">+GO34*(1+$BB$38)</f>
        <v>5928962.7412347179</v>
      </c>
      <c r="GQ34" s="5">
        <f t="shared" ref="GQ34" si="170">+GP34*(1+$BB$38)</f>
        <v>5988252.368647065</v>
      </c>
      <c r="GR34" s="5">
        <f t="shared" ref="GR34" si="171">+GQ34*(1+$BB$38)</f>
        <v>6048134.8923335355</v>
      </c>
      <c r="GS34" s="5">
        <f t="shared" ref="GS34" si="172">+GR34*(1+$BB$38)</f>
        <v>6108616.2412568713</v>
      </c>
      <c r="GT34" s="5">
        <f t="shared" ref="GT34" si="173">+GS34*(1+$BB$38)</f>
        <v>6169702.4036694402</v>
      </c>
      <c r="GU34" s="5">
        <f t="shared" ref="GU34" si="174">+GT34*(1+$BB$38)</f>
        <v>6231399.4277061345</v>
      </c>
      <c r="GV34" s="5">
        <f t="shared" ref="GV34" si="175">+GU34*(1+$BB$38)</f>
        <v>6293713.4219831955</v>
      </c>
      <c r="GW34" s="5">
        <f t="shared" ref="GW34" si="176">+GV34*(1+$BB$38)</f>
        <v>6356650.5562030273</v>
      </c>
      <c r="GX34" s="5">
        <f t="shared" ref="GX34" si="177">+GW34*(1+$BB$38)</f>
        <v>6420217.061765058</v>
      </c>
      <c r="GY34" s="5">
        <f t="shared" ref="GY34" si="178">+GX34*(1+$BB$38)</f>
        <v>6484419.2323827082</v>
      </c>
      <c r="GZ34" s="5">
        <f t="shared" ref="GZ34" si="179">+GY34*(1+$BB$38)</f>
        <v>6549263.4247065354</v>
      </c>
      <c r="HA34" s="5">
        <f t="shared" ref="HA34" si="180">+GZ34*(1+$BB$38)</f>
        <v>6614756.0589536009</v>
      </c>
      <c r="HB34" s="5">
        <f t="shared" ref="HB34" si="181">+HA34*(1+$BB$38)</f>
        <v>6680903.619543137</v>
      </c>
      <c r="HC34" s="5">
        <f t="shared" ref="HC34" si="182">+HB34*(1+$BB$38)</f>
        <v>6747712.6557385689</v>
      </c>
      <c r="HD34" s="5">
        <f t="shared" ref="HD34" si="183">+HC34*(1+$BB$38)</f>
        <v>6815189.7822959544</v>
      </c>
      <c r="HE34" s="5">
        <f t="shared" ref="HE34" si="184">+HD34*(1+$BB$38)</f>
        <v>6883341.6801189138</v>
      </c>
      <c r="HF34" s="5">
        <f t="shared" ref="HF34" si="185">+HE34*(1+$BB$38)</f>
        <v>6952175.0969201028</v>
      </c>
      <c r="HG34" s="5">
        <f t="shared" ref="HG34" si="186">+HF34*(1+$BB$38)</f>
        <v>7021696.8478893042</v>
      </c>
      <c r="HH34" s="5">
        <f t="shared" ref="HH34" si="187">+HG34*(1+$BB$38)</f>
        <v>7091913.8163681971</v>
      </c>
      <c r="HI34" s="5">
        <f t="shared" ref="HI34" si="188">+HH34*(1+$BB$38)</f>
        <v>7162832.9545318792</v>
      </c>
      <c r="HJ34" s="5">
        <f t="shared" ref="HJ34" si="189">+HI34*(1+$BB$38)</f>
        <v>7234461.2840771982</v>
      </c>
      <c r="HK34" s="5">
        <f t="shared" ref="HK34" si="190">+HJ34*(1+$BB$38)</f>
        <v>7306805.8969179699</v>
      </c>
      <c r="HL34" s="5">
        <f t="shared" ref="HL34" si="191">+HK34*(1+$BB$38)</f>
        <v>7379873.95588715</v>
      </c>
      <c r="HM34" s="5">
        <f t="shared" ref="HM34" si="192">+HL34*(1+$BB$38)</f>
        <v>7453672.6954460219</v>
      </c>
      <c r="HN34" s="5">
        <f t="shared" ref="HN34" si="193">+HM34*(1+$BB$38)</f>
        <v>7528209.422400482</v>
      </c>
      <c r="HO34" s="5">
        <f t="shared" ref="HO34" si="194">+HN34*(1+$BB$38)</f>
        <v>7603491.516624487</v>
      </c>
      <c r="HP34" s="5">
        <f t="shared" ref="HP34" si="195">+HO34*(1+$BB$38)</f>
        <v>7679526.4317907318</v>
      </c>
      <c r="HQ34" s="5">
        <f t="shared" ref="HQ34" si="196">+HP34*(1+$BB$38)</f>
        <v>7756321.6961086392</v>
      </c>
      <c r="HR34" s="5">
        <f t="shared" ref="HR34" si="197">+HQ34*(1+$BB$38)</f>
        <v>7833884.913069726</v>
      </c>
      <c r="HS34" s="5">
        <f t="shared" ref="HS34" si="198">+HR34*(1+$BB$38)</f>
        <v>7912223.7622004235</v>
      </c>
      <c r="HT34" s="5">
        <f t="shared" ref="HT34" si="199">+HS34*(1+$BB$38)</f>
        <v>7991345.9998224275</v>
      </c>
      <c r="HU34" s="5">
        <f t="shared" ref="HU34" si="200">+HT34*(1+$BB$38)</f>
        <v>8071259.4598206514</v>
      </c>
      <c r="HV34" s="5">
        <f t="shared" ref="HV34" si="201">+HU34*(1+$BB$38)</f>
        <v>8151972.0544188581</v>
      </c>
      <c r="HW34" s="5">
        <f t="shared" ref="HW34" si="202">+HV34*(1+$BB$38)</f>
        <v>8233491.7749630464</v>
      </c>
      <c r="HX34" s="5">
        <f t="shared" ref="HX34" si="203">+HW34*(1+$BB$38)</f>
        <v>8315826.6927126767</v>
      </c>
      <c r="HY34" s="5">
        <f t="shared" ref="HY34" si="204">+HX34*(1+$BB$38)</f>
        <v>8398984.9596398044</v>
      </c>
      <c r="HZ34" s="5">
        <f t="shared" ref="HZ34" si="205">+HY34*(1+$BB$38)</f>
        <v>8482974.8092362024</v>
      </c>
      <c r="IA34" s="5">
        <f t="shared" ref="IA34" si="206">+HZ34*(1+$BB$38)</f>
        <v>8567804.557328565</v>
      </c>
      <c r="IB34" s="5">
        <f t="shared" ref="IB34" si="207">+IA34*(1+$BB$38)</f>
        <v>8653482.6029018499</v>
      </c>
      <c r="IC34" s="5">
        <f t="shared" ref="IC34" si="208">+IB34*(1+$BB$38)</f>
        <v>8740017.4289308693</v>
      </c>
      <c r="ID34" s="5">
        <f t="shared" ref="ID34" si="209">+IC34*(1+$BB$38)</f>
        <v>8827417.6032201778</v>
      </c>
      <c r="IE34" s="5">
        <f t="shared" ref="IE34" si="210">+ID34*(1+$BB$38)</f>
        <v>8915691.7792523801</v>
      </c>
      <c r="IF34" s="5">
        <f t="shared" ref="IF34" si="211">+IE34*(1+$BB$38)</f>
        <v>9004848.6970449034</v>
      </c>
      <c r="IG34" s="5">
        <f t="shared" ref="IG34" si="212">+IF34*(1+$BB$38)</f>
        <v>9094897.1840153523</v>
      </c>
      <c r="IH34" s="5">
        <f t="shared" ref="IH34" si="213">+IG34*(1+$BB$38)</f>
        <v>9185846.1558555067</v>
      </c>
      <c r="II34" s="5">
        <f t="shared" ref="II34" si="214">+IH34*(1+$BB$38)</f>
        <v>9277704.617414061</v>
      </c>
      <c r="IJ34" s="5">
        <f t="shared" ref="IJ34" si="215">+II34*(1+$BB$38)</f>
        <v>9370481.6635882016</v>
      </c>
      <c r="IK34" s="5">
        <f t="shared" ref="IK34" si="216">+IJ34*(1+$BB$38)</f>
        <v>9464186.4802240841</v>
      </c>
      <c r="IL34" s="5">
        <f t="shared" ref="IL34" si="217">+IK34*(1+$BB$38)</f>
        <v>9558828.3450263254</v>
      </c>
      <c r="IM34" s="5">
        <f t="shared" ref="IM34" si="218">+IL34*(1+$BB$38)</f>
        <v>9654416.6284765881</v>
      </c>
      <c r="IN34" s="5">
        <f t="shared" ref="IN34" si="219">+IM34*(1+$BB$38)</f>
        <v>9750960.7947613541</v>
      </c>
      <c r="IO34" s="5">
        <f t="shared" ref="IO34" si="220">+IN34*(1+$BB$38)</f>
        <v>9848470.4027089681</v>
      </c>
      <c r="IP34" s="5">
        <f t="shared" ref="IP34" si="221">+IO34*(1+$BB$38)</f>
        <v>9946955.1067360584</v>
      </c>
      <c r="IQ34" s="5">
        <f t="shared" ref="IQ34" si="222">+IP34*(1+$BB$38)</f>
        <v>10046424.657803418</v>
      </c>
    </row>
    <row r="35" spans="2:251" s="4" customFormat="1">
      <c r="B35" s="4" t="s">
        <v>31</v>
      </c>
      <c r="C35" s="21">
        <v>29637</v>
      </c>
      <c r="D35" s="21">
        <v>29667</v>
      </c>
      <c r="E35" s="21">
        <v>29696</v>
      </c>
      <c r="F35" s="21">
        <v>29709</v>
      </c>
      <c r="G35" s="21">
        <v>9742</v>
      </c>
      <c r="H35" s="21">
        <v>29793</v>
      </c>
      <c r="I35" s="21">
        <v>29854</v>
      </c>
      <c r="J35" s="21">
        <v>29845</v>
      </c>
      <c r="K35" s="21">
        <v>29844</v>
      </c>
      <c r="L35" s="21">
        <v>29873</v>
      </c>
      <c r="M35" s="21">
        <v>29963</v>
      </c>
      <c r="N35" s="21">
        <f>+N34/N36</f>
        <v>30578.697475722736</v>
      </c>
      <c r="O35" s="21">
        <v>29974</v>
      </c>
      <c r="P35" s="21">
        <v>29914</v>
      </c>
      <c r="Q35" s="21">
        <v>29967</v>
      </c>
      <c r="R35" s="21">
        <v>30003</v>
      </c>
      <c r="S35" s="21">
        <v>30031</v>
      </c>
      <c r="T35" s="21">
        <v>30049</v>
      </c>
      <c r="U35" s="21">
        <v>29818</v>
      </c>
      <c r="V35" s="21">
        <f>+U35</f>
        <v>29818</v>
      </c>
      <c r="W35" s="21">
        <v>29478</v>
      </c>
      <c r="X35" s="21">
        <v>29457</v>
      </c>
      <c r="Z35" s="21"/>
      <c r="AA35" s="21"/>
      <c r="AB35" s="21"/>
      <c r="AC35" s="21"/>
      <c r="AD35" s="21"/>
      <c r="AE35" s="21">
        <v>25648</v>
      </c>
      <c r="AF35" s="21">
        <v>26204</v>
      </c>
      <c r="AG35" s="21">
        <v>27816</v>
      </c>
      <c r="AH35" s="21">
        <v>28983</v>
      </c>
      <c r="AI35" s="21">
        <v>29424</v>
      </c>
      <c r="AJ35" s="21">
        <v>29587</v>
      </c>
      <c r="AK35" s="21">
        <v>29670</v>
      </c>
      <c r="AL35" s="21">
        <v>29804</v>
      </c>
      <c r="AM35" s="21">
        <v>29944</v>
      </c>
      <c r="AN35" s="21">
        <v>29963</v>
      </c>
      <c r="AO35" s="21">
        <v>29856</v>
      </c>
      <c r="AP35" s="21">
        <f t="shared" ref="AP35:AV35" si="223">+AO35</f>
        <v>29856</v>
      </c>
      <c r="AQ35" s="21">
        <f t="shared" si="223"/>
        <v>29856</v>
      </c>
      <c r="AR35" s="21">
        <f t="shared" si="223"/>
        <v>29856</v>
      </c>
      <c r="AS35" s="21">
        <f t="shared" si="223"/>
        <v>29856</v>
      </c>
      <c r="AT35" s="21">
        <f t="shared" si="223"/>
        <v>29856</v>
      </c>
      <c r="AU35" s="21">
        <f t="shared" si="223"/>
        <v>29856</v>
      </c>
      <c r="AV35" s="21">
        <f t="shared" si="223"/>
        <v>29856</v>
      </c>
      <c r="AW35" s="21">
        <f t="shared" ref="AW35:AY35" si="224">+AV35</f>
        <v>29856</v>
      </c>
      <c r="AX35" s="21">
        <f t="shared" si="224"/>
        <v>29856</v>
      </c>
      <c r="AY35" s="21">
        <f t="shared" si="224"/>
        <v>29856</v>
      </c>
    </row>
    <row r="36" spans="2:251" s="10" customFormat="1">
      <c r="B36" s="10" t="s">
        <v>32</v>
      </c>
      <c r="C36" s="25">
        <f t="shared" ref="C36:P36" si="225">+C34/C35</f>
        <v>0.22289705435772852</v>
      </c>
      <c r="D36" s="25">
        <f t="shared" si="225"/>
        <v>0.16577341827619915</v>
      </c>
      <c r="E36" s="25">
        <f t="shared" si="225"/>
        <v>0.19884832974137931</v>
      </c>
      <c r="F36" s="25">
        <f t="shared" si="225"/>
        <v>0.10256151334612407</v>
      </c>
      <c r="G36" s="25">
        <f t="shared" si="225"/>
        <v>0.83104085403407923</v>
      </c>
      <c r="H36" s="25">
        <f t="shared" si="225"/>
        <v>0.31963884133856946</v>
      </c>
      <c r="I36" s="25">
        <f t="shared" si="225"/>
        <v>0.33767669324043681</v>
      </c>
      <c r="J36" s="25">
        <f t="shared" si="225"/>
        <v>0.20700284804824928</v>
      </c>
      <c r="K36" s="25">
        <f t="shared" si="225"/>
        <v>0.50110574989947732</v>
      </c>
      <c r="L36" s="25">
        <f t="shared" si="225"/>
        <v>0.42965219428915741</v>
      </c>
      <c r="M36" s="25">
        <f t="shared" si="225"/>
        <v>0.25775122651269899</v>
      </c>
      <c r="N36" s="25">
        <f>+AM36-SUM(K36:M36)</f>
        <v>0.11929873739377705</v>
      </c>
      <c r="O36" s="25">
        <f t="shared" si="225"/>
        <v>0.33142056448922397</v>
      </c>
      <c r="P36" s="25">
        <f t="shared" si="225"/>
        <v>0.45563949989971253</v>
      </c>
      <c r="Q36" s="25">
        <f t="shared" ref="Q36" si="226">+Q34/Q35</f>
        <v>0.45406613942002871</v>
      </c>
      <c r="R36" s="25">
        <f>+R34/R35</f>
        <v>0.59174082591740829</v>
      </c>
      <c r="S36" s="25">
        <f t="shared" ref="S36" si="227">+S34/S35</f>
        <v>0.52432486430688285</v>
      </c>
      <c r="T36" s="25">
        <f>+T34/T35</f>
        <v>0.53848713767513057</v>
      </c>
      <c r="U36" s="25">
        <f>+U34/U35</f>
        <v>0.65493996914615338</v>
      </c>
      <c r="V36" s="25">
        <f>+AO36-SUM(S36:U36)</f>
        <v>0.63587878985789992</v>
      </c>
      <c r="W36" s="25">
        <f t="shared" ref="W36" si="228">+W34/W35</f>
        <v>0.97520184544405997</v>
      </c>
      <c r="X36" s="25">
        <f>+X34/X35</f>
        <v>0.93305496146926026</v>
      </c>
      <c r="Z36" s="25"/>
      <c r="AA36" s="25"/>
      <c r="AB36" s="25"/>
      <c r="AC36" s="25"/>
      <c r="AD36" s="25"/>
      <c r="AE36" s="25">
        <f t="shared" ref="AE36:AM36" si="229">+AE34/AE35</f>
        <v>0.29359014348097318</v>
      </c>
      <c r="AF36" s="25">
        <f t="shared" si="229"/>
        <v>0.34292474431384523</v>
      </c>
      <c r="AG36" s="25">
        <f t="shared" si="229"/>
        <v>0.36331607707794078</v>
      </c>
      <c r="AH36" s="25">
        <f t="shared" si="229"/>
        <v>0.47507159369285445</v>
      </c>
      <c r="AI36" s="25">
        <f t="shared" si="229"/>
        <v>0.8136215334420881</v>
      </c>
      <c r="AJ36" s="25">
        <f t="shared" si="229"/>
        <v>0.78399296988542266</v>
      </c>
      <c r="AK36" s="25">
        <f t="shared" si="229"/>
        <v>0.69012470508931578</v>
      </c>
      <c r="AL36" s="25">
        <f t="shared" si="229"/>
        <v>1.1366930613340491</v>
      </c>
      <c r="AM36" s="25">
        <f t="shared" si="229"/>
        <v>1.3078079080951108</v>
      </c>
      <c r="AN36" s="25">
        <f t="shared" ref="AN36:AO36" si="230">+AN34/AN35</f>
        <v>1.8330941494509896</v>
      </c>
      <c r="AO36" s="25">
        <f t="shared" si="230"/>
        <v>2.3536307609860665</v>
      </c>
      <c r="AP36" s="25">
        <f t="shared" ref="AP36:AV36" si="231">+AP34/AP35</f>
        <v>4.1436867223171703</v>
      </c>
      <c r="AQ36" s="25">
        <f t="shared" si="231"/>
        <v>5.9913823815148595</v>
      </c>
      <c r="AR36" s="25">
        <f t="shared" si="231"/>
        <v>7.9134774632872276</v>
      </c>
      <c r="AS36" s="25">
        <f t="shared" si="231"/>
        <v>10.356367541881793</v>
      </c>
      <c r="AT36" s="25">
        <f t="shared" si="231"/>
        <v>13.451424378930611</v>
      </c>
      <c r="AU36" s="25">
        <f t="shared" si="231"/>
        <v>17.361736176121866</v>
      </c>
      <c r="AV36" s="25">
        <f t="shared" si="231"/>
        <v>22.289539277297887</v>
      </c>
      <c r="AW36" s="25">
        <f t="shared" ref="AW36:AX36" si="232">+AW34/AW35</f>
        <v>28.48535389376444</v>
      </c>
      <c r="AX36" s="25">
        <f t="shared" si="232"/>
        <v>36.259208194011443</v>
      </c>
      <c r="AY36" s="25">
        <f t="shared" ref="AY36" si="233">+AY34/AY35</f>
        <v>45.994420674597585</v>
      </c>
    </row>
    <row r="37" spans="2:251" s="11" customFormat="1"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1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1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35" t="s">
        <v>139</v>
      </c>
      <c r="BB37" s="36">
        <v>0.01</v>
      </c>
      <c r="BC37" s="37" t="s">
        <v>169</v>
      </c>
      <c r="BD37" s="38">
        <v>5.38</v>
      </c>
    </row>
    <row r="38" spans="2:251" s="4" customFormat="1">
      <c r="B38" s="4" t="s">
        <v>92</v>
      </c>
      <c r="C38" s="21">
        <f t="shared" ref="C38:X38" si="234">+C29+C27</f>
        <v>13047</v>
      </c>
      <c r="D38" s="21">
        <f t="shared" si="234"/>
        <v>11622</v>
      </c>
      <c r="E38" s="21">
        <f t="shared" si="234"/>
        <v>13357</v>
      </c>
      <c r="F38" s="21">
        <f t="shared" si="234"/>
        <v>10359</v>
      </c>
      <c r="G38" s="21">
        <f t="shared" si="234"/>
        <v>15026</v>
      </c>
      <c r="H38" s="21">
        <f t="shared" si="234"/>
        <v>18919</v>
      </c>
      <c r="I38" s="21">
        <f t="shared" si="234"/>
        <v>16635</v>
      </c>
      <c r="J38" s="21">
        <f t="shared" si="234"/>
        <v>11235</v>
      </c>
      <c r="K38" s="21">
        <f t="shared" si="234"/>
        <v>21598</v>
      </c>
      <c r="L38" s="21">
        <f t="shared" si="234"/>
        <v>20426</v>
      </c>
      <c r="M38" s="21">
        <f t="shared" si="234"/>
        <v>19326</v>
      </c>
      <c r="N38" s="21">
        <f t="shared" si="234"/>
        <v>16852</v>
      </c>
      <c r="O38" s="21">
        <f t="shared" si="234"/>
        <v>19278</v>
      </c>
      <c r="P38" s="21">
        <f t="shared" si="234"/>
        <v>25244</v>
      </c>
      <c r="Q38" s="21">
        <f t="shared" si="234"/>
        <v>27156</v>
      </c>
      <c r="R38" s="21">
        <f t="shared" si="234"/>
        <v>32318</v>
      </c>
      <c r="S38" s="21">
        <f t="shared" si="234"/>
        <v>28738</v>
      </c>
      <c r="T38" s="21">
        <f t="shared" si="234"/>
        <v>29674</v>
      </c>
      <c r="U38" s="21">
        <f t="shared" si="234"/>
        <v>34054</v>
      </c>
      <c r="V38" s="21">
        <f t="shared" si="234"/>
        <v>33462</v>
      </c>
      <c r="W38" s="21">
        <f t="shared" si="234"/>
        <v>46148</v>
      </c>
      <c r="X38" s="21">
        <f t="shared" si="234"/>
        <v>46381</v>
      </c>
      <c r="Y38" s="21">
        <f>+X29+X27</f>
        <v>46381</v>
      </c>
      <c r="Z38" s="21"/>
      <c r="AA38" s="21"/>
      <c r="AB38" s="21"/>
      <c r="AC38" s="21"/>
      <c r="AD38" s="21"/>
      <c r="AE38" s="21">
        <f t="shared" ref="AE38:AX38" si="235">+AE29+AE27</f>
        <v>17910</v>
      </c>
      <c r="AF38" s="21">
        <f t="shared" si="235"/>
        <v>20970</v>
      </c>
      <c r="AG38" s="21">
        <f t="shared" si="235"/>
        <v>22400</v>
      </c>
      <c r="AH38" s="21">
        <f t="shared" si="235"/>
        <v>29615</v>
      </c>
      <c r="AI38" s="21">
        <f t="shared" si="235"/>
        <v>37249</v>
      </c>
      <c r="AJ38" s="21">
        <f t="shared" si="235"/>
        <v>42840</v>
      </c>
      <c r="AK38" s="21">
        <f t="shared" si="235"/>
        <v>48385</v>
      </c>
      <c r="AL38" s="21">
        <f t="shared" si="235"/>
        <v>61815</v>
      </c>
      <c r="AM38" s="21">
        <f t="shared" si="235"/>
        <v>78202</v>
      </c>
      <c r="AN38" s="21">
        <f t="shared" si="235"/>
        <v>103996</v>
      </c>
      <c r="AO38" s="21">
        <f t="shared" si="235"/>
        <v>125928</v>
      </c>
      <c r="AP38" s="21">
        <f t="shared" si="235"/>
        <v>190811.47642276424</v>
      </c>
      <c r="AQ38" s="21">
        <f t="shared" si="235"/>
        <v>269562.56391774258</v>
      </c>
      <c r="AR38" s="21">
        <f t="shared" si="235"/>
        <v>352356.77997819218</v>
      </c>
      <c r="AS38" s="21">
        <f t="shared" si="235"/>
        <v>457486.17990611162</v>
      </c>
      <c r="AT38" s="21">
        <f t="shared" si="235"/>
        <v>590573.06860607152</v>
      </c>
      <c r="AU38" s="21">
        <f t="shared" si="235"/>
        <v>758595.26558977086</v>
      </c>
      <c r="AV38" s="21">
        <f t="shared" si="235"/>
        <v>970203.41862270655</v>
      </c>
      <c r="AW38" s="21">
        <f t="shared" si="235"/>
        <v>1236111.0222452264</v>
      </c>
      <c r="AX38" s="21">
        <f t="shared" si="235"/>
        <v>1569573.5305718458</v>
      </c>
      <c r="AY38" s="21">
        <f t="shared" ref="AY38" si="236">+AY29+AY27</f>
        <v>1986976.6013393037</v>
      </c>
      <c r="BA38" s="39" t="s">
        <v>121</v>
      </c>
      <c r="BB38" s="40">
        <v>0.01</v>
      </c>
      <c r="BC38" s="4" t="s">
        <v>170</v>
      </c>
      <c r="BD38" s="41">
        <v>3</v>
      </c>
    </row>
    <row r="39" spans="2:251" s="11" customFormat="1">
      <c r="B39" s="11" t="s">
        <v>5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1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1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BA39" s="42" t="s">
        <v>37</v>
      </c>
      <c r="BB39" s="43">
        <v>0.08</v>
      </c>
      <c r="BC39" s="11" t="s">
        <v>171</v>
      </c>
      <c r="BD39" s="44">
        <f ca="1">SUM(BD37:BD39)</f>
        <v>8.379999999999999</v>
      </c>
    </row>
    <row r="40" spans="2:251" s="4" customFormat="1"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1"/>
      <c r="BA40" s="45" t="s">
        <v>38</v>
      </c>
      <c r="BB40" s="46">
        <f>NPV(BB39,AP34:IQ34)+(Main!J9*1000)-(Main!J10*1000)</f>
        <v>11880477.420363205</v>
      </c>
      <c r="BD40" s="41"/>
    </row>
    <row r="41" spans="2:251" s="4" customFormat="1">
      <c r="B41" s="12" t="s">
        <v>117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2"/>
      <c r="AS41" s="21"/>
      <c r="AT41" s="21"/>
      <c r="AU41" s="21"/>
      <c r="AV41" s="21"/>
      <c r="AW41" s="21"/>
      <c r="AX41" s="21"/>
      <c r="AY41" s="21"/>
      <c r="BA41" s="39" t="s">
        <v>39</v>
      </c>
      <c r="BB41" s="4">
        <f>+Main!J7*1000</f>
        <v>29304.400999999998</v>
      </c>
      <c r="BD41" s="41"/>
    </row>
    <row r="42" spans="2:251" s="7" customFormat="1">
      <c r="B42" s="7" t="s">
        <v>18</v>
      </c>
      <c r="C42" s="22"/>
      <c r="D42" s="22"/>
      <c r="E42" s="22"/>
      <c r="F42" s="22"/>
      <c r="G42" s="22">
        <f t="shared" ref="G42:X49" si="237">+IFERROR(G20/C20-1,0)</f>
        <v>0.1346117779444862</v>
      </c>
      <c r="H42" s="22">
        <f t="shared" si="237"/>
        <v>0.31486288761976677</v>
      </c>
      <c r="I42" s="22">
        <f t="shared" si="237"/>
        <v>0.31678551837630287</v>
      </c>
      <c r="J42" s="22">
        <f t="shared" si="237"/>
        <v>0.1723849372384938</v>
      </c>
      <c r="K42" s="22">
        <f t="shared" si="237"/>
        <v>0.30608702838960289</v>
      </c>
      <c r="L42" s="22">
        <f t="shared" si="237"/>
        <v>0.1894249407710531</v>
      </c>
      <c r="M42" s="22">
        <f t="shared" si="237"/>
        <v>0.13965840449906275</v>
      </c>
      <c r="N42" s="22">
        <f t="shared" si="237"/>
        <v>0.18151320485367584</v>
      </c>
      <c r="O42" s="22">
        <f t="shared" si="237"/>
        <v>0.10959944314370684</v>
      </c>
      <c r="P42" s="22">
        <f t="shared" si="237"/>
        <v>8.7792364569186709E-2</v>
      </c>
      <c r="Q42" s="22">
        <f t="shared" si="237"/>
        <v>0.22949221724694624</v>
      </c>
      <c r="R42" s="22">
        <f t="shared" si="237"/>
        <v>0.42382045550655478</v>
      </c>
      <c r="S42" s="22">
        <f t="shared" si="237"/>
        <v>0.37405189620758472</v>
      </c>
      <c r="T42" s="22">
        <f t="shared" si="237"/>
        <v>0.3312617911441571</v>
      </c>
      <c r="U42" s="22">
        <f t="shared" si="237"/>
        <v>0.31803879790897605</v>
      </c>
      <c r="V42" s="22">
        <f t="shared" si="237"/>
        <v>0.22419755181704404</v>
      </c>
      <c r="W42" s="22">
        <f t="shared" si="237"/>
        <v>0.39240059765916824</v>
      </c>
      <c r="X42" s="22">
        <f t="shared" si="237"/>
        <v>0.48299433144381454</v>
      </c>
      <c r="Y42" s="22"/>
      <c r="Z42" s="22"/>
      <c r="AA42" s="22"/>
      <c r="AB42" s="22"/>
      <c r="AC42" s="22"/>
      <c r="AD42" s="22"/>
      <c r="AE42" s="22"/>
      <c r="AF42" s="22">
        <f t="shared" ref="AF42:AM49" si="238">+IFERROR(AF20/AE20-1,0)</f>
        <v>0.25925435401629038</v>
      </c>
      <c r="AG42" s="22">
        <f t="shared" si="238"/>
        <v>0.22759781236853183</v>
      </c>
      <c r="AH42" s="22">
        <f t="shared" si="238"/>
        <v>0.16678803975325573</v>
      </c>
      <c r="AI42" s="22">
        <f t="shared" si="238"/>
        <v>0.21296007342817802</v>
      </c>
      <c r="AJ42" s="22">
        <f t="shared" si="238"/>
        <v>8.7505296930806997E-2</v>
      </c>
      <c r="AK42" s="22">
        <f t="shared" si="238"/>
        <v>0.22868713295666443</v>
      </c>
      <c r="AL42" s="22">
        <f t="shared" si="238"/>
        <v>0.23322875491273187</v>
      </c>
      <c r="AM42" s="22">
        <f t="shared" si="238"/>
        <v>0.20015062039069464</v>
      </c>
      <c r="AN42" s="22">
        <f>+IFERROR(AN20/AM20-1,0)</f>
        <v>0.21379595335027091</v>
      </c>
      <c r="AO42" s="22">
        <f>+IFERROR(AO20/AN20-1,0)</f>
        <v>0.30554049453389998</v>
      </c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BA42" s="47" t="s">
        <v>122</v>
      </c>
      <c r="BB42" s="46">
        <f>BB40/BB41</f>
        <v>405.41614962077557</v>
      </c>
      <c r="BD42" s="48"/>
    </row>
    <row r="43" spans="2:251" s="7" customFormat="1">
      <c r="B43" s="7" t="s">
        <v>19</v>
      </c>
      <c r="C43" s="22"/>
      <c r="D43" s="22"/>
      <c r="E43" s="22"/>
      <c r="F43" s="22"/>
      <c r="G43" s="22">
        <f t="shared" si="237"/>
        <v>0.21226343679031046</v>
      </c>
      <c r="H43" s="22">
        <f t="shared" si="237"/>
        <v>0.47720026692370432</v>
      </c>
      <c r="I43" s="22">
        <f t="shared" si="237"/>
        <v>0.39819294251565163</v>
      </c>
      <c r="J43" s="22">
        <f t="shared" si="237"/>
        <v>0.27412873048290409</v>
      </c>
      <c r="K43" s="22">
        <f t="shared" si="237"/>
        <v>0.34382415386536791</v>
      </c>
      <c r="L43" s="22">
        <f t="shared" si="237"/>
        <v>0.13321286954775879</v>
      </c>
      <c r="M43" s="22">
        <f t="shared" si="237"/>
        <v>-0.20750012720704214</v>
      </c>
      <c r="N43" s="22">
        <f t="shared" si="237"/>
        <v>0.1301447776628748</v>
      </c>
      <c r="O43" s="22">
        <f t="shared" si="237"/>
        <v>4.7351301115241551E-2</v>
      </c>
      <c r="P43" s="22">
        <f t="shared" si="237"/>
        <v>0.28391726092926439</v>
      </c>
      <c r="Q43" s="22">
        <f t="shared" si="237"/>
        <v>1.0639486356340289</v>
      </c>
      <c r="R43" s="22">
        <f t="shared" si="237"/>
        <v>0.61682756096445068</v>
      </c>
      <c r="S43" s="22">
        <f t="shared" si="237"/>
        <v>0.66214117751453028</v>
      </c>
      <c r="T43" s="22">
        <f t="shared" si="237"/>
        <v>0.26249698140545763</v>
      </c>
      <c r="U43" s="22">
        <f t="shared" si="237"/>
        <v>0.24279848192621167</v>
      </c>
      <c r="V43" s="22">
        <f t="shared" si="237"/>
        <v>0.22040804776592426</v>
      </c>
      <c r="W43" s="22">
        <f t="shared" si="237"/>
        <v>0.33862744574646975</v>
      </c>
      <c r="X43" s="22">
        <f t="shared" si="237"/>
        <v>0.49344190621925899</v>
      </c>
      <c r="Y43" s="22"/>
      <c r="Z43" s="22"/>
      <c r="AA43" s="22"/>
      <c r="AB43" s="22"/>
      <c r="AC43" s="22"/>
      <c r="AD43" s="22"/>
      <c r="AE43" s="22"/>
      <c r="AF43" s="22">
        <f t="shared" si="238"/>
        <v>0</v>
      </c>
      <c r="AG43" s="22">
        <f t="shared" si="238"/>
        <v>0</v>
      </c>
      <c r="AH43" s="22">
        <f t="shared" si="238"/>
        <v>0</v>
      </c>
      <c r="AI43" s="22">
        <f t="shared" si="238"/>
        <v>1.0722477851795893</v>
      </c>
      <c r="AJ43" s="22">
        <f t="shared" si="238"/>
        <v>0.14283820507721878</v>
      </c>
      <c r="AK43" s="22">
        <f t="shared" si="238"/>
        <v>0.62196960909407251</v>
      </c>
      <c r="AL43" s="22">
        <f t="shared" si="238"/>
        <v>0.33966244725738393</v>
      </c>
      <c r="AM43" s="22">
        <f t="shared" si="238"/>
        <v>8.8068864273321834E-2</v>
      </c>
      <c r="AN43" s="22">
        <f t="shared" ref="AN43:AX49" si="239">+IFERROR(AN21/AM21-1,0)</f>
        <v>0.45973825264629764</v>
      </c>
      <c r="AO43" s="22">
        <f t="shared" si="239"/>
        <v>0.32036534437993125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BA43" s="49" t="s">
        <v>40</v>
      </c>
      <c r="BB43" s="8">
        <f>+Main!J6</f>
        <v>388.46</v>
      </c>
      <c r="BD43" s="48"/>
    </row>
    <row r="44" spans="2:251" s="7" customFormat="1">
      <c r="B44" s="7" t="s">
        <v>73</v>
      </c>
      <c r="C44" s="22"/>
      <c r="D44" s="22"/>
      <c r="E44" s="22"/>
      <c r="F44" s="22"/>
      <c r="G44" s="22">
        <f t="shared" si="237"/>
        <v>0.12637809840917491</v>
      </c>
      <c r="H44" s="22">
        <f t="shared" si="237"/>
        <v>0.31941244239631339</v>
      </c>
      <c r="I44" s="22">
        <f t="shared" si="237"/>
        <v>0.11374883454062967</v>
      </c>
      <c r="J44" s="22">
        <f t="shared" si="237"/>
        <v>0.12865953072942515</v>
      </c>
      <c r="K44" s="22">
        <f t="shared" si="237"/>
        <v>0.153780463771924</v>
      </c>
      <c r="L44" s="22">
        <f t="shared" si="237"/>
        <v>-1.9646365422396617E-3</v>
      </c>
      <c r="M44" s="22">
        <f t="shared" si="237"/>
        <v>0.11919634232725862</v>
      </c>
      <c r="N44" s="22">
        <f t="shared" si="237"/>
        <v>7.1787463886446412E-2</v>
      </c>
      <c r="O44" s="22">
        <f t="shared" si="237"/>
        <v>5.8756547483489019E-2</v>
      </c>
      <c r="P44" s="22">
        <f t="shared" si="237"/>
        <v>2.5043744531933587E-2</v>
      </c>
      <c r="Q44" s="22">
        <f t="shared" si="237"/>
        <v>0.16012658227848098</v>
      </c>
      <c r="R44" s="22">
        <f t="shared" si="237"/>
        <v>0.31210079109288014</v>
      </c>
      <c r="S44" s="22">
        <f t="shared" si="237"/>
        <v>0.24058937405893732</v>
      </c>
      <c r="T44" s="22">
        <f t="shared" si="237"/>
        <v>0.20521711298410317</v>
      </c>
      <c r="U44" s="22">
        <f t="shared" si="237"/>
        <v>0.1879680603084859</v>
      </c>
      <c r="V44" s="22">
        <f t="shared" si="237"/>
        <v>0.17118485105622794</v>
      </c>
      <c r="W44" s="22">
        <f t="shared" si="237"/>
        <v>0.23723450368443877</v>
      </c>
      <c r="X44" s="22">
        <f t="shared" si="237"/>
        <v>0.32275483556853901</v>
      </c>
      <c r="Y44" s="22"/>
      <c r="Z44" s="22"/>
      <c r="AA44" s="22"/>
      <c r="AB44" s="22"/>
      <c r="AC44" s="22"/>
      <c r="AD44" s="22"/>
      <c r="AE44" s="22"/>
      <c r="AF44" s="22">
        <f t="shared" si="238"/>
        <v>2.1530020488245372E-2</v>
      </c>
      <c r="AG44" s="22">
        <f t="shared" si="238"/>
        <v>6.3364721079647746E-2</v>
      </c>
      <c r="AH44" s="22">
        <f t="shared" si="238"/>
        <v>9.6128640388734476E-2</v>
      </c>
      <c r="AI44" s="22">
        <f t="shared" si="238"/>
        <v>8.1107092860476016E-2</v>
      </c>
      <c r="AJ44" s="22">
        <f t="shared" si="238"/>
        <v>0.26356254552321356</v>
      </c>
      <c r="AK44" s="22">
        <f t="shared" si="238"/>
        <v>0.18390657358184415</v>
      </c>
      <c r="AL44" s="22">
        <f t="shared" si="238"/>
        <v>0.1721277478224803</v>
      </c>
      <c r="AM44" s="22">
        <f t="shared" si="238"/>
        <v>8.1525585402627776E-2</v>
      </c>
      <c r="AN44" s="22">
        <f t="shared" si="239"/>
        <v>0.13654921262642783</v>
      </c>
      <c r="AO44" s="22">
        <f t="shared" si="239"/>
        <v>0.19955942725543196</v>
      </c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BA44" s="50" t="s">
        <v>123</v>
      </c>
      <c r="BB44" s="51">
        <f>+BB42/BB43-1</f>
        <v>4.3649666943251786E-2</v>
      </c>
      <c r="BC44" s="52"/>
      <c r="BD44" s="53"/>
    </row>
    <row r="45" spans="2:251" s="7" customFormat="1">
      <c r="B45" s="9" t="s">
        <v>20</v>
      </c>
      <c r="C45" s="22"/>
      <c r="D45" s="22"/>
      <c r="E45" s="22"/>
      <c r="F45" s="22"/>
      <c r="G45" s="22">
        <f t="shared" si="237"/>
        <v>0.1536428526834952</v>
      </c>
      <c r="H45" s="22">
        <f t="shared" si="237"/>
        <v>0.36124953667476634</v>
      </c>
      <c r="I45" s="22">
        <f t="shared" si="237"/>
        <v>0.28296741854636598</v>
      </c>
      <c r="J45" s="22">
        <f t="shared" si="237"/>
        <v>0.18982438987703532</v>
      </c>
      <c r="K45" s="22">
        <f t="shared" si="237"/>
        <v>0.27516415325781085</v>
      </c>
      <c r="L45" s="22">
        <f t="shared" si="237"/>
        <v>0.11943120792678319</v>
      </c>
      <c r="M45" s="22">
        <f t="shared" si="237"/>
        <v>2.806776270550726E-2</v>
      </c>
      <c r="N45" s="22">
        <f t="shared" si="237"/>
        <v>0.13820675705571883</v>
      </c>
      <c r="O45" s="22">
        <f t="shared" si="237"/>
        <v>7.8016692601499571E-2</v>
      </c>
      <c r="P45" s="22">
        <f t="shared" si="237"/>
        <v>0.13212162162162167</v>
      </c>
      <c r="Q45" s="22">
        <f t="shared" si="237"/>
        <v>0.40873160646965823</v>
      </c>
      <c r="R45" s="22">
        <f t="shared" si="237"/>
        <v>0.45591992003109905</v>
      </c>
      <c r="S45" s="22">
        <f t="shared" si="237"/>
        <v>0.42669116199724422</v>
      </c>
      <c r="T45" s="22">
        <f t="shared" si="237"/>
        <v>0.27926519211716827</v>
      </c>
      <c r="U45" s="22">
        <f t="shared" si="237"/>
        <v>0.26363950276243098</v>
      </c>
      <c r="V45" s="22">
        <f t="shared" si="237"/>
        <v>0.21160136172485156</v>
      </c>
      <c r="W45" s="34">
        <f t="shared" si="237"/>
        <v>0.34094609137149212</v>
      </c>
      <c r="X45" s="34">
        <f t="shared" si="237"/>
        <v>0.45278195067787586</v>
      </c>
      <c r="Y45" s="22"/>
      <c r="Z45" s="22"/>
      <c r="AA45" s="22"/>
      <c r="AB45" s="22"/>
      <c r="AC45" s="22"/>
      <c r="AD45" s="22"/>
      <c r="AE45" s="22"/>
      <c r="AF45" s="22">
        <f t="shared" si="238"/>
        <v>0.1432227664875676</v>
      </c>
      <c r="AG45" s="22">
        <f t="shared" si="238"/>
        <v>0.15596969562187724</v>
      </c>
      <c r="AH45" s="22">
        <f t="shared" si="238"/>
        <v>0.32519334607343953</v>
      </c>
      <c r="AI45" s="22">
        <f t="shared" si="238"/>
        <v>0.29030041423096287</v>
      </c>
      <c r="AJ45" s="22">
        <f t="shared" si="238"/>
        <v>0.14898101545916176</v>
      </c>
      <c r="AK45" s="22">
        <f t="shared" si="238"/>
        <v>0.30352981113845723</v>
      </c>
      <c r="AL45" s="22">
        <f t="shared" si="238"/>
        <v>0.24607363929565906</v>
      </c>
      <c r="AM45" s="22">
        <f t="shared" si="238"/>
        <v>0.13540800045014079</v>
      </c>
      <c r="AN45" s="22">
        <f t="shared" si="239"/>
        <v>0.26555210228600146</v>
      </c>
      <c r="AO45" s="22">
        <f t="shared" si="239"/>
        <v>0.28679154511203531</v>
      </c>
      <c r="AP45" s="22">
        <f t="shared" ref="AP45:AV45" si="240">+IFERROR(AP23/AO23-1,0)</f>
        <v>0.35447154471544717</v>
      </c>
      <c r="AQ45" s="22">
        <f t="shared" si="240"/>
        <v>0.31764705882352917</v>
      </c>
      <c r="AR45" s="22">
        <f t="shared" si="240"/>
        <v>0.30714285714285694</v>
      </c>
      <c r="AS45" s="22">
        <f t="shared" si="240"/>
        <v>0.29836065573770498</v>
      </c>
      <c r="AT45" s="22">
        <f t="shared" si="240"/>
        <v>0.29090909090909101</v>
      </c>
      <c r="AU45" s="22">
        <f t="shared" si="240"/>
        <v>0.28450704225352119</v>
      </c>
      <c r="AV45" s="22">
        <f t="shared" si="240"/>
        <v>0.27894736842105261</v>
      </c>
      <c r="AW45" s="22">
        <f t="shared" si="239"/>
        <v>0.27407407407407391</v>
      </c>
      <c r="AX45" s="22">
        <f t="shared" si="239"/>
        <v>0.2697674418604652</v>
      </c>
      <c r="AY45" s="22"/>
    </row>
    <row r="46" spans="2:251" s="7" customFormat="1">
      <c r="B46" s="7" t="s">
        <v>21</v>
      </c>
      <c r="C46" s="22"/>
      <c r="D46" s="22"/>
      <c r="E46" s="22"/>
      <c r="F46" s="22"/>
      <c r="G46" s="22">
        <f t="shared" si="237"/>
        <v>0.14861253854059608</v>
      </c>
      <c r="H46" s="22">
        <f t="shared" si="237"/>
        <v>0.26614962640688544</v>
      </c>
      <c r="I46" s="22">
        <f t="shared" si="237"/>
        <v>0.14169648902214904</v>
      </c>
      <c r="J46" s="22">
        <f t="shared" si="237"/>
        <v>0.16754276976010707</v>
      </c>
      <c r="K46" s="22">
        <f t="shared" si="237"/>
        <v>0.18817108088761625</v>
      </c>
      <c r="L46" s="22">
        <f t="shared" si="237"/>
        <v>6.125345484425182E-2</v>
      </c>
      <c r="M46" s="22">
        <f t="shared" si="237"/>
        <v>0.28820738732633</v>
      </c>
      <c r="N46" s="22">
        <f t="shared" si="237"/>
        <v>0.2053045186640472</v>
      </c>
      <c r="O46" s="22">
        <f t="shared" si="237"/>
        <v>0.18035996686497469</v>
      </c>
      <c r="P46" s="22">
        <f t="shared" si="237"/>
        <v>4.8708383191384597E-2</v>
      </c>
      <c r="Q46" s="22">
        <f t="shared" si="237"/>
        <v>3.4065500460344511E-2</v>
      </c>
      <c r="R46" s="22">
        <f t="shared" si="237"/>
        <v>0.16123336049986414</v>
      </c>
      <c r="S46" s="22">
        <f t="shared" si="237"/>
        <v>6.5139721832333741E-2</v>
      </c>
      <c r="T46" s="22">
        <f t="shared" si="237"/>
        <v>0.11698771729646285</v>
      </c>
      <c r="U46" s="22">
        <f t="shared" si="237"/>
        <v>0.12070719918595785</v>
      </c>
      <c r="V46" s="22">
        <f t="shared" si="237"/>
        <v>0.15142121885600646</v>
      </c>
      <c r="W46" s="22">
        <f t="shared" si="237"/>
        <v>0.27409404013177596</v>
      </c>
      <c r="X46" s="22">
        <f t="shared" si="237"/>
        <v>0.36239634659295761</v>
      </c>
      <c r="Y46" s="22"/>
      <c r="Z46" s="22"/>
      <c r="AA46" s="22"/>
      <c r="AB46" s="22"/>
      <c r="AC46" s="22"/>
      <c r="AD46" s="22"/>
      <c r="AE46" s="22"/>
      <c r="AF46" s="22">
        <f t="shared" si="238"/>
        <v>-7.6794733044733055E-2</v>
      </c>
      <c r="AG46" s="22">
        <f t="shared" si="238"/>
        <v>8.5283055731939728E-2</v>
      </c>
      <c r="AH46" s="22">
        <f t="shared" si="238"/>
        <v>0.13902515864800402</v>
      </c>
      <c r="AI46" s="22">
        <f t="shared" si="238"/>
        <v>0.13580685949106996</v>
      </c>
      <c r="AJ46" s="22">
        <f t="shared" si="238"/>
        <v>0.11542877022090803</v>
      </c>
      <c r="AK46" s="22">
        <f t="shared" si="238"/>
        <v>0.28200729813180292</v>
      </c>
      <c r="AL46" s="22">
        <f t="shared" si="238"/>
        <v>0.18192434010461023</v>
      </c>
      <c r="AM46" s="22">
        <f t="shared" si="238"/>
        <v>0.18181256818228597</v>
      </c>
      <c r="AN46" s="22">
        <f t="shared" si="239"/>
        <v>0.10413473596210121</v>
      </c>
      <c r="AO46" s="22">
        <f t="shared" si="239"/>
        <v>0.1143781055288271</v>
      </c>
      <c r="AP46" s="22"/>
      <c r="AQ46" s="22"/>
      <c r="AR46" s="22"/>
      <c r="AS46" s="22"/>
      <c r="AT46" s="22"/>
      <c r="AU46" s="22"/>
      <c r="AV46" s="22"/>
      <c r="AW46" s="22"/>
      <c r="AX46" s="22"/>
      <c r="AY46" s="22"/>
    </row>
    <row r="47" spans="2:251" s="7" customFormat="1">
      <c r="B47" s="7" t="s">
        <v>22</v>
      </c>
      <c r="C47" s="22"/>
      <c r="D47" s="22"/>
      <c r="E47" s="22"/>
      <c r="F47" s="22"/>
      <c r="G47" s="22">
        <f t="shared" si="237"/>
        <v>0.33461598869169151</v>
      </c>
      <c r="H47" s="22">
        <f t="shared" si="237"/>
        <v>0.57434672011099974</v>
      </c>
      <c r="I47" s="22">
        <f t="shared" si="237"/>
        <v>0.44380335124881443</v>
      </c>
      <c r="J47" s="22">
        <f t="shared" si="237"/>
        <v>-5.4362785576658412E-2</v>
      </c>
      <c r="K47" s="22">
        <f t="shared" si="237"/>
        <v>0.29608708443659904</v>
      </c>
      <c r="L47" s="22">
        <f t="shared" si="237"/>
        <v>0.14086368977673325</v>
      </c>
      <c r="M47" s="22">
        <f t="shared" si="237"/>
        <v>-0.11140307658619364</v>
      </c>
      <c r="N47" s="22">
        <f t="shared" si="237"/>
        <v>0.63214961432105943</v>
      </c>
      <c r="O47" s="22">
        <f t="shared" si="237"/>
        <v>5.1754664729650068E-2</v>
      </c>
      <c r="P47" s="22">
        <f t="shared" si="237"/>
        <v>0.27397965752542808</v>
      </c>
      <c r="Q47" s="22">
        <f t="shared" si="237"/>
        <v>1.0395515032035485</v>
      </c>
      <c r="R47" s="22">
        <f t="shared" si="237"/>
        <v>0.65459895670783363</v>
      </c>
      <c r="S47" s="22">
        <f t="shared" si="237"/>
        <v>0.71118401174083834</v>
      </c>
      <c r="T47" s="22">
        <f t="shared" si="237"/>
        <v>0.30466565605524676</v>
      </c>
      <c r="U47" s="22">
        <f t="shared" si="237"/>
        <v>0.28016069594635407</v>
      </c>
      <c r="V47" s="22">
        <f t="shared" si="237"/>
        <v>0.23494381719705748</v>
      </c>
      <c r="W47" s="22">
        <f t="shared" si="237"/>
        <v>0.34177534495371198</v>
      </c>
      <c r="X47" s="22">
        <f t="shared" si="237"/>
        <v>0.51173539208345176</v>
      </c>
      <c r="Y47" s="22"/>
      <c r="Z47" s="22"/>
      <c r="AA47" s="22"/>
      <c r="AB47" s="22"/>
      <c r="AC47" s="22"/>
      <c r="AD47" s="22"/>
      <c r="AE47" s="22"/>
      <c r="AF47" s="22">
        <f t="shared" si="238"/>
        <v>0</v>
      </c>
      <c r="AG47" s="22">
        <f t="shared" si="238"/>
        <v>0</v>
      </c>
      <c r="AH47" s="22">
        <f t="shared" si="238"/>
        <v>0</v>
      </c>
      <c r="AI47" s="22">
        <f t="shared" si="238"/>
        <v>1.3414686981009458</v>
      </c>
      <c r="AJ47" s="22">
        <f t="shared" si="238"/>
        <v>3.9226570450550557E-2</v>
      </c>
      <c r="AK47" s="22">
        <f t="shared" si="238"/>
        <v>0.56951244844060644</v>
      </c>
      <c r="AL47" s="22">
        <f t="shared" si="238"/>
        <v>0.31266188954642571</v>
      </c>
      <c r="AM47" s="22">
        <f t="shared" si="238"/>
        <v>0.2097280636054617</v>
      </c>
      <c r="AN47" s="22">
        <f t="shared" si="239"/>
        <v>0.46529902725356886</v>
      </c>
      <c r="AO47" s="22">
        <f t="shared" si="239"/>
        <v>0.35357401132697919</v>
      </c>
      <c r="AP47" s="22"/>
      <c r="AQ47" s="22"/>
      <c r="AR47" s="22"/>
      <c r="AS47" s="22"/>
      <c r="AT47" s="22"/>
      <c r="AU47" s="22"/>
      <c r="AV47" s="22"/>
      <c r="AW47" s="22"/>
      <c r="AX47" s="22"/>
      <c r="AY47" s="22"/>
    </row>
    <row r="48" spans="2:251" s="7" customFormat="1">
      <c r="B48" s="7" t="s">
        <v>23</v>
      </c>
      <c r="C48" s="22"/>
      <c r="D48" s="22"/>
      <c r="E48" s="22"/>
      <c r="F48" s="22"/>
      <c r="G48" s="22">
        <f t="shared" si="237"/>
        <v>-2.4158826343485873E-2</v>
      </c>
      <c r="H48" s="22">
        <f t="shared" si="237"/>
        <v>-1.4185456174405919E-3</v>
      </c>
      <c r="I48" s="22">
        <f t="shared" si="237"/>
        <v>0.27759296222370078</v>
      </c>
      <c r="J48" s="22">
        <f t="shared" si="237"/>
        <v>0.46304396590399288</v>
      </c>
      <c r="K48" s="22">
        <f t="shared" si="237"/>
        <v>0.12639921562219136</v>
      </c>
      <c r="L48" s="22">
        <f t="shared" si="237"/>
        <v>0.20119626168224292</v>
      </c>
      <c r="M48" s="22">
        <f t="shared" si="237"/>
        <v>-0.13088762874667281</v>
      </c>
      <c r="N48" s="22">
        <f t="shared" si="237"/>
        <v>-0.30917244815822764</v>
      </c>
      <c r="O48" s="22">
        <f t="shared" si="237"/>
        <v>0.31191063397649788</v>
      </c>
      <c r="P48" s="22">
        <f t="shared" si="237"/>
        <v>-0.13176895306859204</v>
      </c>
      <c r="Q48" s="22">
        <f t="shared" si="237"/>
        <v>0.1109187749667111</v>
      </c>
      <c r="R48" s="22">
        <f t="shared" si="237"/>
        <v>1.7588636741940888E-2</v>
      </c>
      <c r="S48" s="22">
        <f t="shared" si="237"/>
        <v>0.30736481256220283</v>
      </c>
      <c r="T48" s="22">
        <f t="shared" si="237"/>
        <v>0.58635027600544842</v>
      </c>
      <c r="U48" s="22">
        <f t="shared" si="237"/>
        <v>0.38121778736665468</v>
      </c>
      <c r="V48" s="22">
        <f t="shared" si="237"/>
        <v>0.53097055616139577</v>
      </c>
      <c r="W48" s="22">
        <f t="shared" si="237"/>
        <v>6.4834002960456827E-2</v>
      </c>
      <c r="X48" s="22">
        <f t="shared" si="237"/>
        <v>0.26974873463485172</v>
      </c>
      <c r="Y48" s="22"/>
      <c r="Z48" s="22"/>
      <c r="AA48" s="22"/>
      <c r="AB48" s="22"/>
      <c r="AC48" s="22"/>
      <c r="AD48" s="22"/>
      <c r="AE48" s="22"/>
      <c r="AF48" s="22">
        <f t="shared" si="238"/>
        <v>0.37503304605297938</v>
      </c>
      <c r="AG48" s="22">
        <f t="shared" si="238"/>
        <v>0.28239637006844576</v>
      </c>
      <c r="AH48" s="22">
        <f t="shared" si="238"/>
        <v>3.6041979010494662E-2</v>
      </c>
      <c r="AI48" s="22">
        <f t="shared" si="238"/>
        <v>1.0013892104653754E-2</v>
      </c>
      <c r="AJ48" s="22">
        <f t="shared" si="238"/>
        <v>0.27740844747550009</v>
      </c>
      <c r="AK48" s="22">
        <f t="shared" si="238"/>
        <v>0.28524641647412463</v>
      </c>
      <c r="AL48" s="22">
        <f t="shared" si="238"/>
        <v>0.20403176542455714</v>
      </c>
      <c r="AM48" s="22">
        <f t="shared" si="238"/>
        <v>-8.8280060882800604E-2</v>
      </c>
      <c r="AN48" s="22">
        <f t="shared" si="239"/>
        <v>6.6237379759917392E-2</v>
      </c>
      <c r="AO48" s="22">
        <f t="shared" si="239"/>
        <v>0.44492327880586324</v>
      </c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BA48" s="7" t="s">
        <v>178</v>
      </c>
      <c r="BB48" s="68">
        <f>+Main!J11*1000/Model!AP34</f>
        <v>96.906261686560683</v>
      </c>
    </row>
    <row r="49" spans="2:54" s="7" customFormat="1">
      <c r="B49" s="7" t="s">
        <v>24</v>
      </c>
      <c r="C49" s="22"/>
      <c r="D49" s="22"/>
      <c r="E49" s="22"/>
      <c r="F49" s="22"/>
      <c r="G49" s="22">
        <f t="shared" si="237"/>
        <v>0.21865203761755492</v>
      </c>
      <c r="H49" s="22">
        <f t="shared" si="237"/>
        <v>4.7191011235955038E-2</v>
      </c>
      <c r="I49" s="22">
        <f t="shared" si="237"/>
        <v>0.65767045454545459</v>
      </c>
      <c r="J49" s="22">
        <f t="shared" si="237"/>
        <v>0.52286689419795218</v>
      </c>
      <c r="K49" s="22">
        <f t="shared" si="237"/>
        <v>-1</v>
      </c>
      <c r="L49" s="22">
        <f t="shared" si="237"/>
        <v>-1</v>
      </c>
      <c r="M49" s="22">
        <f t="shared" si="237"/>
        <v>-0.11696658097686374</v>
      </c>
      <c r="N49" s="22">
        <f t="shared" si="237"/>
        <v>1.6364858807709548</v>
      </c>
      <c r="O49" s="22">
        <f t="shared" si="237"/>
        <v>0</v>
      </c>
      <c r="P49" s="22">
        <f t="shared" si="237"/>
        <v>0</v>
      </c>
      <c r="Q49" s="22">
        <f t="shared" si="237"/>
        <v>0.37603105288694816</v>
      </c>
      <c r="R49" s="22">
        <f t="shared" si="237"/>
        <v>-0.44083645018701123</v>
      </c>
      <c r="S49" s="22">
        <f t="shared" si="237"/>
        <v>0.34216434665469242</v>
      </c>
      <c r="T49" s="22">
        <f t="shared" si="237"/>
        <v>0.26344719277581463</v>
      </c>
      <c r="U49" s="22">
        <f t="shared" si="237"/>
        <v>0.19322990126939343</v>
      </c>
      <c r="V49" s="22">
        <f t="shared" si="237"/>
        <v>0.10915171784736999</v>
      </c>
      <c r="W49" s="22">
        <f t="shared" si="237"/>
        <v>0.14084978253596514</v>
      </c>
      <c r="X49" s="22">
        <f t="shared" si="237"/>
        <v>0.60379117464263521</v>
      </c>
      <c r="Y49" s="22"/>
      <c r="Z49" s="22"/>
      <c r="AA49" s="22"/>
      <c r="AB49" s="22"/>
      <c r="AC49" s="22"/>
      <c r="AD49" s="22"/>
      <c r="AE49" s="22"/>
      <c r="AF49" s="22">
        <f t="shared" si="238"/>
        <v>-4.1584158415841621E-2</v>
      </c>
      <c r="AG49" s="22">
        <f t="shared" si="238"/>
        <v>-7.644628099173556E-2</v>
      </c>
      <c r="AH49" s="22">
        <f t="shared" si="238"/>
        <v>0.12155108128262482</v>
      </c>
      <c r="AI49" s="22">
        <f t="shared" si="238"/>
        <v>0.12234042553191493</v>
      </c>
      <c r="AJ49" s="22">
        <f t="shared" si="238"/>
        <v>0.27754739336492884</v>
      </c>
      <c r="AK49" s="22">
        <f t="shared" si="238"/>
        <v>0.27150475307210753</v>
      </c>
      <c r="AL49" s="22">
        <f t="shared" si="238"/>
        <v>0.37089715536105028</v>
      </c>
      <c r="AM49" s="22">
        <f t="shared" si="238"/>
        <v>5.6530992285182213E-2</v>
      </c>
      <c r="AN49" s="22">
        <f t="shared" si="239"/>
        <v>0.37215158000755388</v>
      </c>
      <c r="AO49" s="22">
        <f t="shared" si="239"/>
        <v>0.21469859620148646</v>
      </c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BA49" s="7" t="s">
        <v>179</v>
      </c>
      <c r="BB49" s="68">
        <f>+Main!J11*1000/Model!AQ34</f>
        <v>67.021125391510566</v>
      </c>
    </row>
    <row r="50" spans="2:54" s="7" customFormat="1">
      <c r="B50" s="7" t="s">
        <v>119</v>
      </c>
      <c r="C50" s="22">
        <f t="shared" ref="C50:V50" si="241">(C23-C24)/C23</f>
        <v>0.79751524358520798</v>
      </c>
      <c r="D50" s="22">
        <f t="shared" si="241"/>
        <v>0.78227832461595481</v>
      </c>
      <c r="E50" s="22">
        <f t="shared" si="241"/>
        <v>0.79270175438596491</v>
      </c>
      <c r="F50" s="22">
        <f t="shared" si="241"/>
        <v>0.8032752980107547</v>
      </c>
      <c r="G50" s="22">
        <f t="shared" si="241"/>
        <v>0.79839815282487914</v>
      </c>
      <c r="H50" s="22">
        <f t="shared" si="241"/>
        <v>0.79748884350654259</v>
      </c>
      <c r="I50" s="22">
        <f t="shared" si="241"/>
        <v>0.81552791148340309</v>
      </c>
      <c r="J50" s="22">
        <f t="shared" si="241"/>
        <v>0.80695932492651934</v>
      </c>
      <c r="K50" s="22">
        <f t="shared" si="241"/>
        <v>0.81215164804074125</v>
      </c>
      <c r="L50" s="22">
        <f t="shared" si="241"/>
        <v>0.80801351351351347</v>
      </c>
      <c r="M50" s="22">
        <f t="shared" si="241"/>
        <v>0.76884956828408124</v>
      </c>
      <c r="N50" s="22">
        <f t="shared" si="241"/>
        <v>0.79557949686233131</v>
      </c>
      <c r="O50" s="22">
        <f t="shared" si="241"/>
        <v>0.79431795813922967</v>
      </c>
      <c r="P50" s="22">
        <f t="shared" si="241"/>
        <v>0.8221588264082027</v>
      </c>
      <c r="Q50" s="22">
        <f t="shared" si="241"/>
        <v>0.8303263121546961</v>
      </c>
      <c r="R50" s="22">
        <f t="shared" si="241"/>
        <v>0.83695538157857097</v>
      </c>
      <c r="S50" s="22">
        <f t="shared" si="241"/>
        <v>0.84644180976996164</v>
      </c>
      <c r="T50" s="22">
        <f t="shared" si="241"/>
        <v>0.8447183525701436</v>
      </c>
      <c r="U50" s="22">
        <f t="shared" si="241"/>
        <v>0.84951837682743547</v>
      </c>
      <c r="V50" s="22">
        <f t="shared" si="241"/>
        <v>0.84505379475353581</v>
      </c>
      <c r="W50" s="22">
        <f t="shared" ref="W50:X50" si="242">(W23-W24)/W23</f>
        <v>0.85409735988311875</v>
      </c>
      <c r="X50" s="22">
        <f t="shared" si="242"/>
        <v>0.85437928310393774</v>
      </c>
      <c r="Y50" s="22"/>
      <c r="Z50" s="22"/>
      <c r="AA50" s="22"/>
      <c r="AB50" s="22"/>
      <c r="AC50" s="22"/>
      <c r="AD50" s="22"/>
      <c r="AE50" s="22">
        <f>(AE23-AE24)/AE23</f>
        <v>0.62412922252919545</v>
      </c>
      <c r="AF50" s="22">
        <f>(AF23-AF24)/AF23</f>
        <v>0.69646696022179722</v>
      </c>
      <c r="AG50" s="22">
        <f t="shared" ref="AG50:AX50" si="243">(AG23-AG24)/AG23</f>
        <v>0.71502776744603624</v>
      </c>
      <c r="AH50" s="22">
        <f t="shared" si="243"/>
        <v>0.75506174751267852</v>
      </c>
      <c r="AI50" s="22">
        <f t="shared" si="243"/>
        <v>0.78438932185209909</v>
      </c>
      <c r="AJ50" s="22">
        <f t="shared" si="243"/>
        <v>0.79068552888413057</v>
      </c>
      <c r="AK50" s="22">
        <f t="shared" si="243"/>
        <v>0.79414150924497684</v>
      </c>
      <c r="AL50" s="22">
        <f t="shared" si="243"/>
        <v>0.80473934030247862</v>
      </c>
      <c r="AM50" s="22">
        <f t="shared" si="243"/>
        <v>0.79675896099850618</v>
      </c>
      <c r="AN50" s="22">
        <f t="shared" si="243"/>
        <v>0.82268174456885046</v>
      </c>
      <c r="AO50" s="22">
        <f t="shared" ref="AO50" si="244">(AO23-AO24)/AO23</f>
        <v>0.84644009955331423</v>
      </c>
      <c r="AP50" s="22">
        <f t="shared" si="243"/>
        <v>0.84644009955331434</v>
      </c>
      <c r="AQ50" s="22">
        <f t="shared" si="243"/>
        <v>0.84644009955331434</v>
      </c>
      <c r="AR50" s="22">
        <f t="shared" si="243"/>
        <v>0.84644009955331434</v>
      </c>
      <c r="AS50" s="22">
        <f t="shared" si="243"/>
        <v>0.84644009955331434</v>
      </c>
      <c r="AT50" s="22">
        <f t="shared" si="243"/>
        <v>0.84644009955331434</v>
      </c>
      <c r="AU50" s="22">
        <f t="shared" si="243"/>
        <v>0.84644009955331434</v>
      </c>
      <c r="AV50" s="22">
        <f t="shared" si="243"/>
        <v>0.84644009955331423</v>
      </c>
      <c r="AW50" s="22">
        <f t="shared" si="243"/>
        <v>0.84644009955331434</v>
      </c>
      <c r="AX50" s="22">
        <f t="shared" si="243"/>
        <v>0.84644009955331434</v>
      </c>
      <c r="AY50" s="22"/>
      <c r="BA50" s="7" t="s">
        <v>180</v>
      </c>
      <c r="BB50" s="68">
        <f>+Main!J11*1000/Model!AR34</f>
        <v>50.742444358108102</v>
      </c>
    </row>
    <row r="51" spans="2:54" s="7" customFormat="1">
      <c r="B51" s="7" t="s">
        <v>118</v>
      </c>
      <c r="C51" s="22">
        <f t="shared" ref="C51:V51" si="245">+C29/C23</f>
        <v>0.24495869144486296</v>
      </c>
      <c r="D51" s="22">
        <f t="shared" si="245"/>
        <v>0.21183229685762531</v>
      </c>
      <c r="E51" s="22">
        <f t="shared" si="245"/>
        <v>0.23957894736842106</v>
      </c>
      <c r="F51" s="22">
        <f t="shared" si="245"/>
        <v>0.1672244575640206</v>
      </c>
      <c r="G51" s="22">
        <f t="shared" si="245"/>
        <v>0.24300093801861605</v>
      </c>
      <c r="H51" s="22">
        <f t="shared" si="245"/>
        <v>0.26504802964979957</v>
      </c>
      <c r="I51" s="22">
        <f t="shared" si="245"/>
        <v>0.22349503031818466</v>
      </c>
      <c r="J51" s="22">
        <f t="shared" si="245"/>
        <v>0.1422837457728896</v>
      </c>
      <c r="K51" s="22">
        <f t="shared" si="245"/>
        <v>0.30553119253076816</v>
      </c>
      <c r="L51" s="22">
        <f t="shared" si="245"/>
        <v>0.27602702702702703</v>
      </c>
      <c r="M51" s="22">
        <f t="shared" si="245"/>
        <v>0.26244983582634074</v>
      </c>
      <c r="N51" s="22">
        <f t="shared" si="245"/>
        <v>0.15230188260121064</v>
      </c>
      <c r="O51" s="22">
        <f t="shared" si="245"/>
        <v>0.22375172232793125</v>
      </c>
      <c r="P51" s="22">
        <f t="shared" si="245"/>
        <v>0.27092161333062775</v>
      </c>
      <c r="Q51" s="22">
        <f t="shared" si="245"/>
        <v>0.26243093922651933</v>
      </c>
      <c r="R51" s="22">
        <f t="shared" si="245"/>
        <v>0.27681730191575998</v>
      </c>
      <c r="S51" s="22">
        <f t="shared" si="245"/>
        <v>0.23683556994508881</v>
      </c>
      <c r="T51" s="22">
        <f t="shared" si="245"/>
        <v>0.24685321862782603</v>
      </c>
      <c r="U51" s="22">
        <f t="shared" si="245"/>
        <v>0.26190394862686162</v>
      </c>
      <c r="V51" s="22">
        <f t="shared" si="245"/>
        <v>0.2346505898927253</v>
      </c>
      <c r="W51" s="22">
        <f t="shared" ref="W51:X51" si="246">+W29/W23</f>
        <v>0.29314968893400739</v>
      </c>
      <c r="X51" s="22">
        <f t="shared" si="246"/>
        <v>0.26474158472437204</v>
      </c>
      <c r="Y51" s="22"/>
      <c r="Z51" s="22"/>
      <c r="AA51" s="22"/>
      <c r="AB51" s="22"/>
      <c r="AC51" s="22"/>
      <c r="AD51" s="22"/>
      <c r="AE51" s="22">
        <f>+AE29/AE23</f>
        <v>0.25220766453668708</v>
      </c>
      <c r="AF51" s="22">
        <f>+AF29/AF23</f>
        <v>0.2678468175955166</v>
      </c>
      <c r="AG51" s="22">
        <f t="shared" ref="AG51:AX51" si="247">+AG29/AG23</f>
        <v>0.25289538149777474</v>
      </c>
      <c r="AH51" s="22">
        <f t="shared" si="247"/>
        <v>0.25751035577406994</v>
      </c>
      <c r="AI51" s="22">
        <f t="shared" si="247"/>
        <v>0.25407481304240204</v>
      </c>
      <c r="AJ51" s="22">
        <f t="shared" si="247"/>
        <v>0.25151291609272691</v>
      </c>
      <c r="AK51" s="22">
        <f t="shared" si="247"/>
        <v>0.21485306196037582</v>
      </c>
      <c r="AL51" s="22">
        <f t="shared" si="247"/>
        <v>0.21822588229620074</v>
      </c>
      <c r="AM51" s="22">
        <f t="shared" si="247"/>
        <v>0.24870266405193592</v>
      </c>
      <c r="AN51" s="22">
        <f t="shared" si="247"/>
        <v>0.26039589282867298</v>
      </c>
      <c r="AO51" s="22">
        <f t="shared" ref="AO51" si="248">+AO29/AO23</f>
        <v>0.24494679983914966</v>
      </c>
      <c r="AP51" s="22">
        <f t="shared" si="247"/>
        <v>0.2765251030909805</v>
      </c>
      <c r="AQ51" s="22">
        <f t="shared" si="247"/>
        <v>0.29861876580522101</v>
      </c>
      <c r="AR51" s="22">
        <f t="shared" si="247"/>
        <v>0.29861876580522112</v>
      </c>
      <c r="AS51" s="22">
        <f t="shared" si="247"/>
        <v>0.29861876580522101</v>
      </c>
      <c r="AT51" s="22">
        <f t="shared" si="247"/>
        <v>0.29861876580522106</v>
      </c>
      <c r="AU51" s="22">
        <f t="shared" si="247"/>
        <v>0.29861876580522112</v>
      </c>
      <c r="AV51" s="22">
        <f t="shared" si="247"/>
        <v>0.29861876580522101</v>
      </c>
      <c r="AW51" s="22">
        <f t="shared" si="247"/>
        <v>0.29861876580522112</v>
      </c>
      <c r="AX51" s="22">
        <f t="shared" si="247"/>
        <v>0.29861876580522112</v>
      </c>
      <c r="AY51" s="22"/>
    </row>
    <row r="52" spans="2:54" s="7" customFormat="1"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>
        <f t="shared" ref="AF52:AM52" si="249">+AF33/AF32</f>
        <v>0.37152049237655616</v>
      </c>
      <c r="AG52" s="22">
        <f t="shared" si="249"/>
        <v>0.36219627642789526</v>
      </c>
      <c r="AH52" s="22">
        <f t="shared" si="249"/>
        <v>0.37291068907409936</v>
      </c>
      <c r="AI52" s="22">
        <f t="shared" si="249"/>
        <v>0.16707257671699952</v>
      </c>
      <c r="AJ52" s="22">
        <f t="shared" si="249"/>
        <v>0.18335445711871567</v>
      </c>
      <c r="AK52" s="22">
        <f t="shared" si="249"/>
        <v>0.20527847855618087</v>
      </c>
      <c r="AL52" s="22">
        <f t="shared" si="249"/>
        <v>9.6947887511662001E-2</v>
      </c>
      <c r="AM52" s="22">
        <f t="shared" si="249"/>
        <v>0.29325031582746797</v>
      </c>
      <c r="AN52" s="22">
        <f>+AN33/AN32</f>
        <v>0.2295985636939995</v>
      </c>
      <c r="AO52" s="22">
        <f>+AO33/AO32</f>
        <v>0.25565383189449714</v>
      </c>
      <c r="AP52" s="22">
        <f t="shared" ref="AP52:AX52" si="250">+AP33/AP32</f>
        <v>0.25565383189449714</v>
      </c>
      <c r="AQ52" s="22">
        <f t="shared" si="250"/>
        <v>0.25565383189449714</v>
      </c>
      <c r="AR52" s="22">
        <f t="shared" si="250"/>
        <v>0.25565383189449714</v>
      </c>
      <c r="AS52" s="22">
        <f t="shared" si="250"/>
        <v>0.25565383189449714</v>
      </c>
      <c r="AT52" s="22">
        <f t="shared" si="250"/>
        <v>0.25565383189449714</v>
      </c>
      <c r="AU52" s="22">
        <f t="shared" si="250"/>
        <v>0.25565383189449714</v>
      </c>
      <c r="AV52" s="22">
        <f t="shared" si="250"/>
        <v>0.25565383189449714</v>
      </c>
      <c r="AW52" s="22">
        <f t="shared" si="250"/>
        <v>0.25565383189449714</v>
      </c>
      <c r="AX52" s="22">
        <f t="shared" si="250"/>
        <v>0.25565383189449714</v>
      </c>
      <c r="AY52" s="22"/>
    </row>
    <row r="53" spans="2:54" s="4" customFormat="1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</row>
    <row r="54" spans="2:54" s="4" customFormat="1">
      <c r="B54" s="5" t="s">
        <v>36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</row>
    <row r="55" spans="2:54" s="4" customFormat="1">
      <c r="B55" s="7" t="s">
        <v>21</v>
      </c>
      <c r="C55" s="22">
        <f>+C24/C$23</f>
        <v>0.20248475641479199</v>
      </c>
      <c r="D55" s="22">
        <f t="shared" ref="D55:U58" si="251">+D24/D$23</f>
        <v>0.21772167538404513</v>
      </c>
      <c r="E55" s="22">
        <f t="shared" si="251"/>
        <v>0.20729824561403509</v>
      </c>
      <c r="F55" s="22">
        <f t="shared" si="251"/>
        <v>0.1967247019892453</v>
      </c>
      <c r="G55" s="22">
        <f t="shared" si="251"/>
        <v>0.20160184717512086</v>
      </c>
      <c r="H55" s="22">
        <f t="shared" si="251"/>
        <v>0.20251115649345738</v>
      </c>
      <c r="I55" s="22">
        <f t="shared" si="251"/>
        <v>0.18447208851659685</v>
      </c>
      <c r="J55" s="22">
        <f t="shared" si="251"/>
        <v>0.19304067507348061</v>
      </c>
      <c r="K55" s="22">
        <f t="shared" si="251"/>
        <v>0.18784835195925872</v>
      </c>
      <c r="L55" s="22">
        <f t="shared" si="251"/>
        <v>0.19198648648648647</v>
      </c>
      <c r="M55" s="22">
        <f t="shared" si="251"/>
        <v>0.23115043171591876</v>
      </c>
      <c r="N55" s="22">
        <f t="shared" si="251"/>
        <v>0.20442050313766869</v>
      </c>
      <c r="O55" s="22">
        <f t="shared" si="251"/>
        <v>0.2056820418607703</v>
      </c>
      <c r="P55" s="22">
        <f t="shared" si="251"/>
        <v>0.17784117359179727</v>
      </c>
      <c r="Q55" s="22">
        <f t="shared" si="251"/>
        <v>0.16967368784530387</v>
      </c>
      <c r="R55" s="22">
        <f t="shared" si="251"/>
        <v>0.16304461842142906</v>
      </c>
      <c r="S55" s="22">
        <f t="shared" si="251"/>
        <v>0.15355819023003836</v>
      </c>
      <c r="T55" s="22">
        <f t="shared" si="251"/>
        <v>0.1552816474298564</v>
      </c>
      <c r="U55" s="22">
        <f t="shared" si="251"/>
        <v>0.15048162317256455</v>
      </c>
      <c r="V55" s="22">
        <f>+V24/V$23</f>
        <v>0.15494620524646419</v>
      </c>
      <c r="W55" s="22">
        <f>+W24/W$23</f>
        <v>0.14590264011688125</v>
      </c>
      <c r="X55" s="22">
        <f>+X24/X$23</f>
        <v>0.14562071689606226</v>
      </c>
      <c r="Y55" s="22"/>
      <c r="Z55" s="22"/>
      <c r="AA55" s="22"/>
      <c r="AB55" s="21"/>
      <c r="AC55" s="21"/>
      <c r="AD55" s="21"/>
      <c r="AE55" s="22">
        <f>+AE24/AE$23</f>
        <v>0.37587077747080461</v>
      </c>
      <c r="AF55" s="22">
        <f t="shared" ref="AF55:AN55" si="252">+AF24/AF$23</f>
        <v>0.30353303977820278</v>
      </c>
      <c r="AG55" s="22">
        <f t="shared" si="252"/>
        <v>0.28497223255396376</v>
      </c>
      <c r="AH55" s="22">
        <f t="shared" si="252"/>
        <v>0.24493825248732143</v>
      </c>
      <c r="AI55" s="22">
        <f t="shared" si="252"/>
        <v>0.21561067814790089</v>
      </c>
      <c r="AJ55" s="22">
        <f t="shared" si="252"/>
        <v>0.20931447111586945</v>
      </c>
      <c r="AK55" s="22">
        <f t="shared" si="252"/>
        <v>0.20585849075502313</v>
      </c>
      <c r="AL55" s="22">
        <f t="shared" si="252"/>
        <v>0.1952606596975214</v>
      </c>
      <c r="AM55" s="22">
        <f t="shared" si="252"/>
        <v>0.20324103900149379</v>
      </c>
      <c r="AN55" s="22">
        <f t="shared" si="252"/>
        <v>0.17731825543114949</v>
      </c>
      <c r="AO55" s="22">
        <f t="shared" ref="AO55:AX55" si="253">+AO24/AO$23</f>
        <v>0.15355990044668572</v>
      </c>
      <c r="AP55" s="22">
        <f t="shared" si="253"/>
        <v>0.15355990044668572</v>
      </c>
      <c r="AQ55" s="22">
        <f t="shared" si="253"/>
        <v>0.15355990044668572</v>
      </c>
      <c r="AR55" s="22">
        <f t="shared" si="253"/>
        <v>0.15355990044668572</v>
      </c>
      <c r="AS55" s="22">
        <f t="shared" si="253"/>
        <v>0.15355990044668572</v>
      </c>
      <c r="AT55" s="22">
        <f t="shared" si="253"/>
        <v>0.15355990044668572</v>
      </c>
      <c r="AU55" s="22">
        <f t="shared" si="253"/>
        <v>0.15355990044668572</v>
      </c>
      <c r="AV55" s="22">
        <f t="shared" si="253"/>
        <v>0.15355990044668572</v>
      </c>
      <c r="AW55" s="22">
        <f t="shared" si="253"/>
        <v>0.15355990044668572</v>
      </c>
      <c r="AX55" s="22">
        <f t="shared" si="253"/>
        <v>0.15355990044668572</v>
      </c>
      <c r="AY55" s="21"/>
    </row>
    <row r="56" spans="2:54" s="4" customFormat="1">
      <c r="B56" s="7" t="s">
        <v>22</v>
      </c>
      <c r="C56" s="22">
        <f t="shared" ref="C56:R58" si="254">+C25/C$23</f>
        <v>0.26499906353401453</v>
      </c>
      <c r="D56" s="22">
        <f t="shared" si="254"/>
        <v>0.26714303364770808</v>
      </c>
      <c r="E56" s="22">
        <f t="shared" si="254"/>
        <v>0.25367418546365916</v>
      </c>
      <c r="F56" s="22">
        <f t="shared" si="254"/>
        <v>0.2732297973150829</v>
      </c>
      <c r="G56" s="22">
        <f t="shared" si="254"/>
        <v>0.3065697380763403</v>
      </c>
      <c r="H56" s="22">
        <f t="shared" si="254"/>
        <v>0.30896301338779214</v>
      </c>
      <c r="I56" s="22">
        <f t="shared" si="254"/>
        <v>0.2854754016378071</v>
      </c>
      <c r="J56" s="22">
        <f t="shared" si="254"/>
        <v>0.21715495717581618</v>
      </c>
      <c r="K56" s="22">
        <f t="shared" si="254"/>
        <v>0.31159994341491015</v>
      </c>
      <c r="L56" s="22">
        <f t="shared" si="254"/>
        <v>0.3148783783783784</v>
      </c>
      <c r="M56" s="22">
        <f t="shared" si="254"/>
        <v>0.24674692934452147</v>
      </c>
      <c r="N56" s="22">
        <f t="shared" si="254"/>
        <v>0.31139279169211975</v>
      </c>
      <c r="O56" s="22">
        <f t="shared" si="254"/>
        <v>0.30400892329899615</v>
      </c>
      <c r="P56" s="22">
        <f t="shared" si="254"/>
        <v>0.35433352829535553</v>
      </c>
      <c r="Q56" s="22">
        <f t="shared" si="254"/>
        <v>0.357238432320442</v>
      </c>
      <c r="R56" s="22">
        <f t="shared" si="254"/>
        <v>0.35388635128305379</v>
      </c>
      <c r="S56" s="22">
        <f t="shared" si="251"/>
        <v>0.36463056815150707</v>
      </c>
      <c r="T56" s="22">
        <f t="shared" si="251"/>
        <v>0.36136900152090545</v>
      </c>
      <c r="U56" s="22">
        <f t="shared" si="251"/>
        <v>0.36190907227763358</v>
      </c>
      <c r="V56" s="22">
        <f t="shared" ref="V56:W58" si="255">+V25/V$23</f>
        <v>0.36070425084804458</v>
      </c>
      <c r="W56" s="22">
        <f t="shared" si="255"/>
        <v>0.36485605909910901</v>
      </c>
      <c r="X56" s="22">
        <f t="shared" ref="X56" si="256">+X25/X$23</f>
        <v>0.37603324363033802</v>
      </c>
      <c r="Y56" s="22"/>
      <c r="Z56" s="22"/>
      <c r="AA56" s="22"/>
      <c r="AB56" s="21"/>
      <c r="AC56" s="21"/>
      <c r="AD56" s="21"/>
      <c r="AE56" s="22">
        <f t="shared" ref="AE56:AN58" si="257">+AE25/AE$23</f>
        <v>0</v>
      </c>
      <c r="AF56" s="22">
        <f t="shared" si="257"/>
        <v>0</v>
      </c>
      <c r="AG56" s="22">
        <f t="shared" si="257"/>
        <v>0</v>
      </c>
      <c r="AH56" s="22">
        <f t="shared" si="257"/>
        <v>0.13403468700398746</v>
      </c>
      <c r="AI56" s="22">
        <f t="shared" si="257"/>
        <v>0.24322864707956104</v>
      </c>
      <c r="AJ56" s="22">
        <f t="shared" si="257"/>
        <v>0.21999464685568054</v>
      </c>
      <c r="AK56" s="22">
        <f t="shared" si="257"/>
        <v>0.2648841122618642</v>
      </c>
      <c r="AL56" s="22">
        <f t="shared" si="257"/>
        <v>0.27903911000719422</v>
      </c>
      <c r="AM56" s="22">
        <f t="shared" si="257"/>
        <v>0.29730408988254953</v>
      </c>
      <c r="AN56" s="22">
        <f t="shared" si="257"/>
        <v>0.34422873062001952</v>
      </c>
      <c r="AO56" s="22">
        <f t="shared" ref="AO56:AX56" si="258">+AO25/AO$23</f>
        <v>0.3620936627142407</v>
      </c>
      <c r="AP56" s="22">
        <f t="shared" si="258"/>
        <v>0.3620936627142407</v>
      </c>
      <c r="AQ56" s="22">
        <f t="shared" si="258"/>
        <v>0.34</v>
      </c>
      <c r="AR56" s="22">
        <f t="shared" si="258"/>
        <v>0.34</v>
      </c>
      <c r="AS56" s="22">
        <f t="shared" si="258"/>
        <v>0.34</v>
      </c>
      <c r="AT56" s="22">
        <f t="shared" si="258"/>
        <v>0.34</v>
      </c>
      <c r="AU56" s="22">
        <f t="shared" si="258"/>
        <v>0.34</v>
      </c>
      <c r="AV56" s="22">
        <f t="shared" si="258"/>
        <v>0.34</v>
      </c>
      <c r="AW56" s="22">
        <f t="shared" si="258"/>
        <v>0.34</v>
      </c>
      <c r="AX56" s="22">
        <f t="shared" si="258"/>
        <v>0.34</v>
      </c>
      <c r="AY56" s="21"/>
    </row>
    <row r="57" spans="2:54" s="4" customFormat="1">
      <c r="B57" s="7" t="s">
        <v>23</v>
      </c>
      <c r="C57" s="22">
        <f t="shared" si="254"/>
        <v>0.26100347532932389</v>
      </c>
      <c r="D57" s="22">
        <f t="shared" si="251"/>
        <v>0.27581236357645894</v>
      </c>
      <c r="E57" s="22">
        <f t="shared" si="251"/>
        <v>0.27121804511278197</v>
      </c>
      <c r="F57" s="22">
        <f t="shared" si="251"/>
        <v>0.33527620050389201</v>
      </c>
      <c r="G57" s="22">
        <f t="shared" si="251"/>
        <v>0.22077711234576811</v>
      </c>
      <c r="H57" s="22">
        <f t="shared" si="251"/>
        <v>0.20232962710838817</v>
      </c>
      <c r="I57" s="22">
        <f t="shared" si="251"/>
        <v>0.27008189035444147</v>
      </c>
      <c r="J57" s="22">
        <f t="shared" si="251"/>
        <v>0.41226573117158116</v>
      </c>
      <c r="K57" s="22">
        <f t="shared" si="251"/>
        <v>0.19502051209506296</v>
      </c>
      <c r="L57" s="22">
        <f t="shared" si="251"/>
        <v>0.2171081081081081</v>
      </c>
      <c r="M57" s="22">
        <f t="shared" si="251"/>
        <v>0.22832299647330659</v>
      </c>
      <c r="N57" s="22">
        <f t="shared" si="251"/>
        <v>0.25022213583606373</v>
      </c>
      <c r="O57" s="22">
        <f t="shared" si="251"/>
        <v>0.23733350829998032</v>
      </c>
      <c r="P57" s="22">
        <f t="shared" si="251"/>
        <v>0.16650154577031881</v>
      </c>
      <c r="Q57" s="22">
        <f t="shared" si="251"/>
        <v>0.18005438535911603</v>
      </c>
      <c r="R57" s="22">
        <f t="shared" si="251"/>
        <v>0.17488819170949871</v>
      </c>
      <c r="S57" s="22">
        <f t="shared" si="251"/>
        <v>0.21748328289842808</v>
      </c>
      <c r="T57" s="22">
        <f t="shared" si="251"/>
        <v>0.20646991313110577</v>
      </c>
      <c r="U57" s="22">
        <f t="shared" si="251"/>
        <v>0.19680796556906682</v>
      </c>
      <c r="V57" s="22">
        <f t="shared" si="255"/>
        <v>0.22098743083812777</v>
      </c>
      <c r="W57" s="22">
        <f t="shared" si="255"/>
        <v>0.17270164415696657</v>
      </c>
      <c r="X57" s="22">
        <f t="shared" ref="X57" si="259">+X26/X$23</f>
        <v>0.18045716414363611</v>
      </c>
      <c r="Y57" s="22"/>
      <c r="Z57" s="22"/>
      <c r="AA57" s="22"/>
      <c r="AB57" s="22"/>
      <c r="AC57" s="22"/>
      <c r="AD57" s="22"/>
      <c r="AE57" s="22">
        <f t="shared" si="257"/>
        <v>0.32056475533483619</v>
      </c>
      <c r="AF57" s="22">
        <f t="shared" si="257"/>
        <v>0.38556539014662933</v>
      </c>
      <c r="AG57" s="22">
        <f t="shared" si="257"/>
        <v>0.4277340994497813</v>
      </c>
      <c r="AH57" s="22">
        <f t="shared" si="257"/>
        <v>0.33440439781657699</v>
      </c>
      <c r="AI57" s="22">
        <f t="shared" si="257"/>
        <v>0.2617631395375003</v>
      </c>
      <c r="AJ57" s="22">
        <f t="shared" si="257"/>
        <v>0.29102173246029206</v>
      </c>
      <c r="AK57" s="22">
        <f t="shared" si="257"/>
        <v>0.28693984254492277</v>
      </c>
      <c r="AL57" s="22">
        <f t="shared" si="257"/>
        <v>0.27725864210183632</v>
      </c>
      <c r="AM57" s="22">
        <f t="shared" si="257"/>
        <v>0.22263559196041091</v>
      </c>
      <c r="AN57" s="22">
        <f t="shared" si="257"/>
        <v>0.18757219855616872</v>
      </c>
      <c r="AO57" s="22">
        <f t="shared" ref="AO57:AX57" si="260">+AO26/AO$23</f>
        <v>0.2106226429448653</v>
      </c>
      <c r="AP57" s="22">
        <f t="shared" si="260"/>
        <v>0.17813257178407985</v>
      </c>
      <c r="AQ57" s="22">
        <f t="shared" si="260"/>
        <v>0.17813257178407985</v>
      </c>
      <c r="AR57" s="22">
        <f t="shared" si="260"/>
        <v>0.17813257178407985</v>
      </c>
      <c r="AS57" s="22">
        <f t="shared" si="260"/>
        <v>0.17813257178407985</v>
      </c>
      <c r="AT57" s="22">
        <f t="shared" si="260"/>
        <v>0.17813257178407985</v>
      </c>
      <c r="AU57" s="22">
        <f t="shared" si="260"/>
        <v>0.17813257178407985</v>
      </c>
      <c r="AV57" s="22">
        <f t="shared" si="260"/>
        <v>0.17813257178407985</v>
      </c>
      <c r="AW57" s="22">
        <f t="shared" si="260"/>
        <v>0.17813257178407985</v>
      </c>
      <c r="AX57" s="22">
        <f t="shared" si="260"/>
        <v>0.17813257178407985</v>
      </c>
      <c r="AY57" s="22"/>
    </row>
    <row r="58" spans="2:54" s="4" customFormat="1">
      <c r="B58" s="7" t="s">
        <v>24</v>
      </c>
      <c r="C58" s="22">
        <f t="shared" si="254"/>
        <v>2.6554013277006638E-2</v>
      </c>
      <c r="D58" s="22">
        <f t="shared" si="251"/>
        <v>2.7490630534162515E-2</v>
      </c>
      <c r="E58" s="22">
        <f t="shared" si="251"/>
        <v>2.8230576441102755E-2</v>
      </c>
      <c r="F58" s="22">
        <f t="shared" si="251"/>
        <v>2.7544842627759185E-2</v>
      </c>
      <c r="G58" s="22">
        <f t="shared" si="251"/>
        <v>2.8050364384154702E-2</v>
      </c>
      <c r="H58" s="22">
        <f t="shared" si="251"/>
        <v>2.1148173360562742E-2</v>
      </c>
      <c r="I58" s="22">
        <f t="shared" si="251"/>
        <v>3.6475589172969933E-2</v>
      </c>
      <c r="J58" s="22">
        <f t="shared" si="251"/>
        <v>3.5254890806232418E-2</v>
      </c>
      <c r="K58" s="22">
        <f t="shared" si="251"/>
        <v>0</v>
      </c>
      <c r="L58" s="22">
        <f t="shared" si="251"/>
        <v>0</v>
      </c>
      <c r="M58" s="22">
        <f t="shared" si="251"/>
        <v>3.1329806639912437E-2</v>
      </c>
      <c r="N58" s="22">
        <f t="shared" si="251"/>
        <v>8.1662686732937195E-2</v>
      </c>
      <c r="O58" s="22">
        <f t="shared" si="251"/>
        <v>2.9223804212322027E-2</v>
      </c>
      <c r="P58" s="22">
        <f t="shared" si="251"/>
        <v>3.0402139011900642E-2</v>
      </c>
      <c r="Q58" s="22">
        <f t="shared" si="251"/>
        <v>3.0602555248618785E-2</v>
      </c>
      <c r="R58" s="22">
        <f t="shared" si="251"/>
        <v>3.136353667025852E-2</v>
      </c>
      <c r="S58" s="22">
        <f t="shared" si="251"/>
        <v>2.7492388774937683E-2</v>
      </c>
      <c r="T58" s="22">
        <f t="shared" si="251"/>
        <v>3.0026219290306327E-2</v>
      </c>
      <c r="U58" s="22">
        <f t="shared" si="251"/>
        <v>2.8897390353873481E-2</v>
      </c>
      <c r="V58" s="22">
        <f t="shared" si="255"/>
        <v>2.8711523174638154E-2</v>
      </c>
      <c r="W58" s="22">
        <f t="shared" si="255"/>
        <v>2.3389967693035824E-2</v>
      </c>
      <c r="X58" s="22">
        <f t="shared" ref="X58" si="261">+X27/X$23</f>
        <v>3.3147290605591559E-2</v>
      </c>
      <c r="Y58" s="22"/>
      <c r="Z58" s="22"/>
      <c r="AA58" s="22"/>
      <c r="AB58" s="22"/>
      <c r="AC58" s="22"/>
      <c r="AD58" s="22"/>
      <c r="AE58" s="22">
        <f t="shared" si="257"/>
        <v>5.1356802657672167E-2</v>
      </c>
      <c r="AF58" s="22">
        <f t="shared" si="257"/>
        <v>4.3054752479651293E-2</v>
      </c>
      <c r="AG58" s="22">
        <f t="shared" si="257"/>
        <v>3.4398286498480167E-2</v>
      </c>
      <c r="AH58" s="22">
        <f t="shared" si="257"/>
        <v>2.9112306918044211E-2</v>
      </c>
      <c r="AI58" s="22">
        <f t="shared" si="257"/>
        <v>2.5322722192635708E-2</v>
      </c>
      <c r="AJ58" s="22">
        <f t="shared" si="257"/>
        <v>2.8156233475431027E-2</v>
      </c>
      <c r="AK58" s="22">
        <f t="shared" si="257"/>
        <v>2.7464492477814059E-2</v>
      </c>
      <c r="AL58" s="22">
        <f t="shared" si="257"/>
        <v>3.0215705897247307E-2</v>
      </c>
      <c r="AM58" s="22">
        <f t="shared" si="257"/>
        <v>2.8116615103609886E-2</v>
      </c>
      <c r="AN58" s="22">
        <f t="shared" si="257"/>
        <v>3.0484922563989249E-2</v>
      </c>
      <c r="AO58" s="22">
        <f t="shared" ref="AO58:AX58" si="262">+AO27/AO$23</f>
        <v>2.8776994055058635E-2</v>
      </c>
      <c r="AP58" s="22">
        <f t="shared" si="262"/>
        <v>2.9688761964013308E-2</v>
      </c>
      <c r="AQ58" s="22">
        <f t="shared" si="262"/>
        <v>2.9688761964013308E-2</v>
      </c>
      <c r="AR58" s="22">
        <f t="shared" si="262"/>
        <v>2.9688761964013308E-2</v>
      </c>
      <c r="AS58" s="22">
        <f t="shared" si="262"/>
        <v>2.9688761964013308E-2</v>
      </c>
      <c r="AT58" s="22">
        <f t="shared" si="262"/>
        <v>2.9688761964013308E-2</v>
      </c>
      <c r="AU58" s="22">
        <f t="shared" si="262"/>
        <v>2.9688761964013308E-2</v>
      </c>
      <c r="AV58" s="22">
        <f t="shared" si="262"/>
        <v>2.9688761964013308E-2</v>
      </c>
      <c r="AW58" s="22">
        <f t="shared" si="262"/>
        <v>2.9688761964013308E-2</v>
      </c>
      <c r="AX58" s="22">
        <f t="shared" si="262"/>
        <v>2.9688761964013308E-2</v>
      </c>
      <c r="AY58" s="22"/>
    </row>
    <row r="59" spans="2:54" s="4" customFormat="1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</row>
    <row r="60" spans="2:54" s="4" customFormat="1">
      <c r="B60" s="12" t="s">
        <v>120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</row>
    <row r="61" spans="2:54" s="4" customFormat="1">
      <c r="B61" s="7" t="s">
        <v>21</v>
      </c>
      <c r="C61" s="21"/>
      <c r="D61" s="21"/>
      <c r="E61" s="21"/>
      <c r="F61" s="22">
        <f t="shared" ref="F61:T61" si="263">AVERAGE(C55:F55)</f>
        <v>0.20605734485052937</v>
      </c>
      <c r="G61" s="22">
        <f t="shared" si="263"/>
        <v>0.20583661754061161</v>
      </c>
      <c r="H61" s="22">
        <f t="shared" si="263"/>
        <v>0.20203398781796467</v>
      </c>
      <c r="I61" s="22">
        <f t="shared" si="263"/>
        <v>0.19632744854360512</v>
      </c>
      <c r="J61" s="22">
        <f t="shared" si="263"/>
        <v>0.19540644181466393</v>
      </c>
      <c r="K61" s="22">
        <f t="shared" si="263"/>
        <v>0.19196806801069841</v>
      </c>
      <c r="L61" s="22">
        <f t="shared" si="263"/>
        <v>0.18933690050895569</v>
      </c>
      <c r="M61" s="22">
        <f t="shared" si="263"/>
        <v>0.20100648630878615</v>
      </c>
      <c r="N61" s="22">
        <f t="shared" si="263"/>
        <v>0.20385144332483315</v>
      </c>
      <c r="O61" s="22">
        <f t="shared" si="263"/>
        <v>0.20830986580021105</v>
      </c>
      <c r="P61" s="22">
        <f t="shared" si="263"/>
        <v>0.20477353757653877</v>
      </c>
      <c r="Q61" s="22">
        <f t="shared" si="263"/>
        <v>0.18940435160888505</v>
      </c>
      <c r="R61" s="22">
        <f t="shared" si="263"/>
        <v>0.17906038042982511</v>
      </c>
      <c r="S61" s="22">
        <f t="shared" si="263"/>
        <v>0.16602941752214215</v>
      </c>
      <c r="T61" s="22">
        <f t="shared" si="263"/>
        <v>0.16038953598165692</v>
      </c>
      <c r="U61" s="22">
        <f t="shared" ref="U61:X64" si="264">AVERAGE(R55:U55)</f>
        <v>0.15559151981347208</v>
      </c>
      <c r="V61" s="22">
        <f t="shared" si="264"/>
        <v>0.15356691651973087</v>
      </c>
      <c r="W61" s="22">
        <f t="shared" si="264"/>
        <v>0.15165302899144159</v>
      </c>
      <c r="X61" s="22">
        <f t="shared" si="264"/>
        <v>0.14923779635799306</v>
      </c>
      <c r="Y61" s="22"/>
      <c r="Z61" s="22"/>
      <c r="AA61" s="22"/>
      <c r="AB61" s="21"/>
      <c r="AC61" s="21"/>
      <c r="AD61" s="21"/>
      <c r="AE61" s="21"/>
      <c r="AF61" s="21"/>
      <c r="AG61" s="21"/>
      <c r="AH61" s="22">
        <f t="shared" ref="AH61:AM61" si="265">AVERAGE(AE55:AH55)</f>
        <v>0.30232857557257314</v>
      </c>
      <c r="AI61" s="22">
        <f t="shared" si="265"/>
        <v>0.26226355074184721</v>
      </c>
      <c r="AJ61" s="22">
        <f t="shared" si="265"/>
        <v>0.2387089085762639</v>
      </c>
      <c r="AK61" s="22">
        <f t="shared" si="265"/>
        <v>0.21893047312652872</v>
      </c>
      <c r="AL61" s="22">
        <f t="shared" si="265"/>
        <v>0.20651107492907872</v>
      </c>
      <c r="AM61" s="22">
        <f t="shared" si="265"/>
        <v>0.20341866514247695</v>
      </c>
      <c r="AN61" s="22">
        <f>AVERAGE(AK55:AN55)</f>
        <v>0.19541961122129697</v>
      </c>
      <c r="AO61" s="22">
        <f t="shared" ref="AO61:AX61" si="266">AVERAGE(AL55:AO55)</f>
        <v>0.1823449636442126</v>
      </c>
      <c r="AP61" s="22">
        <f t="shared" si="266"/>
        <v>0.17191977383150364</v>
      </c>
      <c r="AQ61" s="22">
        <f t="shared" si="266"/>
        <v>0.15949948919280166</v>
      </c>
      <c r="AR61" s="22">
        <f t="shared" si="266"/>
        <v>0.15355990044668572</v>
      </c>
      <c r="AS61" s="22">
        <f t="shared" si="266"/>
        <v>0.15355990044668572</v>
      </c>
      <c r="AT61" s="22">
        <f t="shared" si="266"/>
        <v>0.15355990044668572</v>
      </c>
      <c r="AU61" s="22">
        <f t="shared" si="266"/>
        <v>0.15355990044668572</v>
      </c>
      <c r="AV61" s="22">
        <f t="shared" si="266"/>
        <v>0.15355990044668572</v>
      </c>
      <c r="AW61" s="22">
        <f t="shared" si="266"/>
        <v>0.15355990044668572</v>
      </c>
      <c r="AX61" s="22">
        <f t="shared" si="266"/>
        <v>0.15355990044668572</v>
      </c>
      <c r="AY61" s="21"/>
    </row>
    <row r="62" spans="2:54" s="4" customFormat="1">
      <c r="B62" s="7" t="s">
        <v>22</v>
      </c>
      <c r="C62" s="21"/>
      <c r="D62" s="21"/>
      <c r="E62" s="21"/>
      <c r="F62" s="22">
        <f t="shared" ref="F62:F64" si="267">AVERAGE(C56:F56)</f>
        <v>0.26476151999011616</v>
      </c>
      <c r="G62" s="22">
        <f t="shared" ref="G62:G64" si="268">AVERAGE(D56:G56)</f>
        <v>0.27515418862569763</v>
      </c>
      <c r="H62" s="22">
        <f t="shared" ref="H62:H64" si="269">AVERAGE(E56:H56)</f>
        <v>0.28560918356071863</v>
      </c>
      <c r="I62" s="22">
        <f t="shared" ref="I62:I64" si="270">AVERAGE(F56:I56)</f>
        <v>0.2935594876042556</v>
      </c>
      <c r="J62" s="22">
        <f t="shared" ref="J62:J64" si="271">AVERAGE(G56:J56)</f>
        <v>0.27954077756943896</v>
      </c>
      <c r="K62" s="22">
        <f t="shared" ref="K62:K64" si="272">AVERAGE(H56:K56)</f>
        <v>0.28079832890408141</v>
      </c>
      <c r="L62" s="22">
        <f t="shared" ref="L62:L64" si="273">AVERAGE(I56:L56)</f>
        <v>0.28227717015172793</v>
      </c>
      <c r="M62" s="22">
        <f t="shared" ref="M62:M64" si="274">AVERAGE(J56:M56)</f>
        <v>0.27259505207840656</v>
      </c>
      <c r="N62" s="22">
        <f t="shared" ref="N62:N64" si="275">AVERAGE(K56:N56)</f>
        <v>0.29615451070748244</v>
      </c>
      <c r="O62" s="22">
        <f t="shared" ref="O62:O64" si="276">AVERAGE(L56:O56)</f>
        <v>0.29425675567850396</v>
      </c>
      <c r="P62" s="22">
        <f t="shared" ref="P62:P64" si="277">AVERAGE(M56:P56)</f>
        <v>0.30412054315774822</v>
      </c>
      <c r="Q62" s="22">
        <f t="shared" ref="Q62:Q64" si="278">AVERAGE(N56:Q56)</f>
        <v>0.33174341890172837</v>
      </c>
      <c r="R62" s="22">
        <f t="shared" ref="R62:R64" si="279">AVERAGE(O56:R56)</f>
        <v>0.34236680879946191</v>
      </c>
      <c r="S62" s="22">
        <f t="shared" ref="S62:S64" si="280">AVERAGE(P56:S56)</f>
        <v>0.3575222200125896</v>
      </c>
      <c r="T62" s="22">
        <f t="shared" ref="T62:T64" si="281">AVERAGE(Q56:T56)</f>
        <v>0.35928108831897709</v>
      </c>
      <c r="U62" s="22">
        <f t="shared" si="264"/>
        <v>0.360448748308275</v>
      </c>
      <c r="V62" s="22">
        <f t="shared" si="264"/>
        <v>0.3621532231995227</v>
      </c>
      <c r="W62" s="22">
        <f t="shared" si="264"/>
        <v>0.36220959593642316</v>
      </c>
      <c r="X62" s="22">
        <f t="shared" si="264"/>
        <v>0.36587565646378128</v>
      </c>
      <c r="Y62" s="22"/>
      <c r="Z62" s="22"/>
      <c r="AA62" s="22"/>
      <c r="AB62" s="21"/>
      <c r="AC62" s="21"/>
      <c r="AD62" s="21"/>
      <c r="AE62" s="21"/>
      <c r="AF62" s="21"/>
      <c r="AG62" s="21"/>
      <c r="AH62" s="22">
        <f t="shared" ref="AH62:AM62" si="282">AVERAGE(AE56:AH56)</f>
        <v>3.3508671750996866E-2</v>
      </c>
      <c r="AI62" s="22">
        <f t="shared" si="282"/>
        <v>9.4315833520887127E-2</v>
      </c>
      <c r="AJ62" s="22">
        <f t="shared" si="282"/>
        <v>0.14931449523480728</v>
      </c>
      <c r="AK62" s="22">
        <f t="shared" si="282"/>
        <v>0.21553552330027331</v>
      </c>
      <c r="AL62" s="22">
        <f t="shared" si="282"/>
        <v>0.25178662905107502</v>
      </c>
      <c r="AM62" s="22">
        <f t="shared" si="282"/>
        <v>0.26530548975182211</v>
      </c>
      <c r="AN62" s="22">
        <f>AVERAGE(AK56:AN56)</f>
        <v>0.29636401069290685</v>
      </c>
      <c r="AO62" s="22">
        <f t="shared" ref="AO62:AX62" si="283">AVERAGE(AL56:AO56)</f>
        <v>0.32066639830600097</v>
      </c>
      <c r="AP62" s="22">
        <f t="shared" si="283"/>
        <v>0.3414300364827626</v>
      </c>
      <c r="AQ62" s="22">
        <f t="shared" si="283"/>
        <v>0.35210401401212527</v>
      </c>
      <c r="AR62" s="22">
        <f t="shared" si="283"/>
        <v>0.35104683135712039</v>
      </c>
      <c r="AS62" s="22">
        <f t="shared" si="283"/>
        <v>0.34552341567856021</v>
      </c>
      <c r="AT62" s="22">
        <f t="shared" si="283"/>
        <v>0.34</v>
      </c>
      <c r="AU62" s="22">
        <f t="shared" si="283"/>
        <v>0.34</v>
      </c>
      <c r="AV62" s="22">
        <f t="shared" si="283"/>
        <v>0.34</v>
      </c>
      <c r="AW62" s="22">
        <f t="shared" si="283"/>
        <v>0.34</v>
      </c>
      <c r="AX62" s="22">
        <f t="shared" si="283"/>
        <v>0.34</v>
      </c>
      <c r="AY62" s="21"/>
    </row>
    <row r="63" spans="2:54" s="4" customFormat="1">
      <c r="B63" s="7" t="s">
        <v>23</v>
      </c>
      <c r="C63" s="21"/>
      <c r="D63" s="21"/>
      <c r="E63" s="21"/>
      <c r="F63" s="22">
        <f t="shared" si="267"/>
        <v>0.28582752113061421</v>
      </c>
      <c r="G63" s="22">
        <f t="shared" si="268"/>
        <v>0.27577093038472522</v>
      </c>
      <c r="H63" s="22">
        <f t="shared" si="269"/>
        <v>0.25740024626770758</v>
      </c>
      <c r="I63" s="22">
        <f t="shared" si="270"/>
        <v>0.25711620757812242</v>
      </c>
      <c r="J63" s="22">
        <f t="shared" si="271"/>
        <v>0.27636359024504475</v>
      </c>
      <c r="K63" s="22">
        <f t="shared" si="272"/>
        <v>0.26992444018236844</v>
      </c>
      <c r="L63" s="22">
        <f t="shared" si="273"/>
        <v>0.27361906043229844</v>
      </c>
      <c r="M63" s="22">
        <f t="shared" si="274"/>
        <v>0.26317933696201473</v>
      </c>
      <c r="N63" s="22">
        <f t="shared" si="275"/>
        <v>0.22266843812813536</v>
      </c>
      <c r="O63" s="22">
        <f t="shared" si="276"/>
        <v>0.2332466871793647</v>
      </c>
      <c r="P63" s="22">
        <f t="shared" si="277"/>
        <v>0.22059504659491738</v>
      </c>
      <c r="Q63" s="22">
        <f t="shared" si="278"/>
        <v>0.20852789381636971</v>
      </c>
      <c r="R63" s="22">
        <f t="shared" si="279"/>
        <v>0.18969440778472846</v>
      </c>
      <c r="S63" s="22">
        <f t="shared" si="280"/>
        <v>0.1847318514343404</v>
      </c>
      <c r="T63" s="22">
        <f t="shared" si="281"/>
        <v>0.19472394327453715</v>
      </c>
      <c r="U63" s="22">
        <f t="shared" si="264"/>
        <v>0.19891233832702482</v>
      </c>
      <c r="V63" s="22">
        <f t="shared" si="264"/>
        <v>0.2104371481091821</v>
      </c>
      <c r="W63" s="22">
        <f t="shared" si="264"/>
        <v>0.19924173842381673</v>
      </c>
      <c r="X63" s="22">
        <f t="shared" si="264"/>
        <v>0.19273855117694932</v>
      </c>
      <c r="Y63" s="22"/>
      <c r="Z63" s="22"/>
      <c r="AA63" s="22"/>
      <c r="AB63" s="21"/>
      <c r="AC63" s="21"/>
      <c r="AD63" s="21"/>
      <c r="AE63" s="21"/>
      <c r="AF63" s="21"/>
      <c r="AG63" s="21"/>
      <c r="AH63" s="22">
        <f t="shared" ref="AH63:AM63" si="284">AVERAGE(AE57:AH57)</f>
        <v>0.36706716068695594</v>
      </c>
      <c r="AI63" s="22">
        <f t="shared" si="284"/>
        <v>0.35236675673762197</v>
      </c>
      <c r="AJ63" s="22">
        <f t="shared" si="284"/>
        <v>0.32873084231603766</v>
      </c>
      <c r="AK63" s="22">
        <f t="shared" si="284"/>
        <v>0.29353227808982307</v>
      </c>
      <c r="AL63" s="22">
        <f t="shared" si="284"/>
        <v>0.27924583916113788</v>
      </c>
      <c r="AM63" s="22">
        <f t="shared" si="284"/>
        <v>0.26946395226686548</v>
      </c>
      <c r="AN63" s="22">
        <f>AVERAGE(AK57:AN57)</f>
        <v>0.24360156879083469</v>
      </c>
      <c r="AO63" s="22">
        <f t="shared" ref="AO63:AX63" si="285">AVERAGE(AL57:AO57)</f>
        <v>0.2245222688908203</v>
      </c>
      <c r="AP63" s="22">
        <f t="shared" si="285"/>
        <v>0.19974075131138119</v>
      </c>
      <c r="AQ63" s="22">
        <f t="shared" si="285"/>
        <v>0.18861499626729841</v>
      </c>
      <c r="AR63" s="22">
        <f t="shared" si="285"/>
        <v>0.18625508957427619</v>
      </c>
      <c r="AS63" s="22">
        <f t="shared" si="285"/>
        <v>0.17813257178407985</v>
      </c>
      <c r="AT63" s="22">
        <f t="shared" si="285"/>
        <v>0.17813257178407985</v>
      </c>
      <c r="AU63" s="22">
        <f t="shared" si="285"/>
        <v>0.17813257178407985</v>
      </c>
      <c r="AV63" s="22">
        <f t="shared" si="285"/>
        <v>0.17813257178407985</v>
      </c>
      <c r="AW63" s="22">
        <f t="shared" si="285"/>
        <v>0.17813257178407985</v>
      </c>
      <c r="AX63" s="22">
        <f t="shared" si="285"/>
        <v>0.17813257178407985</v>
      </c>
      <c r="AY63" s="21"/>
    </row>
    <row r="64" spans="2:54" s="4" customFormat="1">
      <c r="B64" s="7" t="s">
        <v>24</v>
      </c>
      <c r="C64" s="21"/>
      <c r="D64" s="21"/>
      <c r="E64" s="21"/>
      <c r="F64" s="22">
        <f t="shared" si="267"/>
        <v>2.7455015720007775E-2</v>
      </c>
      <c r="G64" s="22">
        <f t="shared" si="268"/>
        <v>2.7829103496794787E-2</v>
      </c>
      <c r="H64" s="22">
        <f t="shared" si="269"/>
        <v>2.6243489203394844E-2</v>
      </c>
      <c r="I64" s="22">
        <f t="shared" si="270"/>
        <v>2.8304742386361641E-2</v>
      </c>
      <c r="J64" s="22">
        <f t="shared" si="271"/>
        <v>3.0232254430979946E-2</v>
      </c>
      <c r="K64" s="22">
        <f t="shared" si="272"/>
        <v>2.3219663334941271E-2</v>
      </c>
      <c r="L64" s="22">
        <f t="shared" si="273"/>
        <v>1.7932619994800586E-2</v>
      </c>
      <c r="M64" s="22">
        <f t="shared" si="274"/>
        <v>1.6646174361536214E-2</v>
      </c>
      <c r="N64" s="22">
        <f t="shared" si="275"/>
        <v>2.824812334321241E-2</v>
      </c>
      <c r="O64" s="22">
        <f t="shared" si="276"/>
        <v>3.555407439629292E-2</v>
      </c>
      <c r="P64" s="22">
        <f t="shared" si="277"/>
        <v>4.3154609149268081E-2</v>
      </c>
      <c r="Q64" s="22">
        <f t="shared" si="278"/>
        <v>4.2972796301444662E-2</v>
      </c>
      <c r="R64" s="22">
        <f t="shared" si="279"/>
        <v>3.0398008785774991E-2</v>
      </c>
      <c r="S64" s="22">
        <f t="shared" si="280"/>
        <v>2.9965154926428907E-2</v>
      </c>
      <c r="T64" s="22">
        <f t="shared" si="281"/>
        <v>2.9871174996030328E-2</v>
      </c>
      <c r="U64" s="22">
        <f t="shared" si="264"/>
        <v>2.9444883772344003E-2</v>
      </c>
      <c r="V64" s="22">
        <f t="shared" si="264"/>
        <v>2.878188039843891E-2</v>
      </c>
      <c r="W64" s="22">
        <f t="shared" si="264"/>
        <v>2.7756275127963446E-2</v>
      </c>
      <c r="X64" s="22">
        <f t="shared" si="264"/>
        <v>2.8536542956784754E-2</v>
      </c>
      <c r="Y64" s="22"/>
      <c r="Z64" s="22"/>
      <c r="AA64" s="22"/>
      <c r="AB64" s="21"/>
      <c r="AC64" s="21"/>
      <c r="AD64" s="21"/>
      <c r="AE64" s="21"/>
      <c r="AF64" s="21"/>
      <c r="AG64" s="21"/>
      <c r="AH64" s="22">
        <f t="shared" ref="AH64:AM64" si="286">AVERAGE(AE58:AH58)</f>
        <v>3.948053713846196E-2</v>
      </c>
      <c r="AI64" s="22">
        <f t="shared" si="286"/>
        <v>3.297201702220285E-2</v>
      </c>
      <c r="AJ64" s="22">
        <f t="shared" si="286"/>
        <v>2.9247387271147778E-2</v>
      </c>
      <c r="AK64" s="22">
        <f t="shared" si="286"/>
        <v>2.7513938765981252E-2</v>
      </c>
      <c r="AL64" s="22">
        <f t="shared" si="286"/>
        <v>2.7789788510782024E-2</v>
      </c>
      <c r="AM64" s="22">
        <f t="shared" si="286"/>
        <v>2.8488261738525568E-2</v>
      </c>
      <c r="AN64" s="22">
        <f>AVERAGE(AK58:AN58)</f>
        <v>2.9070434010665128E-2</v>
      </c>
      <c r="AO64" s="22">
        <f t="shared" ref="AO64:AX64" si="287">AVERAGE(AL58:AO58)</f>
        <v>2.9398559404976269E-2</v>
      </c>
      <c r="AP64" s="22">
        <f t="shared" si="287"/>
        <v>2.9266823421667771E-2</v>
      </c>
      <c r="AQ64" s="22">
        <f t="shared" si="287"/>
        <v>2.9659860136768624E-2</v>
      </c>
      <c r="AR64" s="22">
        <f t="shared" si="287"/>
        <v>2.946081998677464E-2</v>
      </c>
      <c r="AS64" s="22">
        <f t="shared" si="287"/>
        <v>2.9688761964013308E-2</v>
      </c>
      <c r="AT64" s="22">
        <f t="shared" si="287"/>
        <v>2.9688761964013308E-2</v>
      </c>
      <c r="AU64" s="22">
        <f t="shared" si="287"/>
        <v>2.9688761964013308E-2</v>
      </c>
      <c r="AV64" s="22">
        <f t="shared" si="287"/>
        <v>2.9688761964013308E-2</v>
      </c>
      <c r="AW64" s="22">
        <f t="shared" si="287"/>
        <v>2.9688761964013308E-2</v>
      </c>
      <c r="AX64" s="22">
        <f t="shared" si="287"/>
        <v>2.9688761964013308E-2</v>
      </c>
      <c r="AY64" s="21"/>
    </row>
    <row r="65" spans="2:51" s="4" customFormat="1">
      <c r="B65" s="1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</row>
    <row r="66" spans="2:51" s="4" customFormat="1">
      <c r="B66" s="1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</row>
    <row r="67" spans="2:51" s="4" customFormat="1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</row>
    <row r="68" spans="2:51" s="4" customFormat="1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>
        <f>SUM(N70:N71)</f>
        <v>52031</v>
      </c>
      <c r="O68" s="21">
        <f t="shared" ref="O68:V68" si="288">SUM(O70:O71)</f>
        <v>297270</v>
      </c>
      <c r="P68" s="21">
        <f t="shared" si="288"/>
        <v>182936</v>
      </c>
      <c r="Q68" s="21">
        <f t="shared" si="288"/>
        <v>186693</v>
      </c>
      <c r="R68" s="21">
        <f t="shared" si="288"/>
        <v>197792</v>
      </c>
      <c r="S68" s="21">
        <f t="shared" si="288"/>
        <v>209479</v>
      </c>
      <c r="T68" s="21">
        <f t="shared" si="288"/>
        <v>199944</v>
      </c>
      <c r="U68" s="21">
        <f t="shared" si="288"/>
        <v>89427</v>
      </c>
      <c r="V68" s="21">
        <f t="shared" si="288"/>
        <v>101660</v>
      </c>
      <c r="W68" s="21">
        <f>SUM(W70:W71)</f>
        <v>119749</v>
      </c>
      <c r="X68" s="21">
        <f>SUM(X70:X71)</f>
        <v>108193</v>
      </c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</row>
    <row r="69" spans="2:51" s="5" customFormat="1">
      <c r="B69" s="5" t="s">
        <v>99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>
        <f>SUM(N70:N71)-SUM(N88,N91)</f>
        <v>-417363</v>
      </c>
      <c r="O69" s="19">
        <f t="shared" ref="O69:W69" si="289">SUM(O70:O71)-SUM(O88,O91)</f>
        <v>-418498</v>
      </c>
      <c r="P69" s="19">
        <f t="shared" si="289"/>
        <v>-533285</v>
      </c>
      <c r="Q69" s="19">
        <f t="shared" si="289"/>
        <v>-528783</v>
      </c>
      <c r="R69" s="19">
        <f t="shared" si="289"/>
        <v>-516354</v>
      </c>
      <c r="S69" s="19">
        <f t="shared" si="289"/>
        <v>-503304</v>
      </c>
      <c r="T69" s="19">
        <f t="shared" si="289"/>
        <v>-511467</v>
      </c>
      <c r="U69" s="19">
        <f t="shared" si="289"/>
        <v>-622440</v>
      </c>
      <c r="V69" s="19">
        <f t="shared" si="289"/>
        <v>-610667</v>
      </c>
      <c r="W69" s="19">
        <f t="shared" si="289"/>
        <v>-593041</v>
      </c>
      <c r="X69" s="19">
        <f t="shared" ref="X69" si="290">SUM(X70:X71)-SUM(X88,X91)</f>
        <v>-605065</v>
      </c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>
        <f>+V69</f>
        <v>-610667</v>
      </c>
      <c r="AP69" s="19">
        <f>+AO69+AP34</f>
        <v>-486953.08921849856</v>
      </c>
      <c r="AQ69" s="19">
        <f>+AP69+AQ34</f>
        <v>-308074.37683599093</v>
      </c>
      <c r="AR69" s="19">
        <f t="shared" ref="AR69:AX69" si="291">+AQ69+AR34</f>
        <v>-71809.593692087452</v>
      </c>
      <c r="AS69" s="19">
        <f t="shared" si="291"/>
        <v>237390.11563833535</v>
      </c>
      <c r="AT69" s="19">
        <f t="shared" si="291"/>
        <v>638995.84189568763</v>
      </c>
      <c r="AU69" s="19">
        <f t="shared" si="291"/>
        <v>1157347.837169982</v>
      </c>
      <c r="AV69" s="19">
        <f t="shared" si="291"/>
        <v>1822824.3218329877</v>
      </c>
      <c r="AW69" s="19">
        <f t="shared" si="291"/>
        <v>2673283.047685219</v>
      </c>
      <c r="AX69" s="19">
        <f t="shared" si="291"/>
        <v>3755837.9675256247</v>
      </c>
      <c r="AY69" s="19"/>
    </row>
    <row r="70" spans="2:51" s="4" customFormat="1">
      <c r="B70" s="4" t="s">
        <v>3</v>
      </c>
      <c r="C70" s="21">
        <f>34.4*1000</f>
        <v>34400</v>
      </c>
      <c r="D70" s="21">
        <f>17.1*1000</f>
        <v>17100</v>
      </c>
      <c r="E70" s="21">
        <f>9.5*1000</f>
        <v>9500</v>
      </c>
      <c r="F70" s="21">
        <f>12.8*1000</f>
        <v>12800</v>
      </c>
      <c r="G70" s="21">
        <f>31*1000</f>
        <v>31000</v>
      </c>
      <c r="H70" s="21">
        <f>45.8*1000</f>
        <v>45800</v>
      </c>
      <c r="I70" s="21">
        <f>48.2*1000</f>
        <v>48200</v>
      </c>
      <c r="J70" s="4">
        <f>40.9*1000</f>
        <v>40900</v>
      </c>
      <c r="K70" s="21">
        <f>40*1000</f>
        <v>40000</v>
      </c>
      <c r="L70" s="21">
        <f>43.5*1000</f>
        <v>43500</v>
      </c>
      <c r="M70" s="21">
        <f>50.1*1000</f>
        <v>50100</v>
      </c>
      <c r="N70" s="21">
        <v>48583</v>
      </c>
      <c r="O70" s="21">
        <v>287013</v>
      </c>
      <c r="P70" s="21">
        <v>165824</v>
      </c>
      <c r="Q70" s="21">
        <v>173511</v>
      </c>
      <c r="R70" s="21">
        <v>184496</v>
      </c>
      <c r="S70" s="21">
        <v>196198</v>
      </c>
      <c r="T70" s="21">
        <v>188500</v>
      </c>
      <c r="U70" s="21">
        <v>77983</v>
      </c>
      <c r="V70" s="21">
        <v>90216</v>
      </c>
      <c r="W70" s="21">
        <v>108305</v>
      </c>
      <c r="X70" s="21">
        <v>96749</v>
      </c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19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</row>
    <row r="71" spans="2:51" s="4" customFormat="1">
      <c r="B71" s="4" t="s">
        <v>49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>
        <v>3448</v>
      </c>
      <c r="O71" s="21">
        <v>10257</v>
      </c>
      <c r="P71" s="21">
        <v>17112</v>
      </c>
      <c r="Q71" s="21">
        <v>13182</v>
      </c>
      <c r="R71" s="21">
        <v>13296</v>
      </c>
      <c r="S71" s="21">
        <v>13281</v>
      </c>
      <c r="T71" s="21">
        <v>11444</v>
      </c>
      <c r="U71" s="21">
        <v>11444</v>
      </c>
      <c r="V71" s="21">
        <v>11444</v>
      </c>
      <c r="W71" s="21">
        <v>11444</v>
      </c>
      <c r="X71" s="21">
        <v>11444</v>
      </c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</row>
    <row r="72" spans="2:51" s="4" customFormat="1">
      <c r="B72" s="4" t="s">
        <v>50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>
        <v>6993</v>
      </c>
      <c r="O72" s="21">
        <v>6385</v>
      </c>
      <c r="P72" s="21">
        <v>7234</v>
      </c>
      <c r="Q72" s="21">
        <v>8829</v>
      </c>
      <c r="R72" s="21">
        <v>9461</v>
      </c>
      <c r="S72" s="21">
        <v>10137</v>
      </c>
      <c r="T72" s="21">
        <v>10747</v>
      </c>
      <c r="U72" s="21">
        <v>11951</v>
      </c>
      <c r="V72" s="21">
        <v>12408</v>
      </c>
      <c r="W72" s="21">
        <v>13643</v>
      </c>
      <c r="X72" s="21">
        <v>16059</v>
      </c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</row>
    <row r="73" spans="2:51" s="4" customFormat="1">
      <c r="B73" s="4" t="s">
        <v>51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>
        <v>4928</v>
      </c>
      <c r="O73" s="21">
        <v>3652</v>
      </c>
      <c r="P73" s="21">
        <v>5628</v>
      </c>
      <c r="Q73" s="21">
        <v>5752</v>
      </c>
      <c r="R73" s="21">
        <v>4252</v>
      </c>
      <c r="S73" s="21">
        <v>3061</v>
      </c>
      <c r="T73" s="21">
        <v>5548</v>
      </c>
      <c r="U73" s="21">
        <v>5907</v>
      </c>
      <c r="V73" s="21">
        <v>4948</v>
      </c>
      <c r="W73" s="21">
        <v>3774</v>
      </c>
      <c r="X73" s="21">
        <v>6768</v>
      </c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</row>
    <row r="74" spans="2:51" s="4" customFormat="1">
      <c r="B74" s="4" t="s">
        <v>98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>
        <v>6197</v>
      </c>
      <c r="O74" s="21">
        <v>16926</v>
      </c>
      <c r="P74" s="21">
        <v>13681</v>
      </c>
      <c r="Q74" s="21">
        <v>21817</v>
      </c>
      <c r="R74" s="21">
        <v>15167</v>
      </c>
      <c r="S74" s="21">
        <v>26725</v>
      </c>
      <c r="T74" s="21">
        <v>21944</v>
      </c>
      <c r="U74" s="21">
        <v>25558</v>
      </c>
      <c r="V74" s="21">
        <v>25328</v>
      </c>
      <c r="W74" s="21">
        <v>33710</v>
      </c>
      <c r="X74" s="21">
        <v>31768</v>
      </c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</row>
    <row r="75" spans="2:51" s="5" customFormat="1">
      <c r="B75" s="5" t="s">
        <v>52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>
        <f t="shared" ref="N75:V75" si="292">+SUM(N70:N74)</f>
        <v>70149</v>
      </c>
      <c r="O75" s="19">
        <f t="shared" si="292"/>
        <v>324233</v>
      </c>
      <c r="P75" s="19">
        <f t="shared" si="292"/>
        <v>209479</v>
      </c>
      <c r="Q75" s="19">
        <f t="shared" si="292"/>
        <v>223091</v>
      </c>
      <c r="R75" s="19">
        <f t="shared" si="292"/>
        <v>226672</v>
      </c>
      <c r="S75" s="19">
        <f t="shared" si="292"/>
        <v>249402</v>
      </c>
      <c r="T75" s="19">
        <f t="shared" si="292"/>
        <v>238183</v>
      </c>
      <c r="U75" s="19">
        <f t="shared" si="292"/>
        <v>132843</v>
      </c>
      <c r="V75" s="19">
        <f t="shared" si="292"/>
        <v>144344</v>
      </c>
      <c r="W75" s="19">
        <f t="shared" ref="W75:X75" si="293">+SUM(W70:W74)</f>
        <v>170876</v>
      </c>
      <c r="X75" s="19">
        <f t="shared" si="293"/>
        <v>162788</v>
      </c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</row>
    <row r="76" spans="2:51" s="4" customFormat="1">
      <c r="B76" s="4" t="s">
        <v>53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>
        <v>54503</v>
      </c>
      <c r="O76" s="21">
        <v>57314</v>
      </c>
      <c r="P76" s="21">
        <v>60854</v>
      </c>
      <c r="Q76" s="21">
        <v>63236</v>
      </c>
      <c r="R76" s="21">
        <v>66851</v>
      </c>
      <c r="S76" s="21">
        <v>71518</v>
      </c>
      <c r="T76" s="21">
        <v>78570</v>
      </c>
      <c r="U76" s="21">
        <v>84344</v>
      </c>
      <c r="V76" s="21">
        <v>91292</v>
      </c>
      <c r="W76" s="21">
        <v>99345</v>
      </c>
      <c r="X76" s="21">
        <v>107738</v>
      </c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</row>
    <row r="77" spans="2:51" s="4" customFormat="1">
      <c r="B77" s="4" t="s">
        <v>181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>
        <v>55379</v>
      </c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</row>
    <row r="78" spans="2:51" s="4" customFormat="1">
      <c r="B78" s="4" t="s">
        <v>54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>
        <v>56877</v>
      </c>
      <c r="O78" s="21">
        <v>56877</v>
      </c>
      <c r="P78" s="21">
        <v>56877</v>
      </c>
      <c r="Q78" s="21">
        <v>58570</v>
      </c>
      <c r="R78" s="21">
        <v>62514</v>
      </c>
      <c r="S78" s="21">
        <v>62514</v>
      </c>
      <c r="T78" s="21">
        <v>65175</v>
      </c>
      <c r="U78" s="21">
        <v>65175</v>
      </c>
      <c r="V78" s="21">
        <v>67708</v>
      </c>
      <c r="W78" s="21">
        <v>67708</v>
      </c>
      <c r="X78" s="21">
        <v>68733</v>
      </c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</row>
    <row r="79" spans="2:51" s="4" customFormat="1">
      <c r="B79" s="4" t="s">
        <v>55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>
        <v>32700</v>
      </c>
      <c r="O79" s="21">
        <v>32700</v>
      </c>
      <c r="P79" s="21">
        <v>32700</v>
      </c>
      <c r="Q79" s="21">
        <v>32700</v>
      </c>
      <c r="R79" s="21">
        <v>32700</v>
      </c>
      <c r="S79" s="21">
        <v>32700</v>
      </c>
      <c r="T79" s="21">
        <v>32700</v>
      </c>
      <c r="U79" s="21">
        <v>32700</v>
      </c>
      <c r="V79" s="21">
        <v>32700</v>
      </c>
      <c r="W79" s="21">
        <v>32700</v>
      </c>
      <c r="X79" s="21">
        <v>32700</v>
      </c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</row>
    <row r="80" spans="2:51" s="4" customFormat="1">
      <c r="B80" s="4" t="s">
        <v>56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>
        <v>10302</v>
      </c>
      <c r="O80" s="21">
        <v>9981</v>
      </c>
      <c r="P80" s="21">
        <v>9660</v>
      </c>
      <c r="Q80" s="21">
        <v>9339</v>
      </c>
      <c r="R80" s="21">
        <v>9015</v>
      </c>
      <c r="S80" s="21">
        <v>8696</v>
      </c>
      <c r="T80" s="21">
        <v>8378</v>
      </c>
      <c r="U80" s="21">
        <v>8059</v>
      </c>
      <c r="V80" s="21">
        <v>7740</v>
      </c>
      <c r="W80" s="21">
        <v>7424</v>
      </c>
      <c r="X80" s="21">
        <v>7108</v>
      </c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</row>
    <row r="81" spans="2:51" s="4" customFormat="1">
      <c r="B81" s="4" t="s">
        <v>57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>
        <v>24672</v>
      </c>
      <c r="O81" s="21">
        <v>26191</v>
      </c>
      <c r="P81" s="21">
        <v>25791</v>
      </c>
      <c r="Q81" s="21">
        <v>24100</v>
      </c>
      <c r="R81" s="21">
        <v>26438</v>
      </c>
      <c r="S81" s="21">
        <v>26467</v>
      </c>
      <c r="T81" s="21">
        <v>28211</v>
      </c>
      <c r="U81" s="21">
        <v>28555</v>
      </c>
      <c r="V81" s="21">
        <v>34041</v>
      </c>
      <c r="W81" s="21">
        <v>34198</v>
      </c>
      <c r="X81" s="21">
        <v>17375</v>
      </c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</row>
    <row r="82" spans="2:51" s="5" customFormat="1">
      <c r="B82" s="5" t="s">
        <v>46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>
        <f t="shared" ref="N82:V82" si="294">+SUM(N75:N81)</f>
        <v>249203</v>
      </c>
      <c r="O82" s="19">
        <f t="shared" si="294"/>
        <v>507296</v>
      </c>
      <c r="P82" s="19">
        <f t="shared" si="294"/>
        <v>395361</v>
      </c>
      <c r="Q82" s="19">
        <f t="shared" si="294"/>
        <v>411036</v>
      </c>
      <c r="R82" s="19">
        <f t="shared" si="294"/>
        <v>424190</v>
      </c>
      <c r="S82" s="19">
        <f t="shared" si="294"/>
        <v>451297</v>
      </c>
      <c r="T82" s="19">
        <f t="shared" si="294"/>
        <v>451217</v>
      </c>
      <c r="U82" s="19">
        <f t="shared" si="294"/>
        <v>351676</v>
      </c>
      <c r="V82" s="19">
        <f t="shared" si="294"/>
        <v>377825</v>
      </c>
      <c r="W82" s="19">
        <f t="shared" ref="W82:X82" si="295">+SUM(W75:W81)</f>
        <v>412251</v>
      </c>
      <c r="X82" s="19">
        <f t="shared" si="295"/>
        <v>451821</v>
      </c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</row>
    <row r="83" spans="2:51" s="4" customFormat="1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</row>
    <row r="84" spans="2:51" s="4" customFormat="1">
      <c r="B84" s="4" t="s">
        <v>58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>
        <v>5414</v>
      </c>
      <c r="O84" s="21">
        <v>4931</v>
      </c>
      <c r="P84" s="21">
        <v>3121</v>
      </c>
      <c r="Q84" s="21">
        <v>3497</v>
      </c>
      <c r="R84" s="21">
        <v>5219</v>
      </c>
      <c r="S84" s="21">
        <v>6848</v>
      </c>
      <c r="T84" s="21">
        <v>6112</v>
      </c>
      <c r="U84" s="21">
        <v>5104</v>
      </c>
      <c r="V84" s="21">
        <v>4725</v>
      </c>
      <c r="W84" s="21">
        <v>6444</v>
      </c>
      <c r="X84" s="21">
        <v>5752</v>
      </c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</row>
    <row r="85" spans="2:51" s="4" customFormat="1">
      <c r="B85" s="4" t="s">
        <v>59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>
        <v>28070</v>
      </c>
      <c r="O85" s="21">
        <v>120149</v>
      </c>
      <c r="P85" s="21">
        <v>29188</v>
      </c>
      <c r="Q85" s="21">
        <v>28041</v>
      </c>
      <c r="R85" s="21">
        <v>34726</v>
      </c>
      <c r="S85" s="21">
        <v>38438</v>
      </c>
      <c r="T85" s="21">
        <v>30732</v>
      </c>
      <c r="U85" s="21">
        <v>36670</v>
      </c>
      <c r="V85" s="21">
        <v>40951</v>
      </c>
      <c r="W85" s="21">
        <v>38675</v>
      </c>
      <c r="X85" s="21">
        <v>42955</v>
      </c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</row>
    <row r="86" spans="2:51" s="4" customFormat="1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>
        <v>4061</v>
      </c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</row>
    <row r="87" spans="2:51" s="4" customFormat="1">
      <c r="B87" s="4" t="s">
        <v>69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>
        <v>24512</v>
      </c>
      <c r="P87" s="21"/>
      <c r="Q87" s="21"/>
      <c r="R87" s="21"/>
      <c r="S87" s="21">
        <v>0</v>
      </c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</row>
    <row r="88" spans="2:51" s="4" customFormat="1">
      <c r="B88" s="4" t="s">
        <v>4</v>
      </c>
      <c r="C88" s="21">
        <f>3.2*1000</f>
        <v>3200</v>
      </c>
      <c r="D88" s="21">
        <f>3.2*1000</f>
        <v>3200</v>
      </c>
      <c r="E88" s="21">
        <v>8200</v>
      </c>
      <c r="F88" s="21">
        <f>3.2*1000</f>
        <v>3200</v>
      </c>
      <c r="G88" s="21">
        <v>16000</v>
      </c>
      <c r="H88" s="21">
        <v>16000</v>
      </c>
      <c r="I88" s="21">
        <v>16000</v>
      </c>
      <c r="J88" s="4">
        <f>3.6*1000</f>
        <v>3600</v>
      </c>
      <c r="K88" s="21">
        <v>4800</v>
      </c>
      <c r="L88" s="21">
        <v>1200</v>
      </c>
      <c r="M88" s="21">
        <v>0</v>
      </c>
      <c r="N88" s="21">
        <v>0</v>
      </c>
      <c r="O88" s="21">
        <v>4850</v>
      </c>
      <c r="P88" s="21">
        <v>6675</v>
      </c>
      <c r="Q88" s="21">
        <v>7300</v>
      </c>
      <c r="R88" s="21">
        <v>7300</v>
      </c>
      <c r="S88" s="21">
        <v>7300</v>
      </c>
      <c r="T88" s="21">
        <v>0</v>
      </c>
      <c r="U88" s="21">
        <v>0</v>
      </c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</row>
    <row r="89" spans="2:51" s="4" customFormat="1">
      <c r="B89" s="4" t="s">
        <v>60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>
        <v>6197</v>
      </c>
      <c r="O89" s="21">
        <v>16926</v>
      </c>
      <c r="P89" s="21">
        <v>13681</v>
      </c>
      <c r="Q89" s="21">
        <v>21817</v>
      </c>
      <c r="R89" s="21">
        <v>15167</v>
      </c>
      <c r="S89" s="21">
        <v>26725</v>
      </c>
      <c r="T89" s="21">
        <v>21944</v>
      </c>
      <c r="U89" s="21">
        <v>25558</v>
      </c>
      <c r="V89" s="21">
        <v>25328</v>
      </c>
      <c r="W89" s="21">
        <v>33710</v>
      </c>
      <c r="X89" s="21">
        <v>31768</v>
      </c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</row>
    <row r="90" spans="2:51" s="5" customFormat="1">
      <c r="B90" s="5" t="s">
        <v>61</v>
      </c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>
        <f t="shared" ref="N90:V90" si="296">+SUM(N84:N89)</f>
        <v>39681</v>
      </c>
      <c r="O90" s="19">
        <f t="shared" si="296"/>
        <v>171368</v>
      </c>
      <c r="P90" s="19">
        <f t="shared" si="296"/>
        <v>52665</v>
      </c>
      <c r="Q90" s="19">
        <f t="shared" si="296"/>
        <v>60655</v>
      </c>
      <c r="R90" s="19">
        <f t="shared" si="296"/>
        <v>62412</v>
      </c>
      <c r="S90" s="19">
        <f t="shared" si="296"/>
        <v>79311</v>
      </c>
      <c r="T90" s="19">
        <f t="shared" si="296"/>
        <v>58788</v>
      </c>
      <c r="U90" s="19">
        <f t="shared" si="296"/>
        <v>67332</v>
      </c>
      <c r="V90" s="19">
        <f t="shared" si="296"/>
        <v>71004</v>
      </c>
      <c r="W90" s="19">
        <f t="shared" ref="W90:X90" si="297">+SUM(W84:W89)</f>
        <v>78829</v>
      </c>
      <c r="X90" s="19">
        <f t="shared" si="297"/>
        <v>84536</v>
      </c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</row>
    <row r="91" spans="2:51" s="4" customFormat="1">
      <c r="B91" s="4" t="s">
        <v>62</v>
      </c>
      <c r="C91" s="21">
        <v>308900</v>
      </c>
      <c r="D91" s="21">
        <v>308500</v>
      </c>
      <c r="E91" s="21">
        <v>308100</v>
      </c>
      <c r="F91" s="21">
        <f>307.7*1000</f>
        <v>307700</v>
      </c>
      <c r="G91" s="21">
        <v>310500</v>
      </c>
      <c r="H91" s="21">
        <v>311200</v>
      </c>
      <c r="I91" s="21">
        <v>466100</v>
      </c>
      <c r="J91" s="21">
        <f>466.9*1000</f>
        <v>466900</v>
      </c>
      <c r="K91" s="21">
        <v>466100</v>
      </c>
      <c r="L91" s="21">
        <v>468800</v>
      </c>
      <c r="M91" s="21">
        <v>469100</v>
      </c>
      <c r="N91" s="28">
        <v>469394</v>
      </c>
      <c r="O91" s="28">
        <v>710918</v>
      </c>
      <c r="P91" s="28">
        <v>709546</v>
      </c>
      <c r="Q91" s="28">
        <v>708176</v>
      </c>
      <c r="R91" s="28">
        <v>706846</v>
      </c>
      <c r="S91" s="28">
        <v>705483</v>
      </c>
      <c r="T91" s="28">
        <v>711411</v>
      </c>
      <c r="U91" s="28">
        <v>711867</v>
      </c>
      <c r="V91" s="21">
        <v>712327</v>
      </c>
      <c r="W91" s="21">
        <v>712790</v>
      </c>
      <c r="X91" s="21">
        <v>713258</v>
      </c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</row>
    <row r="92" spans="2:51" s="4" customFormat="1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8"/>
      <c r="O92" s="28"/>
      <c r="P92" s="28"/>
      <c r="Q92" s="28"/>
      <c r="R92" s="28"/>
      <c r="S92" s="28"/>
      <c r="T92" s="28"/>
      <c r="U92" s="28"/>
      <c r="V92" s="21"/>
      <c r="W92" s="21"/>
      <c r="X92" s="21">
        <v>53943</v>
      </c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</row>
    <row r="93" spans="2:51" s="4" customFormat="1">
      <c r="B93" s="4" t="s">
        <v>63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>
        <v>28024</v>
      </c>
      <c r="O93" s="21">
        <v>26893</v>
      </c>
      <c r="P93" s="21">
        <v>27056</v>
      </c>
      <c r="Q93" s="21">
        <v>26942</v>
      </c>
      <c r="R93" s="21">
        <v>27052</v>
      </c>
      <c r="S93" s="21">
        <v>27667</v>
      </c>
      <c r="T93" s="21">
        <v>28296</v>
      </c>
      <c r="U93" s="21">
        <v>28769</v>
      </c>
      <c r="V93" s="21">
        <v>30145</v>
      </c>
      <c r="W93" s="21">
        <v>31543</v>
      </c>
      <c r="X93" s="21">
        <v>32928</v>
      </c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</row>
    <row r="94" spans="2:51" s="4" customFormat="1">
      <c r="B94" s="4" t="s">
        <v>64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>
        <v>7432</v>
      </c>
      <c r="O94" s="21">
        <v>6942</v>
      </c>
      <c r="P94" s="21">
        <v>5898</v>
      </c>
      <c r="Q94" s="21">
        <v>6757</v>
      </c>
      <c r="R94" s="21">
        <v>4180</v>
      </c>
      <c r="S94" s="21">
        <v>3380</v>
      </c>
      <c r="T94" s="21">
        <v>3150</v>
      </c>
      <c r="U94" s="21">
        <v>2980</v>
      </c>
      <c r="V94" s="21">
        <v>3721</v>
      </c>
      <c r="W94" s="21">
        <v>5634</v>
      </c>
      <c r="X94" s="21">
        <v>4626</v>
      </c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</row>
    <row r="95" spans="2:51" s="4" customFormat="1">
      <c r="B95" s="4" t="s">
        <v>65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>
        <v>14197</v>
      </c>
      <c r="O95" s="21">
        <v>15402</v>
      </c>
      <c r="P95" s="21">
        <v>15666</v>
      </c>
      <c r="Q95" s="21">
        <v>15102</v>
      </c>
      <c r="R95" s="21">
        <v>14561</v>
      </c>
      <c r="S95" s="21">
        <v>15246</v>
      </c>
      <c r="T95" s="21">
        <v>14923</v>
      </c>
      <c r="U95" s="21">
        <v>16170</v>
      </c>
      <c r="V95" s="21">
        <v>17994</v>
      </c>
      <c r="W95" s="21">
        <v>17834</v>
      </c>
      <c r="X95" s="21">
        <v>71</v>
      </c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</row>
    <row r="96" spans="2:51" s="4" customFormat="1">
      <c r="B96" s="4" t="s">
        <v>66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>
        <f t="shared" ref="N96:V96" si="298">+SUM(N90:N95)</f>
        <v>558728</v>
      </c>
      <c r="O96" s="21">
        <f t="shared" si="298"/>
        <v>931523</v>
      </c>
      <c r="P96" s="21">
        <f t="shared" si="298"/>
        <v>810831</v>
      </c>
      <c r="Q96" s="21">
        <f t="shared" si="298"/>
        <v>817632</v>
      </c>
      <c r="R96" s="21">
        <f t="shared" si="298"/>
        <v>815051</v>
      </c>
      <c r="S96" s="21">
        <f t="shared" si="298"/>
        <v>831087</v>
      </c>
      <c r="T96" s="21">
        <f t="shared" si="298"/>
        <v>816568</v>
      </c>
      <c r="U96" s="21">
        <f t="shared" si="298"/>
        <v>827118</v>
      </c>
      <c r="V96" s="21">
        <f t="shared" si="298"/>
        <v>835191</v>
      </c>
      <c r="W96" s="21">
        <f t="shared" ref="W96:X96" si="299">+SUM(W90:W95)</f>
        <v>846630</v>
      </c>
      <c r="X96" s="21">
        <f t="shared" si="299"/>
        <v>889362</v>
      </c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</row>
    <row r="97" spans="2:51" s="4" customFormat="1">
      <c r="B97" s="4" t="s">
        <v>67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>
        <v>-309525</v>
      </c>
      <c r="O97" s="21">
        <v>-424227</v>
      </c>
      <c r="P97" s="21">
        <v>-415470</v>
      </c>
      <c r="Q97" s="21">
        <v>-406596</v>
      </c>
      <c r="R97" s="21">
        <v>-390861</v>
      </c>
      <c r="S97" s="21">
        <v>-379790</v>
      </c>
      <c r="T97" s="21">
        <v>-365351</v>
      </c>
      <c r="U97" s="21">
        <v>-475442</v>
      </c>
      <c r="V97" s="21">
        <v>-457366</v>
      </c>
      <c r="W97" s="21">
        <v>-434379</v>
      </c>
      <c r="X97" s="21">
        <v>-437541</v>
      </c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</row>
    <row r="98" spans="2:51" s="5" customFormat="1">
      <c r="B98" s="5" t="s">
        <v>68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>
        <f t="shared" ref="N98:V98" si="300">+SUM(N96:N97)</f>
        <v>249203</v>
      </c>
      <c r="O98" s="19">
        <f t="shared" si="300"/>
        <v>507296</v>
      </c>
      <c r="P98" s="19">
        <f t="shared" si="300"/>
        <v>395361</v>
      </c>
      <c r="Q98" s="19">
        <f t="shared" si="300"/>
        <v>411036</v>
      </c>
      <c r="R98" s="19">
        <f t="shared" si="300"/>
        <v>424190</v>
      </c>
      <c r="S98" s="19">
        <f t="shared" si="300"/>
        <v>451297</v>
      </c>
      <c r="T98" s="19">
        <f t="shared" si="300"/>
        <v>451217</v>
      </c>
      <c r="U98" s="19">
        <f t="shared" si="300"/>
        <v>351676</v>
      </c>
      <c r="V98" s="19">
        <f t="shared" si="300"/>
        <v>377825</v>
      </c>
      <c r="W98" s="19">
        <f t="shared" ref="W98:X98" si="301">+SUM(W96:W97)</f>
        <v>412251</v>
      </c>
      <c r="X98" s="19">
        <f t="shared" si="301"/>
        <v>451821</v>
      </c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</row>
    <row r="99" spans="2:51" s="4" customFormat="1">
      <c r="C99" s="21" t="str">
        <f t="shared" ref="C99:Q99" si="302">+IF(C98-C82=0,"","no")</f>
        <v/>
      </c>
      <c r="D99" s="21" t="str">
        <f t="shared" si="302"/>
        <v/>
      </c>
      <c r="E99" s="21" t="str">
        <f t="shared" si="302"/>
        <v/>
      </c>
      <c r="F99" s="21" t="str">
        <f t="shared" si="302"/>
        <v/>
      </c>
      <c r="G99" s="21" t="str">
        <f t="shared" si="302"/>
        <v/>
      </c>
      <c r="H99" s="21" t="str">
        <f t="shared" si="302"/>
        <v/>
      </c>
      <c r="I99" s="21" t="str">
        <f t="shared" si="302"/>
        <v/>
      </c>
      <c r="J99" s="21" t="str">
        <f t="shared" si="302"/>
        <v/>
      </c>
      <c r="K99" s="21" t="str">
        <f t="shared" si="302"/>
        <v/>
      </c>
      <c r="L99" s="21" t="str">
        <f t="shared" si="302"/>
        <v/>
      </c>
      <c r="M99" s="21" t="str">
        <f t="shared" si="302"/>
        <v/>
      </c>
      <c r="N99" s="21" t="str">
        <f t="shared" si="302"/>
        <v/>
      </c>
      <c r="O99" s="21"/>
      <c r="P99" s="21" t="str">
        <f t="shared" si="302"/>
        <v/>
      </c>
      <c r="Q99" s="21" t="str">
        <f t="shared" si="302"/>
        <v/>
      </c>
      <c r="R99" s="21" t="str">
        <f>+IF(R98-R82=0,"","no")</f>
        <v/>
      </c>
      <c r="S99" s="21" t="str">
        <f>+IF(S98-S82=0,"","no")</f>
        <v/>
      </c>
      <c r="T99" s="21" t="str">
        <f>+IF(T98-T82=0,"","no")</f>
        <v/>
      </c>
      <c r="U99" s="21" t="str">
        <f>+IF(U98-U82=0,"","no")</f>
        <v/>
      </c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</row>
    <row r="100" spans="2:51" s="4" customFormat="1">
      <c r="B100" s="12" t="s">
        <v>107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>
        <f>+O91-N91</f>
        <v>241524</v>
      </c>
      <c r="P100" s="21">
        <f>250000-SUM(O99:O100)</f>
        <v>8476</v>
      </c>
      <c r="Q100" s="21"/>
      <c r="R100" s="21"/>
      <c r="S100" s="21"/>
      <c r="T100" s="21" t="s">
        <v>106</v>
      </c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</row>
    <row r="101" spans="2:51" s="4" customFormat="1">
      <c r="B101" s="4" t="s">
        <v>108</v>
      </c>
      <c r="C101" s="21">
        <f>+IFERROR(C91+C88,0)</f>
        <v>312100</v>
      </c>
      <c r="D101" s="21">
        <f t="shared" ref="D101:U101" si="303">+IFERROR(D91+D88,0)</f>
        <v>311700</v>
      </c>
      <c r="E101" s="21">
        <f t="shared" si="303"/>
        <v>316300</v>
      </c>
      <c r="F101" s="21">
        <f t="shared" si="303"/>
        <v>310900</v>
      </c>
      <c r="G101" s="21">
        <f t="shared" si="303"/>
        <v>326500</v>
      </c>
      <c r="H101" s="21">
        <f t="shared" si="303"/>
        <v>327200</v>
      </c>
      <c r="I101" s="21">
        <f t="shared" si="303"/>
        <v>482100</v>
      </c>
      <c r="J101" s="21"/>
      <c r="K101" s="21">
        <f t="shared" si="303"/>
        <v>470900</v>
      </c>
      <c r="L101" s="21">
        <f t="shared" si="303"/>
        <v>470000</v>
      </c>
      <c r="M101" s="21">
        <f t="shared" si="303"/>
        <v>469100</v>
      </c>
      <c r="N101" s="21">
        <f t="shared" si="303"/>
        <v>469394</v>
      </c>
      <c r="O101" s="21">
        <f t="shared" si="303"/>
        <v>715768</v>
      </c>
      <c r="P101" s="21">
        <f t="shared" si="303"/>
        <v>716221</v>
      </c>
      <c r="Q101" s="21">
        <f t="shared" si="303"/>
        <v>715476</v>
      </c>
      <c r="R101" s="21">
        <f t="shared" si="303"/>
        <v>714146</v>
      </c>
      <c r="S101" s="21">
        <f t="shared" si="303"/>
        <v>712783</v>
      </c>
      <c r="T101" s="21">
        <f t="shared" si="303"/>
        <v>711411</v>
      </c>
      <c r="U101" s="21">
        <f t="shared" si="303"/>
        <v>711867</v>
      </c>
      <c r="V101" s="21">
        <f t="shared" ref="V101:W101" si="304">+IFERROR(V91+V88,0)</f>
        <v>712327</v>
      </c>
      <c r="W101" s="21">
        <f t="shared" si="304"/>
        <v>712790</v>
      </c>
      <c r="X101" s="21">
        <f t="shared" ref="X101" si="305">+IFERROR(X91+X88,0)</f>
        <v>713258</v>
      </c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</row>
    <row r="102" spans="2:51" s="4" customFormat="1">
      <c r="B102" s="4" t="s">
        <v>3</v>
      </c>
      <c r="C102" s="21">
        <f>+C70</f>
        <v>34400</v>
      </c>
      <c r="D102" s="21">
        <f t="shared" ref="D102:U102" si="306">+D70</f>
        <v>17100</v>
      </c>
      <c r="E102" s="21">
        <f t="shared" si="306"/>
        <v>9500</v>
      </c>
      <c r="F102" s="21">
        <f t="shared" si="306"/>
        <v>12800</v>
      </c>
      <c r="G102" s="21">
        <f t="shared" si="306"/>
        <v>31000</v>
      </c>
      <c r="H102" s="21">
        <f t="shared" si="306"/>
        <v>45800</v>
      </c>
      <c r="I102" s="21">
        <f t="shared" si="306"/>
        <v>48200</v>
      </c>
      <c r="J102" s="21">
        <f>+K70</f>
        <v>40000</v>
      </c>
      <c r="K102" s="21">
        <f>+L70</f>
        <v>43500</v>
      </c>
      <c r="L102" s="21">
        <f>+M70</f>
        <v>50100</v>
      </c>
      <c r="M102" s="21">
        <f>+N70</f>
        <v>48583</v>
      </c>
      <c r="N102" s="21">
        <f t="shared" si="306"/>
        <v>48583</v>
      </c>
      <c r="O102" s="21">
        <f t="shared" si="306"/>
        <v>287013</v>
      </c>
      <c r="P102" s="21">
        <f t="shared" si="306"/>
        <v>165824</v>
      </c>
      <c r="Q102" s="21">
        <f t="shared" si="306"/>
        <v>173511</v>
      </c>
      <c r="R102" s="21">
        <f t="shared" si="306"/>
        <v>184496</v>
      </c>
      <c r="S102" s="21">
        <f t="shared" si="306"/>
        <v>196198</v>
      </c>
      <c r="T102" s="21">
        <f t="shared" si="306"/>
        <v>188500</v>
      </c>
      <c r="U102" s="21">
        <f t="shared" si="306"/>
        <v>77983</v>
      </c>
      <c r="V102" s="21">
        <f t="shared" ref="V102:W102" si="307">+V70</f>
        <v>90216</v>
      </c>
      <c r="W102" s="21">
        <f t="shared" si="307"/>
        <v>108305</v>
      </c>
      <c r="X102" s="21">
        <f t="shared" ref="X102" si="308">+X70</f>
        <v>96749</v>
      </c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</row>
    <row r="103" spans="2:51" s="4" customFormat="1">
      <c r="B103" s="4" t="s">
        <v>109</v>
      </c>
      <c r="C103" s="21">
        <f>+IFERROR(C101-C102,0)</f>
        <v>277700</v>
      </c>
      <c r="D103" s="21">
        <f t="shared" ref="D103:U103" si="309">+IFERROR(D101-D102,0)</f>
        <v>294600</v>
      </c>
      <c r="E103" s="21">
        <f t="shared" si="309"/>
        <v>306800</v>
      </c>
      <c r="F103" s="21">
        <f t="shared" si="309"/>
        <v>298100</v>
      </c>
      <c r="G103" s="21">
        <f t="shared" si="309"/>
        <v>295500</v>
      </c>
      <c r="H103" s="21">
        <f t="shared" si="309"/>
        <v>281400</v>
      </c>
      <c r="I103" s="21">
        <f t="shared" si="309"/>
        <v>433900</v>
      </c>
      <c r="J103" s="21">
        <f t="shared" si="309"/>
        <v>-40000</v>
      </c>
      <c r="K103" s="21">
        <f t="shared" si="309"/>
        <v>427400</v>
      </c>
      <c r="L103" s="21">
        <f t="shared" si="309"/>
        <v>419900</v>
      </c>
      <c r="M103" s="21">
        <f t="shared" si="309"/>
        <v>420517</v>
      </c>
      <c r="N103" s="21">
        <f t="shared" si="309"/>
        <v>420811</v>
      </c>
      <c r="O103" s="21">
        <f t="shared" si="309"/>
        <v>428755</v>
      </c>
      <c r="P103" s="21">
        <f t="shared" si="309"/>
        <v>550397</v>
      </c>
      <c r="Q103" s="21">
        <f t="shared" si="309"/>
        <v>541965</v>
      </c>
      <c r="R103" s="21">
        <f t="shared" si="309"/>
        <v>529650</v>
      </c>
      <c r="S103" s="21">
        <f t="shared" si="309"/>
        <v>516585</v>
      </c>
      <c r="T103" s="21">
        <f t="shared" si="309"/>
        <v>522911</v>
      </c>
      <c r="U103" s="21">
        <f t="shared" si="309"/>
        <v>633884</v>
      </c>
      <c r="V103" s="21">
        <f t="shared" ref="V103:W103" si="310">+IFERROR(V101-V102,0)</f>
        <v>622111</v>
      </c>
      <c r="W103" s="21">
        <f t="shared" si="310"/>
        <v>604485</v>
      </c>
      <c r="X103" s="21">
        <f t="shared" ref="X103" si="311">+IFERROR(X101-X102,0)</f>
        <v>616509</v>
      </c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</row>
    <row r="104" spans="2:51" s="4" customFormat="1">
      <c r="B104" s="4" t="s">
        <v>110</v>
      </c>
      <c r="C104" s="29">
        <f t="shared" ref="C104:U104" si="312">+IFERROR(C103/C35,0)</f>
        <v>9.370044201504875</v>
      </c>
      <c r="D104" s="29">
        <f t="shared" si="312"/>
        <v>9.9302255030842357</v>
      </c>
      <c r="E104" s="29">
        <f t="shared" si="312"/>
        <v>10.33135775862069</v>
      </c>
      <c r="F104" s="29">
        <f t="shared" si="312"/>
        <v>10.033996432057625</v>
      </c>
      <c r="G104" s="29">
        <f t="shared" si="312"/>
        <v>30.332580578936565</v>
      </c>
      <c r="H104" s="29">
        <f t="shared" si="312"/>
        <v>9.4451716846239044</v>
      </c>
      <c r="I104" s="29">
        <f t="shared" si="312"/>
        <v>14.534065786829236</v>
      </c>
      <c r="J104" s="29">
        <f t="shared" si="312"/>
        <v>-1.3402579996649355</v>
      </c>
      <c r="K104" s="29">
        <f t="shared" si="312"/>
        <v>14.321136576866373</v>
      </c>
      <c r="L104" s="29">
        <f t="shared" si="312"/>
        <v>14.05617112442674</v>
      </c>
      <c r="M104" s="29">
        <f t="shared" si="312"/>
        <v>14.034542602543137</v>
      </c>
      <c r="N104" s="29">
        <f t="shared" si="312"/>
        <v>13.761573733939889</v>
      </c>
      <c r="O104" s="29">
        <f t="shared" si="312"/>
        <v>14.304230332955228</v>
      </c>
      <c r="P104" s="29">
        <f t="shared" si="312"/>
        <v>18.399311359229792</v>
      </c>
      <c r="Q104" s="29">
        <f t="shared" si="312"/>
        <v>18.08539393332666</v>
      </c>
      <c r="R104" s="29">
        <f t="shared" si="312"/>
        <v>17.653234676532346</v>
      </c>
      <c r="S104" s="29">
        <f t="shared" si="312"/>
        <v>17.201724884286236</v>
      </c>
      <c r="T104" s="29">
        <f t="shared" si="312"/>
        <v>17.401943492295917</v>
      </c>
      <c r="U104" s="29">
        <f t="shared" si="312"/>
        <v>21.258434502649408</v>
      </c>
      <c r="V104" s="29">
        <f t="shared" ref="V104:W104" si="313">+IFERROR(V103/V35,0)</f>
        <v>20.863605875645582</v>
      </c>
      <c r="W104" s="29">
        <f t="shared" si="313"/>
        <v>20.506309790352127</v>
      </c>
      <c r="X104" s="29">
        <f t="shared" ref="X104" si="314">+IFERROR(X103/X35,0)</f>
        <v>20.929117018026275</v>
      </c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</row>
    <row r="105" spans="2:51" s="4" customFormat="1">
      <c r="B105" s="4" t="s">
        <v>111</v>
      </c>
      <c r="C105" s="21">
        <f>+C75-C90</f>
        <v>0</v>
      </c>
      <c r="D105" s="21">
        <f t="shared" ref="D105:U105" si="315">+D75-D90</f>
        <v>0</v>
      </c>
      <c r="E105" s="21">
        <f t="shared" si="315"/>
        <v>0</v>
      </c>
      <c r="F105" s="21">
        <f t="shared" si="315"/>
        <v>0</v>
      </c>
      <c r="G105" s="21">
        <f t="shared" si="315"/>
        <v>0</v>
      </c>
      <c r="H105" s="21">
        <f t="shared" si="315"/>
        <v>0</v>
      </c>
      <c r="I105" s="21">
        <f t="shared" si="315"/>
        <v>0</v>
      </c>
      <c r="J105" s="21">
        <f t="shared" si="315"/>
        <v>0</v>
      </c>
      <c r="K105" s="21">
        <f t="shared" si="315"/>
        <v>0</v>
      </c>
      <c r="L105" s="21">
        <f t="shared" si="315"/>
        <v>0</v>
      </c>
      <c r="M105" s="21">
        <f t="shared" si="315"/>
        <v>0</v>
      </c>
      <c r="N105" s="21">
        <f t="shared" si="315"/>
        <v>30468</v>
      </c>
      <c r="O105" s="21">
        <f t="shared" si="315"/>
        <v>152865</v>
      </c>
      <c r="P105" s="21">
        <f t="shared" si="315"/>
        <v>156814</v>
      </c>
      <c r="Q105" s="21">
        <f t="shared" si="315"/>
        <v>162436</v>
      </c>
      <c r="R105" s="21">
        <f t="shared" si="315"/>
        <v>164260</v>
      </c>
      <c r="S105" s="21">
        <f t="shared" si="315"/>
        <v>170091</v>
      </c>
      <c r="T105" s="21">
        <f t="shared" si="315"/>
        <v>179395</v>
      </c>
      <c r="U105" s="21">
        <f t="shared" si="315"/>
        <v>65511</v>
      </c>
      <c r="V105" s="21">
        <f t="shared" ref="V105:W105" si="316">+V75-V90</f>
        <v>73340</v>
      </c>
      <c r="W105" s="21">
        <f t="shared" si="316"/>
        <v>92047</v>
      </c>
      <c r="X105" s="21">
        <f t="shared" ref="X105" si="317">+X75-X90</f>
        <v>78252</v>
      </c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</row>
    <row r="106" spans="2:51" s="4" customFormat="1">
      <c r="B106" s="4" t="s">
        <v>112</v>
      </c>
      <c r="C106" s="21">
        <f>+IFERROR((C75-D70-C70)-(C90-C88),0)</f>
        <v>-48300</v>
      </c>
      <c r="D106" s="21">
        <f>+IFERROR((D75-D71-#REF!)-(D90-D88),0)</f>
        <v>0</v>
      </c>
      <c r="E106" s="21">
        <f t="shared" ref="E106:U106" si="318">+IFERROR((E75-E71-E70)-(E90-E88),0)</f>
        <v>-1300</v>
      </c>
      <c r="F106" s="21">
        <f t="shared" si="318"/>
        <v>-9600</v>
      </c>
      <c r="G106" s="21">
        <f t="shared" si="318"/>
        <v>-15000</v>
      </c>
      <c r="H106" s="21">
        <f t="shared" si="318"/>
        <v>-29800</v>
      </c>
      <c r="I106" s="21">
        <f t="shared" si="318"/>
        <v>-32200</v>
      </c>
      <c r="J106" s="21">
        <f>+IFERROR((J75-J71-K70)-(J90-J91),0)</f>
        <v>426900</v>
      </c>
      <c r="K106" s="21">
        <f>+IFERROR((K75-K71-L70)-(K90-K88),0)</f>
        <v>-38700</v>
      </c>
      <c r="L106" s="21">
        <f>+IFERROR((L75-L71-M70)-(L90-L88),0)</f>
        <v>-48900</v>
      </c>
      <c r="M106" s="21">
        <f>+IFERROR((M75-M71-#REF!)-(M90-M88),0)</f>
        <v>0</v>
      </c>
      <c r="N106" s="21">
        <f t="shared" si="318"/>
        <v>-21563</v>
      </c>
      <c r="O106" s="21">
        <f t="shared" si="318"/>
        <v>-139555</v>
      </c>
      <c r="P106" s="21">
        <f t="shared" si="318"/>
        <v>-19447</v>
      </c>
      <c r="Q106" s="21">
        <f t="shared" si="318"/>
        <v>-16957</v>
      </c>
      <c r="R106" s="21">
        <f t="shared" si="318"/>
        <v>-26232</v>
      </c>
      <c r="S106" s="21">
        <f t="shared" si="318"/>
        <v>-32088</v>
      </c>
      <c r="T106" s="21">
        <f t="shared" si="318"/>
        <v>-20549</v>
      </c>
      <c r="U106" s="21">
        <f t="shared" si="318"/>
        <v>-23916</v>
      </c>
      <c r="V106" s="21">
        <f t="shared" ref="V106:W106" si="319">+IFERROR((V75-V71-V70)-(V90-V88),0)</f>
        <v>-28320</v>
      </c>
      <c r="W106" s="21">
        <f t="shared" si="319"/>
        <v>-27702</v>
      </c>
      <c r="X106" s="21">
        <f t="shared" ref="X106" si="320">+IFERROR((X75-X71-X70)-(X90-X88),0)</f>
        <v>-29941</v>
      </c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</row>
    <row r="107" spans="2:51" s="4" customFormat="1">
      <c r="B107" s="4" t="s">
        <v>113</v>
      </c>
      <c r="C107" s="21">
        <f>IFERROR(D70/C23*90,0)</f>
        <v>32.027136703223526</v>
      </c>
      <c r="D107" s="21">
        <f t="shared" ref="D107:U107" si="321">IFERROR(D71/D23*90,0)</f>
        <v>0</v>
      </c>
      <c r="E107" s="21">
        <f t="shared" si="321"/>
        <v>0</v>
      </c>
      <c r="F107" s="21">
        <f t="shared" si="321"/>
        <v>0</v>
      </c>
      <c r="G107" s="21">
        <f t="shared" si="321"/>
        <v>0</v>
      </c>
      <c r="H107" s="21">
        <f t="shared" si="321"/>
        <v>0</v>
      </c>
      <c r="I107" s="21">
        <f t="shared" si="321"/>
        <v>0</v>
      </c>
      <c r="J107" s="21">
        <f t="shared" si="321"/>
        <v>0</v>
      </c>
      <c r="K107" s="21">
        <f t="shared" si="321"/>
        <v>0</v>
      </c>
      <c r="L107" s="21">
        <f t="shared" si="321"/>
        <v>0</v>
      </c>
      <c r="M107" s="21">
        <f t="shared" si="321"/>
        <v>0</v>
      </c>
      <c r="N107" s="21">
        <f t="shared" si="321"/>
        <v>4.3083245404564892</v>
      </c>
      <c r="O107" s="21">
        <f t="shared" si="321"/>
        <v>12.113772062200642</v>
      </c>
      <c r="P107" s="21">
        <f t="shared" si="321"/>
        <v>18.383088437160556</v>
      </c>
      <c r="Q107" s="21">
        <f t="shared" si="321"/>
        <v>12.801925069060776</v>
      </c>
      <c r="R107" s="21">
        <f t="shared" si="321"/>
        <v>11.411025394070585</v>
      </c>
      <c r="S107" s="21">
        <f t="shared" si="321"/>
        <v>10.994104174906411</v>
      </c>
      <c r="T107" s="21">
        <f t="shared" si="321"/>
        <v>9.6102563145568372</v>
      </c>
      <c r="U107" s="21">
        <f t="shared" si="321"/>
        <v>8.7952589151523437</v>
      </c>
      <c r="V107" s="21">
        <f t="shared" ref="V107:W107" si="322">IFERROR(V71/V23*90,0)</f>
        <v>8.1062830068394494</v>
      </c>
      <c r="W107" s="21">
        <f t="shared" si="322"/>
        <v>7.064730535225566</v>
      </c>
      <c r="X107" s="21">
        <f t="shared" ref="X107" si="323">IFERROR(X71/X23*90,0)</f>
        <v>6.6150713877417324</v>
      </c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</row>
    <row r="108" spans="2:51" s="4" customFormat="1">
      <c r="B108" s="4" t="s">
        <v>114</v>
      </c>
      <c r="C108" s="21">
        <f t="shared" ref="C108:U108" si="324">+C29</f>
        <v>11771</v>
      </c>
      <c r="D108" s="21">
        <f t="shared" si="324"/>
        <v>10287</v>
      </c>
      <c r="E108" s="21">
        <f t="shared" si="324"/>
        <v>11949</v>
      </c>
      <c r="F108" s="21">
        <f t="shared" si="324"/>
        <v>8894</v>
      </c>
      <c r="G108" s="21">
        <f t="shared" si="324"/>
        <v>13471</v>
      </c>
      <c r="H108" s="21">
        <f t="shared" si="324"/>
        <v>17521</v>
      </c>
      <c r="I108" s="21">
        <f t="shared" si="324"/>
        <v>14301</v>
      </c>
      <c r="J108" s="21">
        <f t="shared" si="324"/>
        <v>9004</v>
      </c>
      <c r="K108" s="21">
        <f t="shared" si="324"/>
        <v>21598</v>
      </c>
      <c r="L108" s="21">
        <f t="shared" si="324"/>
        <v>20426</v>
      </c>
      <c r="M108" s="21">
        <f t="shared" si="324"/>
        <v>17265</v>
      </c>
      <c r="N108" s="21">
        <f t="shared" si="324"/>
        <v>10970</v>
      </c>
      <c r="O108" s="21">
        <f t="shared" si="324"/>
        <v>17051</v>
      </c>
      <c r="P108" s="21">
        <f t="shared" si="324"/>
        <v>22697</v>
      </c>
      <c r="Q108" s="21">
        <f t="shared" si="324"/>
        <v>24320</v>
      </c>
      <c r="R108" s="21">
        <f t="shared" si="324"/>
        <v>29029</v>
      </c>
      <c r="S108" s="21">
        <f t="shared" si="324"/>
        <v>25749</v>
      </c>
      <c r="T108" s="21">
        <f t="shared" si="324"/>
        <v>26456</v>
      </c>
      <c r="U108" s="21">
        <f t="shared" si="324"/>
        <v>30670</v>
      </c>
      <c r="V108" s="21">
        <f t="shared" ref="V108:W108" si="325">+V29</f>
        <v>29814</v>
      </c>
      <c r="W108" s="21">
        <f t="shared" si="325"/>
        <v>42738</v>
      </c>
      <c r="X108" s="21">
        <f t="shared" ref="X108" si="326">+X29</f>
        <v>41220</v>
      </c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</row>
    <row r="109" spans="2:51" s="13" customFormat="1">
      <c r="B109" s="13" t="s">
        <v>115</v>
      </c>
      <c r="C109" s="30">
        <f>+IFERROR(C108/C101,0)</f>
        <v>3.7715475809035566E-2</v>
      </c>
      <c r="D109" s="30">
        <f t="shared" ref="D109:U109" si="327">+IFERROR(D108/D101,0)</f>
        <v>3.3002887391722809E-2</v>
      </c>
      <c r="E109" s="30">
        <f t="shared" si="327"/>
        <v>3.7777426493834969E-2</v>
      </c>
      <c r="F109" s="30">
        <f t="shared" si="327"/>
        <v>2.86072692183982E-2</v>
      </c>
      <c r="G109" s="30">
        <f t="shared" si="327"/>
        <v>4.1258805513016847E-2</v>
      </c>
      <c r="H109" s="30">
        <f t="shared" si="327"/>
        <v>5.3548288508557459E-2</v>
      </c>
      <c r="I109" s="30">
        <f t="shared" si="327"/>
        <v>2.9663970130678282E-2</v>
      </c>
      <c r="J109" s="30">
        <f t="shared" si="327"/>
        <v>0</v>
      </c>
      <c r="K109" s="30">
        <f t="shared" si="327"/>
        <v>4.5865364196220004E-2</v>
      </c>
      <c r="L109" s="30">
        <f t="shared" si="327"/>
        <v>4.3459574468085106E-2</v>
      </c>
      <c r="M109" s="30">
        <f t="shared" si="327"/>
        <v>3.6804519292261778E-2</v>
      </c>
      <c r="N109" s="30">
        <f t="shared" si="327"/>
        <v>2.3370558635176418E-2</v>
      </c>
      <c r="O109" s="30">
        <f t="shared" si="327"/>
        <v>2.3821964658939768E-2</v>
      </c>
      <c r="P109" s="30">
        <f t="shared" si="327"/>
        <v>3.1689939278518778E-2</v>
      </c>
      <c r="Q109" s="30">
        <f t="shared" si="327"/>
        <v>3.399135680302344E-2</v>
      </c>
      <c r="R109" s="30">
        <f t="shared" si="327"/>
        <v>4.064855085654754E-2</v>
      </c>
      <c r="S109" s="30">
        <f t="shared" si="327"/>
        <v>3.6124598931231523E-2</v>
      </c>
      <c r="T109" s="30">
        <f t="shared" si="327"/>
        <v>3.7188067094829851E-2</v>
      </c>
      <c r="U109" s="30">
        <f t="shared" si="327"/>
        <v>4.3083890670588751E-2</v>
      </c>
      <c r="V109" s="30">
        <f t="shared" ref="V109:W109" si="328">+IFERROR(V108/V101,0)</f>
        <v>4.1854373061810099E-2</v>
      </c>
      <c r="W109" s="30">
        <f t="shared" si="328"/>
        <v>5.9958753630101433E-2</v>
      </c>
      <c r="X109" s="30">
        <f t="shared" ref="X109" si="329">+IFERROR(X108/X101,0)</f>
        <v>5.7791149906485449E-2</v>
      </c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</row>
    <row r="110" spans="2:51" s="4" customFormat="1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</row>
    <row r="111" spans="2:51" s="4" customFormat="1"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</row>
    <row r="112" spans="2:51" s="4" customFormat="1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</row>
    <row r="113" spans="2:51" s="4" customFormat="1">
      <c r="B113" s="5" t="s">
        <v>100</v>
      </c>
      <c r="C113" s="21">
        <f t="shared" ref="C113:U113" si="330">+C34</f>
        <v>6606</v>
      </c>
      <c r="D113" s="21">
        <f t="shared" si="330"/>
        <v>4918</v>
      </c>
      <c r="E113" s="21">
        <f t="shared" si="330"/>
        <v>5905</v>
      </c>
      <c r="F113" s="21">
        <f t="shared" si="330"/>
        <v>3047</v>
      </c>
      <c r="G113" s="21">
        <f t="shared" si="330"/>
        <v>8096</v>
      </c>
      <c r="H113" s="21">
        <f t="shared" si="330"/>
        <v>9523</v>
      </c>
      <c r="I113" s="21">
        <f t="shared" si="330"/>
        <v>10081</v>
      </c>
      <c r="J113" s="21">
        <f t="shared" si="330"/>
        <v>6178</v>
      </c>
      <c r="K113" s="21">
        <f t="shared" si="330"/>
        <v>14955</v>
      </c>
      <c r="L113" s="21">
        <f t="shared" si="330"/>
        <v>12835</v>
      </c>
      <c r="M113" s="21">
        <f t="shared" si="330"/>
        <v>7723</v>
      </c>
      <c r="N113" s="21">
        <f t="shared" si="330"/>
        <v>3648</v>
      </c>
      <c r="O113" s="21">
        <f t="shared" si="330"/>
        <v>9934</v>
      </c>
      <c r="P113" s="21">
        <f t="shared" si="330"/>
        <v>13630</v>
      </c>
      <c r="Q113" s="21">
        <f t="shared" si="330"/>
        <v>13607</v>
      </c>
      <c r="R113" s="21">
        <f t="shared" si="330"/>
        <v>17754</v>
      </c>
      <c r="S113" s="21">
        <f t="shared" si="330"/>
        <v>15746</v>
      </c>
      <c r="T113" s="21">
        <f t="shared" si="330"/>
        <v>16181</v>
      </c>
      <c r="U113" s="21">
        <f t="shared" si="330"/>
        <v>19529</v>
      </c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</row>
    <row r="114" spans="2:51" s="4" customFormat="1">
      <c r="B114" s="4" t="s">
        <v>75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>
        <f>+O34</f>
        <v>9934</v>
      </c>
      <c r="P114" s="21">
        <f>+P34</f>
        <v>13630</v>
      </c>
      <c r="Q114" s="21">
        <f>35351-SUM(O114:P114)</f>
        <v>11787</v>
      </c>
      <c r="R114" s="21">
        <f>52947-SUM(O114:Q114)</f>
        <v>17596</v>
      </c>
      <c r="S114" s="21">
        <v>15669</v>
      </c>
      <c r="T114" s="21">
        <f>31850-S114</f>
        <v>16181</v>
      </c>
      <c r="U114" s="21">
        <f>51361-SUM(S114:T114)</f>
        <v>19511</v>
      </c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</row>
    <row r="115" spans="2:51" s="4" customFormat="1">
      <c r="B115" s="4" t="s">
        <v>24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>
        <v>2227</v>
      </c>
      <c r="P115" s="21">
        <f>4774-O115</f>
        <v>2547</v>
      </c>
      <c r="Q115" s="21">
        <f>7610-SUM(O115:P115)</f>
        <v>2836</v>
      </c>
      <c r="R115" s="21">
        <f>10899-SUM(O115:Q115)</f>
        <v>3289</v>
      </c>
      <c r="S115" s="21">
        <v>2989</v>
      </c>
      <c r="T115" s="21">
        <f>6207-S115</f>
        <v>3218</v>
      </c>
      <c r="U115" s="21">
        <f>9591-SUM(S115:T115)</f>
        <v>3384</v>
      </c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</row>
    <row r="116" spans="2:51" s="4" customFormat="1">
      <c r="B116" s="4" t="s">
        <v>76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>
        <v>-490</v>
      </c>
      <c r="P116" s="21">
        <f>+-1534-O116</f>
        <v>-1044</v>
      </c>
      <c r="Q116" s="21">
        <f>+-675-SUM(O116:P116)</f>
        <v>859</v>
      </c>
      <c r="R116" s="21">
        <f>+-3252-SUM(O116:Q116)</f>
        <v>-2577</v>
      </c>
      <c r="S116" s="21">
        <v>-800</v>
      </c>
      <c r="T116" s="21">
        <f>+-1030-S116</f>
        <v>-230</v>
      </c>
      <c r="U116" s="21">
        <f>+-1200-SUM(S116:T116)</f>
        <v>-170</v>
      </c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</row>
    <row r="117" spans="2:51" s="4" customFormat="1">
      <c r="B117" s="4" t="s">
        <v>77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>
        <v>2191</v>
      </c>
      <c r="P117" s="21">
        <f>590-O117</f>
        <v>-1601</v>
      </c>
      <c r="Q117" s="21">
        <f>2118-SUM(O117:P117)</f>
        <v>1528</v>
      </c>
      <c r="R117" s="21">
        <f>4200-SUM(O117:Q117)</f>
        <v>2082</v>
      </c>
      <c r="S117" s="21">
        <v>3345</v>
      </c>
      <c r="T117" s="21">
        <f>6891-S117</f>
        <v>3546</v>
      </c>
      <c r="U117" s="21">
        <f>10019-SUM(S117:T117)</f>
        <v>3128</v>
      </c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</row>
    <row r="118" spans="2:51" s="4" customFormat="1">
      <c r="B118" s="4" t="s">
        <v>78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>
        <v>444</v>
      </c>
      <c r="P118" s="21">
        <f>767-O118</f>
        <v>323</v>
      </c>
      <c r="Q118" s="21">
        <f>1006-SUM(O118:P118)</f>
        <v>239</v>
      </c>
      <c r="R118" s="21">
        <f>1164-SUM(O118:Q118)</f>
        <v>158</v>
      </c>
      <c r="S118" s="21">
        <v>77</v>
      </c>
      <c r="T118" s="21">
        <f>77-S118</f>
        <v>0</v>
      </c>
      <c r="U118" s="21">
        <f>95-SUM(S118:T118)</f>
        <v>18</v>
      </c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</row>
    <row r="119" spans="2:51" s="4" customFormat="1">
      <c r="B119" s="4" t="s">
        <v>79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>
        <v>373</v>
      </c>
      <c r="P119" s="21">
        <f>879-O119</f>
        <v>506</v>
      </c>
      <c r="Q119" s="21">
        <f>1387-SUM(O119:P119)</f>
        <v>508</v>
      </c>
      <c r="R119" s="21">
        <f>1939-SUM(O119:Q119)</f>
        <v>552</v>
      </c>
      <c r="S119" s="21">
        <v>515</v>
      </c>
      <c r="T119" s="21">
        <f>1021-S119</f>
        <v>506</v>
      </c>
      <c r="U119" s="21">
        <f>1530-SUM(S119:T119)</f>
        <v>509</v>
      </c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</row>
    <row r="120" spans="2:51" s="4" customFormat="1">
      <c r="B120" s="4" t="s">
        <v>74</v>
      </c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>
        <v>814</v>
      </c>
      <c r="P120" s="21">
        <f>814-O120</f>
        <v>0</v>
      </c>
      <c r="Q120" s="21">
        <f>814-SUM(O120:P120)</f>
        <v>0</v>
      </c>
      <c r="R120" s="21">
        <f>1939-SUM(O120:Q120)</f>
        <v>1125</v>
      </c>
      <c r="S120" s="21">
        <v>0</v>
      </c>
      <c r="T120" s="21">
        <f>0-S120</f>
        <v>0</v>
      </c>
      <c r="U120" s="21">
        <f>0-SUM(S120:T120)</f>
        <v>0</v>
      </c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</row>
    <row r="121" spans="2:51" s="4" customFormat="1">
      <c r="B121" s="4" t="s">
        <v>50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>
        <v>608</v>
      </c>
      <c r="P121" s="21">
        <f>+-241-O121</f>
        <v>-849</v>
      </c>
      <c r="Q121" s="21">
        <f>+-1836-SUM(O121:P121)</f>
        <v>-1595</v>
      </c>
      <c r="R121" s="21">
        <f>+-2468-SUM(O121:Q121)</f>
        <v>-632</v>
      </c>
      <c r="S121" s="21">
        <v>-676</v>
      </c>
      <c r="T121" s="21">
        <f>+-1286-S121</f>
        <v>-610</v>
      </c>
      <c r="U121" s="21">
        <f>+-2490-SUM(S121:T121)</f>
        <v>-1204</v>
      </c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</row>
    <row r="122" spans="2:51" s="4" customFormat="1">
      <c r="B122" s="4" t="s">
        <v>51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>
        <v>263</v>
      </c>
      <c r="P122" s="21">
        <f>+-1173-O122</f>
        <v>-1436</v>
      </c>
      <c r="Q122" s="21">
        <f>12-SUM(O122:P122)</f>
        <v>1185</v>
      </c>
      <c r="R122" s="21">
        <f>584-SUM(O122:Q122)</f>
        <v>572</v>
      </c>
      <c r="S122" s="21">
        <v>1647</v>
      </c>
      <c r="T122" s="21">
        <f>+-54-S122</f>
        <v>-1701</v>
      </c>
      <c r="U122" s="21">
        <f>+-20-SUM(R122:T122)</f>
        <v>-538</v>
      </c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</row>
    <row r="123" spans="2:51" s="4" customFormat="1">
      <c r="B123" s="4" t="s">
        <v>80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>
        <v>9403</v>
      </c>
      <c r="P123" s="21">
        <f>5814-O123</f>
        <v>-3589</v>
      </c>
      <c r="Q123" s="21">
        <f>11291-SUM(O123:P123)</f>
        <v>5477</v>
      </c>
      <c r="R123" s="21">
        <f>5048-SUM(O123:Q123)</f>
        <v>-6243</v>
      </c>
      <c r="S123" s="21">
        <v>9605</v>
      </c>
      <c r="T123" s="21">
        <f>6235-S123</f>
        <v>-3370</v>
      </c>
      <c r="U123" s="21">
        <f>9596-SUM(S123:T123)</f>
        <v>3361</v>
      </c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</row>
    <row r="124" spans="2:51" s="4" customFormat="1">
      <c r="B124" s="4" t="s">
        <v>58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>
        <v>-2931</v>
      </c>
      <c r="P124" s="21">
        <f>+-2216-O124</f>
        <v>715</v>
      </c>
      <c r="Q124" s="21">
        <f>+-2794-SUM(O124:P124)</f>
        <v>-578</v>
      </c>
      <c r="R124" s="21">
        <f>5102-SUM(O124:Q124)</f>
        <v>7896</v>
      </c>
      <c r="S124" s="21">
        <v>2633</v>
      </c>
      <c r="T124" s="21">
        <f>+-3528-S124</f>
        <v>-6161</v>
      </c>
      <c r="U124" s="21">
        <f>2992-SUM(S124:T124)</f>
        <v>6520</v>
      </c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</row>
    <row r="125" spans="2:51" s="4" customFormat="1">
      <c r="B125" s="4" t="s">
        <v>81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>
        <v>-1125</v>
      </c>
      <c r="P125" s="21">
        <f>+-844-O125</f>
        <v>281</v>
      </c>
      <c r="Q125" s="21">
        <f>+-858-SUM(O125:P125)</f>
        <v>-14</v>
      </c>
      <c r="R125" s="21">
        <f>+-712-SUM(O125:Q125)</f>
        <v>146</v>
      </c>
      <c r="S125" s="21">
        <v>654</v>
      </c>
      <c r="T125" s="21">
        <f>1442-S125</f>
        <v>788</v>
      </c>
      <c r="U125" s="21">
        <f>2054-SUM(S125:T125)</f>
        <v>612</v>
      </c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</row>
    <row r="126" spans="2:51" s="4" customFormat="1">
      <c r="B126" s="4" t="s">
        <v>65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>
        <v>-87</v>
      </c>
      <c r="P126" s="21">
        <f>+-149-O126</f>
        <v>-62</v>
      </c>
      <c r="Q126" s="21">
        <f>+-268-SUM(O126:P126)</f>
        <v>-119</v>
      </c>
      <c r="R126" s="21">
        <f>+-27-SUM(O126:Q126)</f>
        <v>241</v>
      </c>
      <c r="S126" s="21">
        <v>40</v>
      </c>
      <c r="T126" s="21">
        <f>92-S126</f>
        <v>52</v>
      </c>
      <c r="U126" s="21">
        <f>219-SUM(S126:T126)</f>
        <v>127</v>
      </c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</row>
    <row r="127" spans="2:51" s="5" customFormat="1">
      <c r="B127" s="5" t="s">
        <v>70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>
        <f>+SUM(O114:O126)</f>
        <v>21624</v>
      </c>
      <c r="P127" s="19">
        <f>+SUM(P114:P126)</f>
        <v>9421</v>
      </c>
      <c r="Q127" s="19">
        <f t="shared" ref="Q127:U127" si="331">+SUM(Q114:Q126)</f>
        <v>22113</v>
      </c>
      <c r="R127" s="19">
        <f t="shared" si="331"/>
        <v>24205</v>
      </c>
      <c r="S127" s="19">
        <f t="shared" si="331"/>
        <v>35698</v>
      </c>
      <c r="T127" s="19">
        <f t="shared" si="331"/>
        <v>12219</v>
      </c>
      <c r="U127" s="19">
        <f t="shared" si="331"/>
        <v>35258</v>
      </c>
      <c r="V127" s="19">
        <v>37900</v>
      </c>
      <c r="W127" s="19">
        <v>44700</v>
      </c>
      <c r="X127" s="19">
        <f>80837-W127</f>
        <v>36137</v>
      </c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</row>
    <row r="128" spans="2:51" s="4" customFormat="1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</row>
    <row r="129" spans="2:51" s="4" customFormat="1">
      <c r="B129" s="4" t="s">
        <v>82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>
        <v>-6293</v>
      </c>
      <c r="P129" s="21">
        <f>+-12695-O129</f>
        <v>-6402</v>
      </c>
      <c r="Q129" s="21">
        <f>+-18961-SUM(O129:P129)</f>
        <v>-6266</v>
      </c>
      <c r="R129" s="21">
        <f>+-23940-SUM(O129:Q129)</f>
        <v>-4979</v>
      </c>
      <c r="S129" s="21">
        <v>-4319</v>
      </c>
      <c r="T129" s="21">
        <f>+-17002-S129</f>
        <v>-12683</v>
      </c>
      <c r="U129" s="21">
        <f>+-28295-SUM(S129:T129)</f>
        <v>-11293</v>
      </c>
      <c r="V129" s="21"/>
      <c r="W129" s="21">
        <f>+-11158</f>
        <v>-11158</v>
      </c>
      <c r="X129" s="21">
        <f>+-21459-W129</f>
        <v>-10301</v>
      </c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</row>
    <row r="130" spans="2:51" s="4" customFormat="1">
      <c r="B130" s="4" t="s">
        <v>102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>
        <f>+-1738-SUM(O130:P130)</f>
        <v>-1738</v>
      </c>
      <c r="R130" s="21">
        <f>+-7809-SUM(O130:Q130)</f>
        <v>-6071</v>
      </c>
      <c r="S130" s="21">
        <v>0</v>
      </c>
      <c r="T130" s="21">
        <f>+-4396-S130</f>
        <v>-4396</v>
      </c>
      <c r="U130" s="21">
        <f>+-4396-SUM(S130:T130)</f>
        <v>0</v>
      </c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</row>
    <row r="131" spans="2:51" s="4" customFormat="1">
      <c r="B131" s="4" t="s">
        <v>103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>
        <f>0-SUM(O131:P131)</f>
        <v>0</v>
      </c>
      <c r="R131" s="21">
        <f>+-997-SUM(O131:Q131)</f>
        <v>-997</v>
      </c>
      <c r="S131" s="21">
        <v>0</v>
      </c>
      <c r="T131" s="21">
        <f>+-808-S131</f>
        <v>-808</v>
      </c>
      <c r="U131" s="21">
        <f>+-808-SUM(S131:T131)</f>
        <v>0</v>
      </c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</row>
    <row r="132" spans="2:51" s="4" customFormat="1">
      <c r="B132" s="4" t="s">
        <v>83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>
        <v>1479</v>
      </c>
      <c r="P132" s="21">
        <f>3637-O132</f>
        <v>2158</v>
      </c>
      <c r="Q132" s="21">
        <f>4063-SUM(O132:P132)</f>
        <v>426</v>
      </c>
      <c r="R132" s="21">
        <f>4063-SUM(O132:Q132)</f>
        <v>0</v>
      </c>
      <c r="S132" s="21">
        <v>0</v>
      </c>
      <c r="T132" s="21">
        <f>0-S132</f>
        <v>0</v>
      </c>
      <c r="U132" s="21">
        <v>0</v>
      </c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</row>
    <row r="133" spans="2:51" s="5" customFormat="1">
      <c r="B133" s="5" t="s">
        <v>71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>
        <f>+SUM(O129:O132)</f>
        <v>-4814</v>
      </c>
      <c r="P133" s="19">
        <f>+SUM(P129:P132)</f>
        <v>-4244</v>
      </c>
      <c r="Q133" s="19">
        <f t="shared" ref="Q133:U133" si="332">+SUM(Q129:Q132)</f>
        <v>-7578</v>
      </c>
      <c r="R133" s="19">
        <f t="shared" si="332"/>
        <v>-12047</v>
      </c>
      <c r="S133" s="19">
        <f t="shared" si="332"/>
        <v>-4319</v>
      </c>
      <c r="T133" s="19">
        <f t="shared" si="332"/>
        <v>-17887</v>
      </c>
      <c r="U133" s="19">
        <f t="shared" si="332"/>
        <v>-11293</v>
      </c>
      <c r="V133" s="19"/>
      <c r="W133" s="19">
        <v>-11700</v>
      </c>
      <c r="X133" s="19">
        <v>-11700</v>
      </c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</row>
    <row r="134" spans="2:51" s="4" customFormat="1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</row>
    <row r="135" spans="2:51" s="4" customFormat="1">
      <c r="B135" s="4" t="s">
        <v>84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>
        <v>125</v>
      </c>
      <c r="P135" s="21">
        <f>1963-O135</f>
        <v>1838</v>
      </c>
      <c r="Q135" s="21">
        <f>1963-SUM(O135:P135)</f>
        <v>0</v>
      </c>
      <c r="R135" s="21">
        <f>3315-SUM(O135:Q135)</f>
        <v>1352</v>
      </c>
      <c r="S135" s="21">
        <v>111</v>
      </c>
      <c r="T135" s="21">
        <f>473-S135</f>
        <v>362</v>
      </c>
      <c r="U135" s="21">
        <f>743-SUM(S135:T135)</f>
        <v>270</v>
      </c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</row>
    <row r="136" spans="2:51" s="4" customFormat="1">
      <c r="B136" s="4" t="s">
        <v>91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>
        <f>0-O136</f>
        <v>0</v>
      </c>
      <c r="Q136" s="21">
        <f>+-1200-SUM(O136:P136)</f>
        <v>-1200</v>
      </c>
      <c r="R136" s="21">
        <f>+-3025-SUM(O136:Q136)</f>
        <v>-1825</v>
      </c>
      <c r="S136" s="21">
        <v>-1825</v>
      </c>
      <c r="T136" s="21">
        <f>+-3650-S136</f>
        <v>-1825</v>
      </c>
      <c r="U136" s="21">
        <f>-3650-SUM(S136:T136)</f>
        <v>0</v>
      </c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</row>
    <row r="137" spans="2:51" s="4" customFormat="1">
      <c r="B137" s="4" t="s">
        <v>62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31">
        <v>250000</v>
      </c>
      <c r="P137" s="21">
        <f>250000-O137</f>
        <v>0</v>
      </c>
      <c r="Q137" s="21">
        <f>250000-SUM(O137:P137)</f>
        <v>0</v>
      </c>
      <c r="R137" s="21">
        <f>250000-SUM(O137:Q137)</f>
        <v>0</v>
      </c>
      <c r="S137" s="21">
        <v>0</v>
      </c>
      <c r="T137" s="21">
        <f>0-S137</f>
        <v>0</v>
      </c>
      <c r="U137" s="21">
        <f>0-SUM(S137:T137)</f>
        <v>0</v>
      </c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</row>
    <row r="138" spans="2:51" s="4" customFormat="1">
      <c r="B138" s="4" t="s">
        <v>85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>
        <v>-5442</v>
      </c>
      <c r="P138" s="21">
        <f>+-5442-O138</f>
        <v>0</v>
      </c>
      <c r="Q138" s="21">
        <f>+-5442-SUM(O138:P138)</f>
        <v>0</v>
      </c>
      <c r="R138" s="21">
        <f>+-5442-SUM(O138:Q138)</f>
        <v>0</v>
      </c>
      <c r="S138" s="21">
        <v>0</v>
      </c>
      <c r="T138" s="21">
        <f>0-S138</f>
        <v>0</v>
      </c>
      <c r="U138" s="21">
        <f>0-SUM(S138:T138)</f>
        <v>0</v>
      </c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</row>
    <row r="139" spans="2:51" s="4" customFormat="1">
      <c r="B139" s="4" t="s">
        <v>86</v>
      </c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>
        <v>-298</v>
      </c>
      <c r="P139" s="21">
        <f>+-302-O139</f>
        <v>-4</v>
      </c>
      <c r="Q139" s="21">
        <f>+-302-SUM(O139:P139)</f>
        <v>0</v>
      </c>
      <c r="R139" s="21">
        <f>+-315-SUM(O139:Q139)</f>
        <v>-13</v>
      </c>
      <c r="S139" s="21">
        <v>-2292</v>
      </c>
      <c r="T139" s="21">
        <f>+-2361-S139</f>
        <v>-69</v>
      </c>
      <c r="U139" s="21">
        <f>+-2427-SUM(S139:T139)</f>
        <v>-66</v>
      </c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</row>
    <row r="140" spans="2:51" s="4" customFormat="1">
      <c r="B140" s="4" t="s">
        <v>104</v>
      </c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>
        <f>0-SUM(O140:P140)</f>
        <v>0</v>
      </c>
      <c r="R140" s="21">
        <f>0-SUM(O140:Q140)</f>
        <v>0</v>
      </c>
      <c r="S140" s="21">
        <v>0</v>
      </c>
      <c r="T140" s="21">
        <f>0-S140</f>
        <v>0</v>
      </c>
      <c r="U140" s="32">
        <f>+-125250-SUM(S140:T140)</f>
        <v>-125250</v>
      </c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</row>
    <row r="141" spans="2:51" s="4" customFormat="1">
      <c r="B141" s="4" t="s">
        <v>87</v>
      </c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>
        <v>-5294</v>
      </c>
      <c r="P141" s="21">
        <f>+-129906-O141</f>
        <v>-124612</v>
      </c>
      <c r="Q141" s="21">
        <f>+-135587-SUM(O141:P141)</f>
        <v>-5681</v>
      </c>
      <c r="R141" s="21">
        <f>+-141279-SUM(O141:Q141)</f>
        <v>-5692</v>
      </c>
      <c r="S141" s="21">
        <v>-6081</v>
      </c>
      <c r="T141" s="21">
        <f>+-11836-S141</f>
        <v>-5755</v>
      </c>
      <c r="U141" s="21">
        <f>+-18433-SUM(S141:T141)</f>
        <v>-6597</v>
      </c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</row>
    <row r="142" spans="2:51" s="5" customFormat="1">
      <c r="B142" s="5" t="s">
        <v>72</v>
      </c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>
        <f>+SUM(O135:O141)</f>
        <v>239091</v>
      </c>
      <c r="P142" s="19">
        <f>+SUM(P135:P141)</f>
        <v>-122778</v>
      </c>
      <c r="Q142" s="19">
        <f t="shared" ref="Q142:U142" si="333">+SUM(Q135:Q141)</f>
        <v>-6881</v>
      </c>
      <c r="R142" s="19">
        <f t="shared" si="333"/>
        <v>-6178</v>
      </c>
      <c r="S142" s="19">
        <f t="shared" si="333"/>
        <v>-10087</v>
      </c>
      <c r="T142" s="19">
        <f t="shared" si="333"/>
        <v>-7287</v>
      </c>
      <c r="U142" s="19">
        <f t="shared" si="333"/>
        <v>-131643</v>
      </c>
      <c r="V142" s="19"/>
      <c r="W142" s="19">
        <v>-9600</v>
      </c>
      <c r="X142" s="19">
        <f>+-45161-W142</f>
        <v>-35561</v>
      </c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</row>
    <row r="143" spans="2:51" s="4" customFormat="1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</row>
    <row r="144" spans="2:51" s="4" customFormat="1">
      <c r="B144" s="4" t="s">
        <v>88</v>
      </c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>
        <f t="shared" ref="O144:W144" si="334">+O127+O133+O142</f>
        <v>255901</v>
      </c>
      <c r="P144" s="21">
        <f t="shared" si="334"/>
        <v>-117601</v>
      </c>
      <c r="Q144" s="21">
        <f t="shared" si="334"/>
        <v>7654</v>
      </c>
      <c r="R144" s="21">
        <f t="shared" si="334"/>
        <v>5980</v>
      </c>
      <c r="S144" s="21">
        <f t="shared" si="334"/>
        <v>21292</v>
      </c>
      <c r="T144" s="21">
        <f t="shared" si="334"/>
        <v>-12955</v>
      </c>
      <c r="U144" s="21">
        <f t="shared" si="334"/>
        <v>-107678</v>
      </c>
      <c r="V144" s="21"/>
      <c r="W144" s="21">
        <f t="shared" si="334"/>
        <v>23400</v>
      </c>
      <c r="X144" s="21">
        <f t="shared" ref="X144" si="335">+X127+X133+X142</f>
        <v>-11124</v>
      </c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</row>
    <row r="145" spans="2:51" s="4" customFormat="1">
      <c r="B145" s="4" t="s">
        <v>90</v>
      </c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>
        <f>+N70+N71+2875</f>
        <v>54906</v>
      </c>
      <c r="P145" s="21">
        <f t="shared" ref="P145:U145" si="336">+O146</f>
        <v>310807</v>
      </c>
      <c r="Q145" s="21">
        <f t="shared" si="336"/>
        <v>193206</v>
      </c>
      <c r="R145" s="21">
        <f t="shared" si="336"/>
        <v>200860</v>
      </c>
      <c r="S145" s="21">
        <f t="shared" si="336"/>
        <v>206840</v>
      </c>
      <c r="T145" s="21">
        <f t="shared" si="336"/>
        <v>228132</v>
      </c>
      <c r="U145" s="21">
        <f t="shared" si="336"/>
        <v>215177</v>
      </c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</row>
    <row r="146" spans="2:51" s="4" customFormat="1">
      <c r="B146" s="4" t="s">
        <v>89</v>
      </c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>
        <f>+SUM(O144:O145)</f>
        <v>310807</v>
      </c>
      <c r="P146" s="21">
        <f>+SUM(P144:P145)</f>
        <v>193206</v>
      </c>
      <c r="Q146" s="21">
        <f>+SUM(Q144:Q145)</f>
        <v>200860</v>
      </c>
      <c r="R146" s="21">
        <f>+SUM(R144:R145)</f>
        <v>206840</v>
      </c>
      <c r="S146" s="21">
        <f>SUM(S144:S145)</f>
        <v>228132</v>
      </c>
      <c r="T146" s="21">
        <f>SUM(T144:T145)</f>
        <v>215177</v>
      </c>
      <c r="U146" s="21">
        <f>SUM(U144:U145)</f>
        <v>107499</v>
      </c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</row>
    <row r="147" spans="2:51" s="4" customFormat="1"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</row>
    <row r="148" spans="2:51" s="4" customFormat="1"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</row>
    <row r="149" spans="2:51" s="5" customFormat="1">
      <c r="B149" s="5" t="s">
        <v>105</v>
      </c>
      <c r="C149" s="19">
        <f>+SUM(C127,C129)</f>
        <v>0</v>
      </c>
      <c r="D149" s="19">
        <f t="shared" ref="D149:W149" si="337">+SUM(D127,D129)</f>
        <v>0</v>
      </c>
      <c r="E149" s="19">
        <f t="shared" si="337"/>
        <v>0</v>
      </c>
      <c r="F149" s="19">
        <f t="shared" si="337"/>
        <v>0</v>
      </c>
      <c r="G149" s="19">
        <f t="shared" si="337"/>
        <v>0</v>
      </c>
      <c r="H149" s="19">
        <f t="shared" si="337"/>
        <v>0</v>
      </c>
      <c r="I149" s="19">
        <f t="shared" si="337"/>
        <v>0</v>
      </c>
      <c r="J149" s="19">
        <f t="shared" si="337"/>
        <v>0</v>
      </c>
      <c r="K149" s="19">
        <f t="shared" si="337"/>
        <v>0</v>
      </c>
      <c r="L149" s="19">
        <f t="shared" si="337"/>
        <v>0</v>
      </c>
      <c r="M149" s="19">
        <f t="shared" si="337"/>
        <v>0</v>
      </c>
      <c r="N149" s="19">
        <f t="shared" si="337"/>
        <v>0</v>
      </c>
      <c r="O149" s="19">
        <f t="shared" si="337"/>
        <v>15331</v>
      </c>
      <c r="P149" s="19">
        <f t="shared" si="337"/>
        <v>3019</v>
      </c>
      <c r="Q149" s="19">
        <f t="shared" si="337"/>
        <v>15847</v>
      </c>
      <c r="R149" s="19">
        <f t="shared" si="337"/>
        <v>19226</v>
      </c>
      <c r="S149" s="19">
        <f t="shared" si="337"/>
        <v>31379</v>
      </c>
      <c r="T149" s="19">
        <f t="shared" si="337"/>
        <v>-464</v>
      </c>
      <c r="U149" s="19">
        <f t="shared" si="337"/>
        <v>23965</v>
      </c>
      <c r="V149" s="19"/>
      <c r="W149" s="19">
        <f t="shared" si="337"/>
        <v>33542</v>
      </c>
      <c r="X149" s="19">
        <f t="shared" ref="X149" si="338">+SUM(X127,X129)</f>
        <v>25836</v>
      </c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</row>
    <row r="150" spans="2:51" s="4" customFormat="1">
      <c r="B150" s="4" t="s">
        <v>30</v>
      </c>
      <c r="C150" s="21">
        <f t="shared" ref="C150:W150" si="339">+C34</f>
        <v>6606</v>
      </c>
      <c r="D150" s="21">
        <f t="shared" si="339"/>
        <v>4918</v>
      </c>
      <c r="E150" s="21">
        <f t="shared" si="339"/>
        <v>5905</v>
      </c>
      <c r="F150" s="21">
        <f t="shared" si="339"/>
        <v>3047</v>
      </c>
      <c r="G150" s="21">
        <f t="shared" si="339"/>
        <v>8096</v>
      </c>
      <c r="H150" s="21">
        <f t="shared" si="339"/>
        <v>9523</v>
      </c>
      <c r="I150" s="21">
        <f t="shared" si="339"/>
        <v>10081</v>
      </c>
      <c r="J150" s="21">
        <f t="shared" si="339"/>
        <v>6178</v>
      </c>
      <c r="K150" s="21">
        <f t="shared" si="339"/>
        <v>14955</v>
      </c>
      <c r="L150" s="21">
        <f t="shared" si="339"/>
        <v>12835</v>
      </c>
      <c r="M150" s="21">
        <f t="shared" si="339"/>
        <v>7723</v>
      </c>
      <c r="N150" s="21">
        <f t="shared" si="339"/>
        <v>3648</v>
      </c>
      <c r="O150" s="21">
        <f t="shared" si="339"/>
        <v>9934</v>
      </c>
      <c r="P150" s="21">
        <f t="shared" si="339"/>
        <v>13630</v>
      </c>
      <c r="Q150" s="21">
        <f t="shared" si="339"/>
        <v>13607</v>
      </c>
      <c r="R150" s="21">
        <f t="shared" si="339"/>
        <v>17754</v>
      </c>
      <c r="S150" s="21">
        <f t="shared" si="339"/>
        <v>15746</v>
      </c>
      <c r="T150" s="21">
        <f t="shared" si="339"/>
        <v>16181</v>
      </c>
      <c r="U150" s="21">
        <f t="shared" si="339"/>
        <v>19529</v>
      </c>
      <c r="V150" s="21"/>
      <c r="W150" s="21">
        <f t="shared" si="339"/>
        <v>28747</v>
      </c>
      <c r="X150" s="21">
        <f t="shared" ref="X150" si="340">+X34</f>
        <v>27485</v>
      </c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</row>
    <row r="151" spans="2:51" s="4" customFormat="1">
      <c r="B151" s="4" t="s">
        <v>137</v>
      </c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>
        <f t="shared" ref="R151:T151" si="341">SUM(O149:R149)</f>
        <v>53423</v>
      </c>
      <c r="S151" s="21">
        <f t="shared" si="341"/>
        <v>69471</v>
      </c>
      <c r="T151" s="21">
        <f t="shared" si="341"/>
        <v>65988</v>
      </c>
      <c r="U151" s="21">
        <f>SUM(R149:U149)</f>
        <v>74106</v>
      </c>
      <c r="V151" s="21"/>
      <c r="W151" s="21"/>
      <c r="X151" s="21">
        <f>SUM(U149:X149)</f>
        <v>83343</v>
      </c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</row>
    <row r="152" spans="2:51" s="4" customFormat="1">
      <c r="B152" s="4" t="s">
        <v>163</v>
      </c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>
        <f t="shared" ref="R152:T152" si="342">SUM(O150:R150)</f>
        <v>54925</v>
      </c>
      <c r="S152" s="21">
        <f t="shared" si="342"/>
        <v>60737</v>
      </c>
      <c r="T152" s="21">
        <f t="shared" si="342"/>
        <v>63288</v>
      </c>
      <c r="U152" s="21">
        <f>SUM(R150:U150)</f>
        <v>69210</v>
      </c>
      <c r="V152" s="21"/>
      <c r="W152" s="21"/>
      <c r="X152" s="21">
        <f>SUM(U150:X150)</f>
        <v>75761</v>
      </c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</row>
    <row r="153" spans="2:51" s="4" customFormat="1"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>
        <f t="shared" ref="R153:T153" si="343">+R151-R152</f>
        <v>-1502</v>
      </c>
      <c r="S153" s="21">
        <f t="shared" si="343"/>
        <v>8734</v>
      </c>
      <c r="T153" s="21">
        <f t="shared" si="343"/>
        <v>2700</v>
      </c>
      <c r="U153" s="21">
        <f>+U151-U152</f>
        <v>4896</v>
      </c>
      <c r="V153" s="21"/>
      <c r="W153" s="21"/>
      <c r="X153" s="21">
        <f>+X151-X152</f>
        <v>7582</v>
      </c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</row>
    <row r="154" spans="2:51" s="4" customFormat="1"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</row>
    <row r="155" spans="2:51" s="4" customFormat="1">
      <c r="B155" s="5" t="s">
        <v>125</v>
      </c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>
        <f t="shared" ref="O155:U155" si="344">+ABS(O129)</f>
        <v>6293</v>
      </c>
      <c r="P155" s="21">
        <f t="shared" si="344"/>
        <v>6402</v>
      </c>
      <c r="Q155" s="21">
        <f t="shared" si="344"/>
        <v>6266</v>
      </c>
      <c r="R155" s="21">
        <f t="shared" si="344"/>
        <v>4979</v>
      </c>
      <c r="S155" s="21">
        <f t="shared" si="344"/>
        <v>4319</v>
      </c>
      <c r="T155" s="21">
        <f t="shared" si="344"/>
        <v>12683</v>
      </c>
      <c r="U155" s="21">
        <f t="shared" si="344"/>
        <v>11293</v>
      </c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</row>
    <row r="156" spans="2:51" s="4" customFormat="1">
      <c r="B156" s="4" t="s">
        <v>124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>
        <f t="shared" ref="O156:U156" si="345">+ABS(O115)</f>
        <v>2227</v>
      </c>
      <c r="P156" s="21">
        <f t="shared" si="345"/>
        <v>2547</v>
      </c>
      <c r="Q156" s="21">
        <f t="shared" si="345"/>
        <v>2836</v>
      </c>
      <c r="R156" s="21">
        <f t="shared" si="345"/>
        <v>3289</v>
      </c>
      <c r="S156" s="21">
        <f t="shared" si="345"/>
        <v>2989</v>
      </c>
      <c r="T156" s="21">
        <f t="shared" si="345"/>
        <v>3218</v>
      </c>
      <c r="U156" s="21">
        <f t="shared" si="345"/>
        <v>3384</v>
      </c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</row>
    <row r="157" spans="2:51" s="4" customFormat="1">
      <c r="B157" s="4" t="s">
        <v>126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 t="str">
        <f>IF(O155&gt;O156,"Growth","Shrink")</f>
        <v>Growth</v>
      </c>
      <c r="P157" s="21" t="str">
        <f t="shared" ref="P157:U157" si="346">IF(P155&gt;P156,"Growth","Shrink")</f>
        <v>Growth</v>
      </c>
      <c r="Q157" s="21" t="str">
        <f t="shared" si="346"/>
        <v>Growth</v>
      </c>
      <c r="R157" s="21" t="str">
        <f t="shared" si="346"/>
        <v>Growth</v>
      </c>
      <c r="S157" s="21" t="str">
        <f t="shared" si="346"/>
        <v>Growth</v>
      </c>
      <c r="T157" s="21" t="str">
        <f t="shared" si="346"/>
        <v>Growth</v>
      </c>
      <c r="U157" s="21" t="str">
        <f t="shared" si="346"/>
        <v>Growth</v>
      </c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</row>
    <row r="158" spans="2:51" s="4" customFormat="1"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</row>
    <row r="159" spans="2:51" s="4" customFormat="1"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</row>
    <row r="160" spans="2:51" s="4" customFormat="1"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</row>
    <row r="161" spans="2:51" s="4" customFormat="1">
      <c r="B161" s="4" t="s">
        <v>159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>
        <v>250000</v>
      </c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</row>
    <row r="162" spans="2:51" s="4" customFormat="1">
      <c r="B162" s="4" t="s">
        <v>104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>
        <f>+U140</f>
        <v>-125250</v>
      </c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</row>
    <row r="163" spans="2:51">
      <c r="B163" s="1" t="s">
        <v>39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>
        <v>567151</v>
      </c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</row>
    <row r="164" spans="2:51">
      <c r="B164" s="3" t="s">
        <v>162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>
        <f>+-U162*1000/U163</f>
        <v>220.8406579552888</v>
      </c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</row>
    <row r="165" spans="2:51"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</row>
    <row r="166" spans="2:51"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</row>
    <row r="167" spans="2:51"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</row>
    <row r="168" spans="2:51"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</row>
    <row r="169" spans="2:51"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</row>
    <row r="170" spans="2:51"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</row>
    <row r="171" spans="2:51"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</row>
    <row r="172" spans="2:51"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</row>
  </sheetData>
  <hyperlinks>
    <hyperlink ref="U140" r:id="rId1" display="https://ir.wingstop.com/wingstop-announces-125-million-accelerated-share-repurchase-agreement/" xr:uid="{08033F09-96CE-DA45-B36B-983DE50D401C}"/>
  </hyperlinks>
  <pageMargins left="0.7" right="0.7" top="0.75" bottom="0.75" header="0.3" footer="0.3"/>
  <ignoredErrors>
    <ignoredError sqref="J34 N23:N27 N31:N36 N28:N30 AO34" formula="1"/>
    <ignoredError sqref="J32:J33 J23:J27 J28:J30" formula="1" formulaRange="1"/>
    <ignoredError sqref="J21:J22 AJ23:AL23 N68:U69 E16:U16 V16:X16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2021-10-28T04:40:14Z</dcterms:created>
  <dcterms:modified xsi:type="dcterms:W3CDTF">2024-08-18T18:57:57Z</dcterms:modified>
</cp:coreProperties>
</file>