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Basic Materials/basic materials/"/>
    </mc:Choice>
  </mc:AlternateContent>
  <xr:revisionPtr revIDLastSave="0" documentId="13_ncr:1_{D7E3185F-4954-2F40-BFA9-411C38BF307A}" xr6:coauthVersionLast="47" xr6:coauthVersionMax="47" xr10:uidLastSave="{00000000-0000-0000-0000-000000000000}"/>
  <bookViews>
    <workbookView xWindow="26620" yWindow="500" windowWidth="24580" windowHeight="28300" xr2:uid="{07D78FF2-81C0-6544-ACE5-40433F70B1C2}"/>
  </bookViews>
  <sheets>
    <sheet name="Main" sheetId="1" r:id="rId1"/>
    <sheet name="Portfol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6" i="1" l="1"/>
  <c r="F106" i="1"/>
  <c r="I105" i="1"/>
  <c r="F105" i="1"/>
  <c r="E8" i="2" l="1"/>
  <c r="E6" i="2"/>
  <c r="O65" i="1"/>
  <c r="C5" i="2"/>
  <c r="C9" i="2" l="1"/>
  <c r="C19" i="2" s="1"/>
  <c r="C8" i="2"/>
  <c r="C11" i="2" s="1"/>
  <c r="C13" i="2" s="1"/>
  <c r="C12" i="2" l="1"/>
  <c r="C20" i="2"/>
  <c r="P64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6" i="1"/>
  <c r="P105" i="1"/>
  <c r="P104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2" i="1"/>
  <c r="P81" i="1"/>
  <c r="P80" i="1"/>
  <c r="P76" i="1"/>
  <c r="P75" i="1"/>
  <c r="P74" i="1"/>
  <c r="P73" i="1"/>
  <c r="P72" i="1"/>
  <c r="P71" i="1"/>
  <c r="P70" i="1"/>
  <c r="P69" i="1"/>
  <c r="P68" i="1"/>
  <c r="P67" i="1"/>
  <c r="P66" i="1"/>
  <c r="P65" i="1"/>
  <c r="P63" i="1"/>
  <c r="P59" i="1"/>
  <c r="P58" i="1"/>
  <c r="P57" i="1"/>
  <c r="P54" i="1"/>
  <c r="P53" i="1"/>
  <c r="P52" i="1"/>
  <c r="P51" i="1"/>
  <c r="P50" i="1"/>
  <c r="P49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0" i="1"/>
  <c r="P29" i="1"/>
  <c r="P28" i="1"/>
  <c r="P27" i="1"/>
  <c r="P26" i="1"/>
  <c r="P25" i="1"/>
  <c r="P24" i="1"/>
  <c r="P23" i="1"/>
  <c r="P22" i="1"/>
  <c r="P19" i="1"/>
  <c r="P18" i="1"/>
  <c r="P17" i="1"/>
  <c r="P14" i="1"/>
  <c r="P13" i="1"/>
  <c r="P12" i="1"/>
  <c r="P11" i="1"/>
  <c r="P10" i="1"/>
  <c r="P9" i="1"/>
  <c r="P8" i="1"/>
  <c r="P7" i="1"/>
  <c r="P6" i="1"/>
  <c r="J8" i="1"/>
  <c r="F8" i="1"/>
  <c r="I8" i="1" s="1"/>
  <c r="J7" i="1" l="1"/>
  <c r="J6" i="1"/>
  <c r="J29" i="1" l="1"/>
  <c r="F29" i="1"/>
  <c r="I29" i="1" s="1"/>
  <c r="J86" i="1"/>
  <c r="F86" i="1"/>
  <c r="I86" i="1" s="1"/>
  <c r="J53" i="1" l="1"/>
  <c r="F53" i="1"/>
  <c r="I53" i="1" s="1"/>
  <c r="J52" i="1"/>
  <c r="F52" i="1"/>
  <c r="I52" i="1" s="1"/>
  <c r="J51" i="1"/>
  <c r="F51" i="1"/>
  <c r="I51" i="1" s="1"/>
  <c r="J50" i="1"/>
  <c r="F50" i="1"/>
  <c r="I50" i="1" s="1"/>
  <c r="J49" i="1"/>
  <c r="F49" i="1"/>
  <c r="I49" i="1" s="1"/>
  <c r="J59" i="1" l="1"/>
  <c r="F59" i="1"/>
  <c r="I59" i="1" s="1"/>
  <c r="J58" i="1"/>
  <c r="F58" i="1"/>
  <c r="I58" i="1" s="1"/>
  <c r="J97" i="1"/>
  <c r="F97" i="1"/>
  <c r="I97" i="1" s="1"/>
  <c r="O30" i="1"/>
  <c r="O29" i="1"/>
  <c r="O28" i="1"/>
  <c r="O27" i="1"/>
  <c r="O26" i="1"/>
  <c r="O25" i="1"/>
  <c r="O24" i="1"/>
  <c r="O23" i="1"/>
  <c r="O22" i="1"/>
  <c r="O19" i="1"/>
  <c r="O18" i="1"/>
  <c r="O17" i="1"/>
  <c r="J57" i="1"/>
  <c r="F57" i="1"/>
  <c r="I57" i="1" s="1"/>
  <c r="J71" i="1" l="1"/>
  <c r="J70" i="1"/>
  <c r="J69" i="1"/>
  <c r="J67" i="1"/>
  <c r="F67" i="1"/>
  <c r="K66" i="1"/>
  <c r="K65" i="1"/>
  <c r="K64" i="1"/>
  <c r="J66" i="1"/>
  <c r="F66" i="1"/>
  <c r="J65" i="1"/>
  <c r="F65" i="1"/>
  <c r="J72" i="1"/>
  <c r="F72" i="1"/>
  <c r="J64" i="1"/>
  <c r="F64" i="1"/>
  <c r="J63" i="1"/>
  <c r="O3" i="1" l="1"/>
  <c r="I67" i="1"/>
  <c r="I66" i="1"/>
  <c r="I72" i="1"/>
  <c r="I65" i="1"/>
  <c r="I64" i="1"/>
  <c r="F63" i="1"/>
  <c r="I63" i="1" l="1"/>
  <c r="J80" i="1"/>
  <c r="F80" i="1"/>
  <c r="F17" i="1"/>
  <c r="F7" i="1"/>
  <c r="F6" i="1"/>
  <c r="F69" i="1"/>
  <c r="F70" i="1"/>
  <c r="I69" i="1" l="1"/>
  <c r="I7" i="1"/>
  <c r="I17" i="1"/>
  <c r="I80" i="1"/>
  <c r="I70" i="1"/>
  <c r="I6" i="1"/>
  <c r="F71" i="1"/>
  <c r="I71" i="1" l="1"/>
  <c r="J76" i="1"/>
  <c r="J75" i="1"/>
  <c r="J74" i="1"/>
  <c r="J73" i="1"/>
  <c r="F75" i="1"/>
  <c r="I75" i="1" l="1"/>
  <c r="F73" i="1"/>
  <c r="I73" i="1" l="1"/>
  <c r="F74" i="1"/>
  <c r="F76" i="1"/>
  <c r="F3" i="1" l="1"/>
  <c r="Q136" i="1" s="1"/>
  <c r="R136" i="1" s="1"/>
  <c r="I76" i="1"/>
  <c r="I74" i="1"/>
  <c r="Q17" i="1" l="1"/>
  <c r="R17" i="1" s="1"/>
  <c r="Q72" i="1"/>
  <c r="R72" i="1" s="1"/>
  <c r="Q9" i="1"/>
  <c r="R9" i="1" s="1"/>
  <c r="Q27" i="1"/>
  <c r="R27" i="1" s="1"/>
  <c r="Q137" i="1"/>
  <c r="R137" i="1" s="1"/>
  <c r="Q130" i="1"/>
  <c r="R130" i="1" s="1"/>
  <c r="Q34" i="1"/>
  <c r="R34" i="1" s="1"/>
  <c r="Q150" i="1"/>
  <c r="R150" i="1" s="1"/>
  <c r="Q105" i="1"/>
  <c r="R105" i="1" s="1"/>
  <c r="Q161" i="1"/>
  <c r="R161" i="1" s="1"/>
  <c r="Q7" i="1"/>
  <c r="R7" i="1" s="1"/>
  <c r="Q66" i="1"/>
  <c r="R66" i="1" s="1"/>
  <c r="Q49" i="1"/>
  <c r="R49" i="1" s="1"/>
  <c r="Q37" i="1"/>
  <c r="R37" i="1" s="1"/>
  <c r="Q145" i="1"/>
  <c r="R145" i="1" s="1"/>
  <c r="Q39" i="1"/>
  <c r="R39" i="1" s="1"/>
  <c r="Q42" i="1"/>
  <c r="R42" i="1" s="1"/>
  <c r="Q168" i="1"/>
  <c r="R168" i="1" s="1"/>
  <c r="Q132" i="1"/>
  <c r="R132" i="1" s="1"/>
  <c r="Q46" i="1"/>
  <c r="R46" i="1" s="1"/>
  <c r="Q70" i="1"/>
  <c r="R70" i="1" s="1"/>
  <c r="Q94" i="1"/>
  <c r="R94" i="1" s="1"/>
  <c r="Q153" i="1"/>
  <c r="R153" i="1" s="1"/>
  <c r="Q123" i="1"/>
  <c r="R123" i="1" s="1"/>
  <c r="Q52" i="1"/>
  <c r="R52" i="1" s="1"/>
  <c r="Q158" i="1"/>
  <c r="R158" i="1" s="1"/>
  <c r="Q147" i="1"/>
  <c r="R147" i="1" s="1"/>
  <c r="Q67" i="1"/>
  <c r="R67" i="1" s="1"/>
  <c r="Q68" i="1"/>
  <c r="R68" i="1" s="1"/>
  <c r="Q157" i="1"/>
  <c r="R157" i="1" s="1"/>
  <c r="Q146" i="1"/>
  <c r="R146" i="1" s="1"/>
  <c r="Q11" i="1"/>
  <c r="R11" i="1" s="1"/>
  <c r="Q57" i="1"/>
  <c r="R57" i="1" s="1"/>
  <c r="Q100" i="1"/>
  <c r="R100" i="1" s="1"/>
  <c r="Q166" i="1"/>
  <c r="R166" i="1" s="1"/>
  <c r="Q29" i="1"/>
  <c r="R29" i="1" s="1"/>
  <c r="Q41" i="1"/>
  <c r="R41" i="1" s="1"/>
  <c r="Q73" i="1"/>
  <c r="R73" i="1" s="1"/>
  <c r="Q8" i="1"/>
  <c r="R8" i="1" s="1"/>
  <c r="Q113" i="1"/>
  <c r="R113" i="1" s="1"/>
  <c r="Q23" i="1"/>
  <c r="R23" i="1" s="1"/>
  <c r="Q125" i="1"/>
  <c r="R125" i="1" s="1"/>
  <c r="Q64" i="1"/>
  <c r="R64" i="1" s="1"/>
  <c r="Q45" i="1"/>
  <c r="R45" i="1" s="1"/>
  <c r="Q58" i="1"/>
  <c r="R58" i="1" s="1"/>
  <c r="Q6" i="1"/>
  <c r="R6" i="1" s="1"/>
  <c r="Q139" i="1"/>
  <c r="R139" i="1" s="1"/>
  <c r="Q164" i="1"/>
  <c r="R164" i="1" s="1"/>
  <c r="Q97" i="1"/>
  <c r="R97" i="1" s="1"/>
  <c r="Q120" i="1"/>
  <c r="R120" i="1" s="1"/>
  <c r="Q69" i="1"/>
  <c r="R69" i="1" s="1"/>
  <c r="Q10" i="1"/>
  <c r="R10" i="1" s="1"/>
  <c r="Q165" i="1"/>
  <c r="R165" i="1" s="1"/>
  <c r="Q110" i="1"/>
  <c r="R110" i="1" s="1"/>
  <c r="Q152" i="1"/>
  <c r="R152" i="1" s="1"/>
  <c r="Q80" i="1"/>
  <c r="R80" i="1" s="1"/>
  <c r="Q95" i="1"/>
  <c r="R95" i="1" s="1"/>
  <c r="Q167" i="1"/>
  <c r="R167" i="1" s="1"/>
  <c r="Q118" i="1"/>
  <c r="R118" i="1" s="1"/>
  <c r="Q104" i="1"/>
  <c r="R104" i="1" s="1"/>
  <c r="Q106" i="1"/>
  <c r="R106" i="1" s="1"/>
  <c r="Q170" i="1"/>
  <c r="R170" i="1" s="1"/>
  <c r="Q75" i="1"/>
  <c r="R75" i="1" s="1"/>
  <c r="Q63" i="1"/>
  <c r="R63" i="1" s="1"/>
  <c r="Q114" i="1"/>
  <c r="R114" i="1" s="1"/>
  <c r="Q140" i="1"/>
  <c r="R140" i="1" s="1"/>
  <c r="Q121" i="1"/>
  <c r="R121" i="1" s="1"/>
  <c r="Q18" i="1"/>
  <c r="R18" i="1" s="1"/>
  <c r="Q96" i="1"/>
  <c r="R96" i="1" s="1"/>
  <c r="Q134" i="1"/>
  <c r="R134" i="1" s="1"/>
  <c r="Q131" i="1"/>
  <c r="R131" i="1" s="1"/>
  <c r="Q71" i="1"/>
  <c r="R71" i="1" s="1"/>
  <c r="Q65" i="1"/>
  <c r="R65" i="1" s="1"/>
  <c r="Q138" i="1"/>
  <c r="R138" i="1" s="1"/>
  <c r="Q51" i="1"/>
  <c r="R51" i="1" s="1"/>
  <c r="Q129" i="1"/>
  <c r="R129" i="1" s="1"/>
  <c r="Q122" i="1"/>
  <c r="R122" i="1" s="1"/>
  <c r="Q12" i="1"/>
  <c r="R12" i="1" s="1"/>
  <c r="Q142" i="1"/>
  <c r="R142" i="1" s="1"/>
  <c r="Q87" i="1"/>
  <c r="R87" i="1" s="1"/>
  <c r="Q133" i="1"/>
  <c r="R133" i="1" s="1"/>
  <c r="Q22" i="1"/>
  <c r="R22" i="1" s="1"/>
  <c r="Q89" i="1"/>
  <c r="R89" i="1" s="1"/>
  <c r="Q28" i="1"/>
  <c r="R28" i="1" s="1"/>
  <c r="Q124" i="1"/>
  <c r="R124" i="1" s="1"/>
  <c r="Q141" i="1"/>
  <c r="R141" i="1" s="1"/>
  <c r="Q159" i="1"/>
  <c r="R159" i="1" s="1"/>
  <c r="Q25" i="1"/>
  <c r="R25" i="1" s="1"/>
  <c r="Q13" i="1"/>
  <c r="R13" i="1" s="1"/>
  <c r="Q53" i="1"/>
  <c r="R53" i="1" s="1"/>
  <c r="Q90" i="1"/>
  <c r="R90" i="1" s="1"/>
  <c r="Q98" i="1"/>
  <c r="R98" i="1" s="1"/>
  <c r="Q111" i="1"/>
  <c r="R111" i="1" s="1"/>
  <c r="Q127" i="1"/>
  <c r="R127" i="1" s="1"/>
  <c r="Q119" i="1"/>
  <c r="R119" i="1" s="1"/>
  <c r="Q135" i="1"/>
  <c r="R135" i="1" s="1"/>
  <c r="Q160" i="1"/>
  <c r="R160" i="1" s="1"/>
  <c r="Q40" i="1"/>
  <c r="R40" i="1" s="1"/>
  <c r="Q88" i="1"/>
  <c r="R88" i="1" s="1"/>
  <c r="Q35" i="1"/>
  <c r="R35" i="1" s="1"/>
  <c r="Q151" i="1"/>
  <c r="R151" i="1" s="1"/>
  <c r="Q115" i="1"/>
  <c r="R115" i="1" s="1"/>
  <c r="Q169" i="1"/>
  <c r="R169" i="1" s="1"/>
  <c r="Q74" i="1"/>
  <c r="R74" i="1" s="1"/>
  <c r="Q101" i="1"/>
  <c r="R101" i="1" s="1"/>
  <c r="Q156" i="1"/>
  <c r="R156" i="1" s="1"/>
  <c r="Q144" i="1"/>
  <c r="R144" i="1" s="1"/>
  <c r="Q162" i="1"/>
  <c r="R162" i="1" s="1"/>
  <c r="Q30" i="1"/>
  <c r="R30" i="1" s="1"/>
  <c r="Q148" i="1"/>
  <c r="R148" i="1" s="1"/>
  <c r="Q33" i="1"/>
  <c r="R33" i="1" s="1"/>
  <c r="Q149" i="1"/>
  <c r="R149" i="1" s="1"/>
  <c r="Q19" i="1"/>
  <c r="R19" i="1" s="1"/>
  <c r="Q14" i="1"/>
  <c r="R14" i="1" s="1"/>
  <c r="Q38" i="1"/>
  <c r="R38" i="1" s="1"/>
  <c r="Q50" i="1"/>
  <c r="R50" i="1" s="1"/>
  <c r="Q92" i="1"/>
  <c r="R92" i="1" s="1"/>
  <c r="Q163" i="1"/>
  <c r="R163" i="1" s="1"/>
  <c r="Q86" i="1"/>
  <c r="R86" i="1" s="1"/>
  <c r="Q24" i="1"/>
  <c r="R24" i="1" s="1"/>
  <c r="Q126" i="1"/>
  <c r="R126" i="1" s="1"/>
  <c r="Q93" i="1"/>
  <c r="R93" i="1" s="1"/>
  <c r="Q116" i="1"/>
  <c r="R116" i="1" s="1"/>
  <c r="Q117" i="1"/>
  <c r="R117" i="1" s="1"/>
  <c r="Q43" i="1"/>
  <c r="R43" i="1" s="1"/>
  <c r="Q143" i="1"/>
  <c r="R143" i="1" s="1"/>
  <c r="Q59" i="1"/>
  <c r="R59" i="1" s="1"/>
  <c r="Q36" i="1"/>
  <c r="R36" i="1" s="1"/>
  <c r="Q44" i="1"/>
  <c r="R44" i="1" s="1"/>
  <c r="Q54" i="1"/>
  <c r="R54" i="1" s="1"/>
  <c r="Q91" i="1"/>
  <c r="R91" i="1" s="1"/>
  <c r="Q99" i="1"/>
  <c r="R99" i="1" s="1"/>
  <c r="Q112" i="1"/>
  <c r="R112" i="1" s="1"/>
  <c r="Q76" i="1"/>
  <c r="R76" i="1" s="1"/>
  <c r="Q26" i="1"/>
  <c r="R26" i="1" s="1"/>
  <c r="Q128" i="1"/>
  <c r="R128" i="1" s="1"/>
</calcChain>
</file>

<file path=xl/sharedStrings.xml><?xml version="1.0" encoding="utf-8"?>
<sst xmlns="http://schemas.openxmlformats.org/spreadsheetml/2006/main" count="386" uniqueCount="377">
  <si>
    <t>Ticker</t>
  </si>
  <si>
    <t>Company</t>
  </si>
  <si>
    <t>Price</t>
  </si>
  <si>
    <t>NEM</t>
  </si>
  <si>
    <t>Newmont Corp</t>
  </si>
  <si>
    <t>RGLD</t>
  </si>
  <si>
    <t>Royal Gold, Inc</t>
  </si>
  <si>
    <t>CDE</t>
  </si>
  <si>
    <t>Coeur Mining Inc</t>
  </si>
  <si>
    <t>SSRM</t>
  </si>
  <si>
    <t>SSR Mining Inc</t>
  </si>
  <si>
    <t>NG</t>
  </si>
  <si>
    <t>Novagold Resources Inc</t>
  </si>
  <si>
    <t>IAUX</t>
  </si>
  <si>
    <t>i-80 Gold Corp</t>
  </si>
  <si>
    <t>DC</t>
  </si>
  <si>
    <t>Dakota Gold Corp</t>
  </si>
  <si>
    <t>IDR</t>
  </si>
  <si>
    <t>Idaho Strategic Resources Inc</t>
  </si>
  <si>
    <t>CTGO</t>
  </si>
  <si>
    <t>Contango Ore Inc</t>
  </si>
  <si>
    <t>USAU</t>
  </si>
  <si>
    <t>U.S. Gold Corp</t>
  </si>
  <si>
    <t>VGZ</t>
  </si>
  <si>
    <t>Vista Gold Corp</t>
  </si>
  <si>
    <t>HYMC</t>
  </si>
  <si>
    <t>Hycroft Mining Holding Corporation</t>
  </si>
  <si>
    <t>PZG</t>
  </si>
  <si>
    <t>Paramount Gold Nevada Corp</t>
  </si>
  <si>
    <t>GORO</t>
  </si>
  <si>
    <t>Gold Resource Corp</t>
  </si>
  <si>
    <t>Shares</t>
  </si>
  <si>
    <t>Cash</t>
  </si>
  <si>
    <t>Debt</t>
  </si>
  <si>
    <t>EV</t>
  </si>
  <si>
    <t>MC</t>
  </si>
  <si>
    <t xml:space="preserve">march 2025 permit expected </t>
  </si>
  <si>
    <t>notes</t>
  </si>
  <si>
    <t xml:space="preserve">NPV $1,1B 2024 Feasibility Study </t>
  </si>
  <si>
    <t>Gold</t>
  </si>
  <si>
    <t xml:space="preserve">Agricultural Inputs </t>
  </si>
  <si>
    <t>CTVA</t>
  </si>
  <si>
    <t>Corteva Inc</t>
  </si>
  <si>
    <t>CF</t>
  </si>
  <si>
    <t>CF Industries Holdings Inc</t>
  </si>
  <si>
    <t>MOS</t>
  </si>
  <si>
    <t>Mosaic Company</t>
  </si>
  <si>
    <t>FMC</t>
  </si>
  <si>
    <t>FMC Corp</t>
  </si>
  <si>
    <t>SMG</t>
  </si>
  <si>
    <t>Scotts Miracle-Gro Company</t>
  </si>
  <si>
    <t>UAN</t>
  </si>
  <si>
    <t>CVR Partners LP</t>
  </si>
  <si>
    <t>IPI</t>
  </si>
  <si>
    <t>Intrepid Potash Inc</t>
  </si>
  <si>
    <t>AVD</t>
  </si>
  <si>
    <t>American Vanguard Corp</t>
  </si>
  <si>
    <t>BHIL</t>
  </si>
  <si>
    <t>Benson Hill Inc</t>
  </si>
  <si>
    <t xml:space="preserve">Aluminum </t>
  </si>
  <si>
    <t xml:space="preserve">Alcoa Corp </t>
  </si>
  <si>
    <t>Century Aluminum</t>
  </si>
  <si>
    <t xml:space="preserve">Kaiser Aluminum Corp </t>
  </si>
  <si>
    <t xml:space="preserve">Building Materials </t>
  </si>
  <si>
    <t>CRH Plc</t>
  </si>
  <si>
    <t>Vulcan Materials Co</t>
  </si>
  <si>
    <t>Martin Marietta Materials, Inc</t>
  </si>
  <si>
    <t>EXP</t>
  </si>
  <si>
    <t>Eagle Materials Inc</t>
  </si>
  <si>
    <t>SUM</t>
  </si>
  <si>
    <t>Summit Materials Inc</t>
  </si>
  <si>
    <t>KNF</t>
  </si>
  <si>
    <t>Knife River Corp</t>
  </si>
  <si>
    <t>BCC</t>
  </si>
  <si>
    <t>Boise Cascade Co</t>
  </si>
  <si>
    <t>USLM</t>
  </si>
  <si>
    <t>United States Lime &amp; Minerals Inc</t>
  </si>
  <si>
    <t>SMID</t>
  </si>
  <si>
    <t>Smith-Midland Corp</t>
  </si>
  <si>
    <t>Chemicals</t>
  </si>
  <si>
    <t>DOW</t>
  </si>
  <si>
    <t>Dow Inc</t>
  </si>
  <si>
    <t>CE</t>
  </si>
  <si>
    <t>Celanese Corp</t>
  </si>
  <si>
    <t>OLN</t>
  </si>
  <si>
    <t>Olin Corp</t>
  </si>
  <si>
    <t>HUN</t>
  </si>
  <si>
    <t>Huntsman Corp</t>
  </si>
  <si>
    <t>TROX</t>
  </si>
  <si>
    <t>Tronox Holdings plc</t>
  </si>
  <si>
    <t>WLKP</t>
  </si>
  <si>
    <t>Westlake Chemical Partners LP</t>
  </si>
  <si>
    <t>ASIX</t>
  </si>
  <si>
    <t>AdvanSix Inc</t>
  </si>
  <si>
    <t>REX</t>
  </si>
  <si>
    <t>REX American Resources Corp</t>
  </si>
  <si>
    <t>GPRE</t>
  </si>
  <si>
    <t>Green Plains Inc</t>
  </si>
  <si>
    <t>VHI</t>
  </si>
  <si>
    <t>Valhi, Inc</t>
  </si>
  <si>
    <t>LXU</t>
  </si>
  <si>
    <t>LSB Industries, Inc</t>
  </si>
  <si>
    <t>RYAM</t>
  </si>
  <si>
    <t>Rayonier Advanced Materials Inc</t>
  </si>
  <si>
    <t>ASPI</t>
  </si>
  <si>
    <t>ASP Isotopes Inc</t>
  </si>
  <si>
    <t>ORGN</t>
  </si>
  <si>
    <t>Origin Materials Inc</t>
  </si>
  <si>
    <t xml:space="preserve">Coking Coal </t>
  </si>
  <si>
    <t>HCC</t>
  </si>
  <si>
    <t>Warrior Met Coal Inc</t>
  </si>
  <si>
    <t>AMR</t>
  </si>
  <si>
    <t>Alpha Metallurgical Resources Inc</t>
  </si>
  <si>
    <t>ARCH</t>
  </si>
  <si>
    <t>Arch Resources Inc</t>
  </si>
  <si>
    <t>SXC</t>
  </si>
  <si>
    <t>SunCoke Energy Inc</t>
  </si>
  <si>
    <t>METC</t>
  </si>
  <si>
    <t>Ramaco Resources Inc</t>
  </si>
  <si>
    <t>AREC</t>
  </si>
  <si>
    <t>American Resources Corporation</t>
  </si>
  <si>
    <t>Copper</t>
  </si>
  <si>
    <t>Southern Copper Corp</t>
  </si>
  <si>
    <t>Freeport-McMoRan</t>
  </si>
  <si>
    <t>Ivanhoe Electric</t>
  </si>
  <si>
    <t>SCCO</t>
  </si>
  <si>
    <t>FCX</t>
  </si>
  <si>
    <t>IE</t>
  </si>
  <si>
    <t>Lumber &amp; Wood Production</t>
  </si>
  <si>
    <t>UFP Industries</t>
  </si>
  <si>
    <t>Simpson Manufacturing</t>
  </si>
  <si>
    <t>Jewest-Cameron Trading</t>
  </si>
  <si>
    <t>Other</t>
  </si>
  <si>
    <t>MP</t>
  </si>
  <si>
    <t>MP Materials Corporation</t>
  </si>
  <si>
    <t>MTRN</t>
  </si>
  <si>
    <t>Materion Corp</t>
  </si>
  <si>
    <t>IPX</t>
  </si>
  <si>
    <t>IperionX Ltd ADR</t>
  </si>
  <si>
    <t>CRML</t>
  </si>
  <si>
    <t>Critical Metals Corp</t>
  </si>
  <si>
    <t>CMP</t>
  </si>
  <si>
    <t>Compass Minerals International Inc</t>
  </si>
  <si>
    <t>PLL</t>
  </si>
  <si>
    <t>Piedmont Lithium Inc</t>
  </si>
  <si>
    <t>UAMY</t>
  </si>
  <si>
    <t>United States Antimony Corp</t>
  </si>
  <si>
    <t>ABAT</t>
  </si>
  <si>
    <t>American Battery Technology Company</t>
  </si>
  <si>
    <t>NB</t>
  </si>
  <si>
    <t>NioCorp Developments Ltd</t>
  </si>
  <si>
    <t>XPL</t>
  </si>
  <si>
    <t>Solitario Resources Corp</t>
  </si>
  <si>
    <t>WWR</t>
  </si>
  <si>
    <t>Westwater Resources Inc</t>
  </si>
  <si>
    <t>OMEX</t>
  </si>
  <si>
    <t>Odyssey Marine Exploration, Inc</t>
  </si>
  <si>
    <t>HL</t>
  </si>
  <si>
    <t>Hecla Mining Co</t>
  </si>
  <si>
    <t>PPTA</t>
  </si>
  <si>
    <t>Perpetua Resources Corp</t>
  </si>
  <si>
    <t>LODE</t>
  </si>
  <si>
    <t>Comstock Inc</t>
  </si>
  <si>
    <t>AUMN</t>
  </si>
  <si>
    <t>Golden Minerals Co</t>
  </si>
  <si>
    <t xml:space="preserve">Paper  &amp; Paper </t>
  </si>
  <si>
    <t>Sylvam Corp</t>
  </si>
  <si>
    <t>Magnera Corp</t>
  </si>
  <si>
    <t xml:space="preserve">Clearwater Paper Corp </t>
  </si>
  <si>
    <t xml:space="preserve">Specialty Chemicals </t>
  </si>
  <si>
    <t>AA</t>
  </si>
  <si>
    <t>ALB</t>
  </si>
  <si>
    <t>Albemarle Corp</t>
  </si>
  <si>
    <t>ALTO</t>
  </si>
  <si>
    <t>Alto Ingredients Inc</t>
  </si>
  <si>
    <t>APD</t>
  </si>
  <si>
    <t>Air Products &amp; Chemicals Inc</t>
  </si>
  <si>
    <t>ASH</t>
  </si>
  <si>
    <t>Ashland Inc</t>
  </si>
  <si>
    <t>AVNT</t>
  </si>
  <si>
    <t>Avient Corp</t>
  </si>
  <si>
    <t>AXTA</t>
  </si>
  <si>
    <t>Axalta Coating Systems Ltd</t>
  </si>
  <si>
    <t>BCPC</t>
  </si>
  <si>
    <t>Balchem Corp</t>
  </si>
  <si>
    <t>CBT</t>
  </si>
  <si>
    <t>Cabot Corp</t>
  </si>
  <si>
    <t>CC</t>
  </si>
  <si>
    <t>Chemours Company</t>
  </si>
  <si>
    <t>CMT</t>
  </si>
  <si>
    <t>Core Molding Technologies</t>
  </si>
  <si>
    <t>CRKN</t>
  </si>
  <si>
    <t>Crown ElectroKinetics Corp</t>
  </si>
  <si>
    <t>DD</t>
  </si>
  <si>
    <t>DuPont de Nemours Inc</t>
  </si>
  <si>
    <t>DNMR</t>
  </si>
  <si>
    <t>Danimer Scientific Inc</t>
  </si>
  <si>
    <t>ECL</t>
  </si>
  <si>
    <t>Ecolab, Inc</t>
  </si>
  <si>
    <t>ECVT</t>
  </si>
  <si>
    <t>Ecovyst Inc</t>
  </si>
  <si>
    <t>EMN</t>
  </si>
  <si>
    <t>Eastman Chemical Co</t>
  </si>
  <si>
    <t>ESI</t>
  </si>
  <si>
    <t>Element Solutions Inc</t>
  </si>
  <si>
    <t>FEAM</t>
  </si>
  <si>
    <t>5E Advanced Materials Inc</t>
  </si>
  <si>
    <t>FF</t>
  </si>
  <si>
    <t>Futurefuel Corp</t>
  </si>
  <si>
    <t>FUL</t>
  </si>
  <si>
    <t>H.B. Fuller Company</t>
  </si>
  <si>
    <t>GEVO</t>
  </si>
  <si>
    <t>Gevo Inc</t>
  </si>
  <si>
    <t>HDSN</t>
  </si>
  <si>
    <t>Hudson Technologies, Inc</t>
  </si>
  <si>
    <t>HWKN</t>
  </si>
  <si>
    <t>Hawkins Inc</t>
  </si>
  <si>
    <t>IFF</t>
  </si>
  <si>
    <t>International Flavors &amp; Fragrances Inc</t>
  </si>
  <si>
    <t>IOSP</t>
  </si>
  <si>
    <t>Innospec Inc</t>
  </si>
  <si>
    <t>KOP</t>
  </si>
  <si>
    <t>Koppers Holdings Inc</t>
  </si>
  <si>
    <t>KRO</t>
  </si>
  <si>
    <t>Kronos Worldwide, Inc</t>
  </si>
  <si>
    <t>KWR</t>
  </si>
  <si>
    <t>Quaker Houghton</t>
  </si>
  <si>
    <t>LWLG</t>
  </si>
  <si>
    <t>Lightwave Logic Inc</t>
  </si>
  <si>
    <t>MATV</t>
  </si>
  <si>
    <t>Mativ Holdings Inc</t>
  </si>
  <si>
    <t>MTX</t>
  </si>
  <si>
    <t>Minerals Technologies, Inc</t>
  </si>
  <si>
    <t>NEU</t>
  </si>
  <si>
    <t>NewMarket Corp</t>
  </si>
  <si>
    <t>NGVT</t>
  </si>
  <si>
    <t>Ingevity Corp</t>
  </si>
  <si>
    <t>NTIC</t>
  </si>
  <si>
    <t>Northern Technologies International Corp</t>
  </si>
  <si>
    <t>ODC</t>
  </si>
  <si>
    <t>Oil-Dri Corp. Of America</t>
  </si>
  <si>
    <t>PPG</t>
  </si>
  <si>
    <t>PPG Industries, Inc</t>
  </si>
  <si>
    <t>RPM</t>
  </si>
  <si>
    <t>RPM International, Inc</t>
  </si>
  <si>
    <t>SCL</t>
  </si>
  <si>
    <t>Stepan Co</t>
  </si>
  <si>
    <t>SHW</t>
  </si>
  <si>
    <t>Sherwin-Williams Co</t>
  </si>
  <si>
    <t>SNES</t>
  </si>
  <si>
    <t>SenesTech Inc</t>
  </si>
  <si>
    <t>SXT</t>
  </si>
  <si>
    <t>Sensient Technologies Corp</t>
  </si>
  <si>
    <t>TSE</t>
  </si>
  <si>
    <t>Trinseo PLC</t>
  </si>
  <si>
    <t>WDFC</t>
  </si>
  <si>
    <t>WD-40 Co</t>
  </si>
  <si>
    <t>WLK</t>
  </si>
  <si>
    <t>Westlake Corporation</t>
  </si>
  <si>
    <t xml:space="preserve">Steel </t>
  </si>
  <si>
    <t>ACNT</t>
  </si>
  <si>
    <t>Ascent Industries Co</t>
  </si>
  <si>
    <t>CLF</t>
  </si>
  <si>
    <t>Cleveland-Cliffs Inc</t>
  </si>
  <si>
    <t>CMC</t>
  </si>
  <si>
    <t>Commercial Metals Co</t>
  </si>
  <si>
    <t>FRD</t>
  </si>
  <si>
    <t>Friedman Industries, Inc</t>
  </si>
  <si>
    <t>INHD</t>
  </si>
  <si>
    <t>Inno Holdings Inc</t>
  </si>
  <si>
    <t>MSB</t>
  </si>
  <si>
    <t>Mesabi Trust</t>
  </si>
  <si>
    <t>MTUS</t>
  </si>
  <si>
    <t>Metallus Inc</t>
  </si>
  <si>
    <t>NUE</t>
  </si>
  <si>
    <t>Nucor Corp</t>
  </si>
  <si>
    <t>RDUS</t>
  </si>
  <si>
    <t>Radius Recycling Inc</t>
  </si>
  <si>
    <t>RS</t>
  </si>
  <si>
    <t>Reliance Inc</t>
  </si>
  <si>
    <t>STLD</t>
  </si>
  <si>
    <t>Steel Dynamics Inc</t>
  </si>
  <si>
    <t>USAP</t>
  </si>
  <si>
    <t>Universal Stainless &amp; Alloy Products, Inc</t>
  </si>
  <si>
    <t>WS</t>
  </si>
  <si>
    <t>Worthington Steel Inc</t>
  </si>
  <si>
    <t>X</t>
  </si>
  <si>
    <t>United States Steel Corp</t>
  </si>
  <si>
    <t>ZEUS</t>
  </si>
  <si>
    <t>Olympic Steel Inc</t>
  </si>
  <si>
    <t xml:space="preserve">UFPI </t>
  </si>
  <si>
    <t>NPV</t>
  </si>
  <si>
    <t>CPS</t>
  </si>
  <si>
    <t>$m</t>
  </si>
  <si>
    <t>CENX</t>
  </si>
  <si>
    <t>KALU</t>
  </si>
  <si>
    <t xml:space="preserve">investigate </t>
  </si>
  <si>
    <t>SLVM</t>
  </si>
  <si>
    <t>MAGN</t>
  </si>
  <si>
    <t>CLW</t>
  </si>
  <si>
    <t>unweighted return</t>
  </si>
  <si>
    <t xml:space="preserve">Weight </t>
  </si>
  <si>
    <t>Weighted returns</t>
  </si>
  <si>
    <t>investors expected +$1B payout from lawsuit, company only got $37m</t>
  </si>
  <si>
    <t xml:space="preserve">80% copper dervied revenues; global exposure: north/south america, indonesia, africaIndonesia exposure </t>
  </si>
  <si>
    <t>awaiting feasibility study, I susecpt npv will be ~$1B-$1.1B once results drop, expected Q2'25</t>
  </si>
  <si>
    <t>weighted return</t>
  </si>
  <si>
    <t xml:space="preserve">purchased mountain pass mine for $20.5m at auction…  rare earth minerals </t>
  </si>
  <si>
    <t>precious metals, non-precious, inorganic chemicals, specialty , beryllium, copper alloys</t>
  </si>
  <si>
    <t xml:space="preserve">salt mines </t>
  </si>
  <si>
    <t>lithium mines</t>
  </si>
  <si>
    <t xml:space="preserve">antimony ore for antimony oxide, metal, trisulfide, </t>
  </si>
  <si>
    <t xml:space="preserve">battery recycling </t>
  </si>
  <si>
    <t>lithium for Evs</t>
  </si>
  <si>
    <t xml:space="preserve">niobium, scandium, titanium </t>
  </si>
  <si>
    <t xml:space="preserve">planning to produce gold and antimony </t>
  </si>
  <si>
    <t xml:space="preserve">hydro-deoxygenated bioleum oil , aviation fuel, fuel feedsrtocks , metals </t>
  </si>
  <si>
    <t>short because sustained low coking coal prices between $170-$200/ton</t>
  </si>
  <si>
    <t>gross exposure to global steel demand and spot prices</t>
  </si>
  <si>
    <t>long term contracts not affected by pricing vol</t>
  </si>
  <si>
    <t xml:space="preserve">index based pricing, clear short. </t>
  </si>
  <si>
    <t>90% copper derived revenues; pure copper play ; geo exposure:peru/mexico; fairly valued.</t>
  </si>
  <si>
    <t>SSD</t>
  </si>
  <si>
    <t>JCTC</t>
  </si>
  <si>
    <t>S</t>
  </si>
  <si>
    <t>VMC US</t>
  </si>
  <si>
    <t>MLM US</t>
  </si>
  <si>
    <t>EV/E</t>
  </si>
  <si>
    <t xml:space="preserve">can't justify current srtock price growth, but no clear catalyst as of now </t>
  </si>
  <si>
    <t xml:space="preserve">seed business under pressure.. Turnaround underway.  Neutral play </t>
  </si>
  <si>
    <t xml:space="preserve">ammonia, urea, ammonium nitrate, ammonium nitrate solution </t>
  </si>
  <si>
    <t>2024 R</t>
  </si>
  <si>
    <t>Start 24</t>
  </si>
  <si>
    <t>End 24</t>
  </si>
  <si>
    <t>2025 R</t>
  </si>
  <si>
    <t>Trade Structure for RGLD</t>
  </si>
  <si>
    <t>current price</t>
  </si>
  <si>
    <t>port siz</t>
  </si>
  <si>
    <t>target risk per tarde</t>
  </si>
  <si>
    <t>300-600</t>
  </si>
  <si>
    <t>Stop Loss</t>
  </si>
  <si>
    <t>Upisde target</t>
  </si>
  <si>
    <t>Risk Per Share</t>
  </si>
  <si>
    <t>Pos Size</t>
  </si>
  <si>
    <t>Pos Size Agress</t>
  </si>
  <si>
    <t>Entry</t>
  </si>
  <si>
    <t xml:space="preserve">Add on Dips </t>
  </si>
  <si>
    <t>130-132</t>
  </si>
  <si>
    <t>Exit Strat</t>
  </si>
  <si>
    <t>Profit from 47 shares</t>
  </si>
  <si>
    <t>Loss from 47 shares</t>
  </si>
  <si>
    <t>Catalysts</t>
  </si>
  <si>
    <t>Gold Prices</t>
  </si>
  <si>
    <t>above $2600/oz</t>
  </si>
  <si>
    <t>Q4 results</t>
  </si>
  <si>
    <t>production from Penasquito, khoemacau, mount milligan</t>
  </si>
  <si>
    <t xml:space="preserve">Negative opertioanl updates </t>
  </si>
  <si>
    <t>delays in ramp ups or production</t>
  </si>
  <si>
    <t>Trade Structure for CDE</t>
  </si>
  <si>
    <t>`</t>
  </si>
  <si>
    <t>w</t>
  </si>
  <si>
    <t>fairly valued, missed short window :(</t>
  </si>
  <si>
    <t>l</t>
  </si>
  <si>
    <t>s</t>
  </si>
  <si>
    <t xml:space="preserve">exploratory phase-pre revenue </t>
  </si>
  <si>
    <t>light weight, metel streams/royalty business</t>
  </si>
  <si>
    <t>possible lonmg, awaiting feedback from key analyst to compare models</t>
  </si>
  <si>
    <t>Feasibility study expected early 2025, expecting good news</t>
  </si>
  <si>
    <t>meme stock cosplaying as sulfire ore processing mine.  Processing will be expensive, stock going to $0</t>
  </si>
  <si>
    <t xml:space="preserve"> </t>
  </si>
  <si>
    <t xml:space="preserve">50/50 joint owned Donlan gold project with barrick gold corp. .. Esti 39m oz of gold; court catalysts </t>
  </si>
  <si>
    <t>geo exposure</t>
  </si>
  <si>
    <t>merged with CONSOl energy  and rebranded as Core Natural Resources</t>
  </si>
  <si>
    <t>CRH IRE</t>
  </si>
  <si>
    <t>?????</t>
  </si>
  <si>
    <t>b</t>
  </si>
  <si>
    <t>merger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</si>
</sst>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\x"/>
    <numFmt numFmtId="166" formatCode="0.0%"/>
    <numFmt numFmtId="167" formatCode="_(* #,##0_);_(* \(#,##0\);_(* &quot;-&quot;??_);_(@_)"/>
  </numFmts>
  <fonts count="8">
    <font>
      <sz val="10"/>
      <color theme="1"/>
      <name val="ArialMT"/>
      <family val="2"/>
    </font>
    <font>
      <sz val="10"/>
      <color theme="1"/>
      <name val="ArialMT"/>
      <family val="2"/>
    </font>
    <font>
      <u/>
      <sz val="10"/>
      <color theme="10"/>
      <name val="ArialMT"/>
      <family val="2"/>
    </font>
    <font>
      <b/>
      <sz val="10"/>
      <color theme="1"/>
      <name val="ArialMT"/>
    </font>
    <font>
      <sz val="10"/>
      <color theme="1"/>
      <name val="ArialMT"/>
    </font>
    <font>
      <u/>
      <sz val="10"/>
      <color theme="1"/>
      <name val="ArialMT"/>
    </font>
    <font>
      <u/>
      <sz val="10"/>
      <color theme="1"/>
      <name val="ArialMT"/>
      <family val="2"/>
    </font>
    <font>
      <b/>
      <u/>
      <sz val="10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3" fontId="0" fillId="0" borderId="0" xfId="0" applyNumberFormat="1"/>
    <xf numFmtId="0" fontId="2" fillId="0" borderId="0" xfId="2"/>
    <xf numFmtId="3" fontId="2" fillId="0" borderId="0" xfId="2" applyNumberFormat="1"/>
    <xf numFmtId="3" fontId="3" fillId="0" borderId="0" xfId="0" applyNumberFormat="1" applyFont="1"/>
    <xf numFmtId="4" fontId="0" fillId="0" borderId="0" xfId="0" applyNumberFormat="1"/>
    <xf numFmtId="164" fontId="3" fillId="0" borderId="0" xfId="0" applyNumberFormat="1" applyFont="1"/>
    <xf numFmtId="164" fontId="0" fillId="0" borderId="0" xfId="0" applyNumberFormat="1"/>
    <xf numFmtId="9" fontId="0" fillId="0" borderId="0" xfId="1" applyFont="1"/>
    <xf numFmtId="3" fontId="4" fillId="0" borderId="0" xfId="0" applyNumberFormat="1" applyFont="1"/>
    <xf numFmtId="3" fontId="5" fillId="0" borderId="0" xfId="0" applyNumberFormat="1" applyFont="1"/>
    <xf numFmtId="164" fontId="4" fillId="0" borderId="0" xfId="0" applyNumberFormat="1" applyFont="1"/>
    <xf numFmtId="3" fontId="6" fillId="0" borderId="0" xfId="0" applyNumberFormat="1" applyFont="1"/>
    <xf numFmtId="9" fontId="0" fillId="0" borderId="0" xfId="0" applyNumberFormat="1"/>
    <xf numFmtId="9" fontId="3" fillId="0" borderId="0" xfId="0" applyNumberFormat="1" applyFont="1"/>
    <xf numFmtId="9" fontId="4" fillId="0" borderId="0" xfId="0" applyNumberFormat="1" applyFont="1"/>
    <xf numFmtId="3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left"/>
    </xf>
    <xf numFmtId="164" fontId="2" fillId="0" borderId="0" xfId="2" applyNumberFormat="1"/>
    <xf numFmtId="165" fontId="0" fillId="0" borderId="0" xfId="0" applyNumberFormat="1"/>
    <xf numFmtId="165" fontId="3" fillId="0" borderId="0" xfId="0" applyNumberFormat="1" applyFont="1" applyAlignment="1">
      <alignment horizontal="center"/>
    </xf>
    <xf numFmtId="165" fontId="3" fillId="0" borderId="0" xfId="0" applyNumberFormat="1" applyFont="1"/>
    <xf numFmtId="165" fontId="4" fillId="0" borderId="0" xfId="0" applyNumberFormat="1" applyFont="1"/>
    <xf numFmtId="0" fontId="7" fillId="0" borderId="0" xfId="0" applyFont="1"/>
    <xf numFmtId="4" fontId="7" fillId="0" borderId="0" xfId="0" applyNumberFormat="1" applyFont="1"/>
    <xf numFmtId="166" fontId="7" fillId="0" borderId="0" xfId="0" applyNumberFormat="1" applyFont="1"/>
    <xf numFmtId="3" fontId="7" fillId="0" borderId="0" xfId="0" applyNumberFormat="1" applyFont="1"/>
    <xf numFmtId="10" fontId="0" fillId="0" borderId="0" xfId="0" applyNumberFormat="1"/>
    <xf numFmtId="167" fontId="0" fillId="0" borderId="0" xfId="0" applyNumberFormat="1"/>
    <xf numFmtId="10" fontId="6" fillId="0" borderId="0" xfId="0" applyNumberFormat="1" applyFont="1"/>
    <xf numFmtId="0" fontId="0" fillId="0" borderId="0" xfId="0" quotePrefix="1"/>
    <xf numFmtId="1" fontId="0" fillId="0" borderId="0" xfId="0" applyNumberFormat="1"/>
    <xf numFmtId="4" fontId="3" fillId="0" borderId="0" xfId="0" applyNumberFormat="1" applyFont="1"/>
  </cellXfs>
  <cellStyles count="3">
    <cellStyle name="Hyperlink" xfId="2" builtinId="8"/>
    <cellStyle name="Normal" xfId="0" builtinId="0"/>
    <cellStyle name="Percent" xfId="1" builtinId="5"/>
  </cellStyles>
  <dxfs count="1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RGLD.xlsx" TargetMode="External"/><Relationship Id="rId13" Type="http://schemas.openxmlformats.org/officeDocument/2006/relationships/hyperlink" Target="IDR.xlsx" TargetMode="External"/><Relationship Id="rId18" Type="http://schemas.openxmlformats.org/officeDocument/2006/relationships/hyperlink" Target="AMR.xlsx" TargetMode="External"/><Relationship Id="rId26" Type="http://schemas.openxmlformats.org/officeDocument/2006/relationships/hyperlink" Target="agricultural%20inputs/CTVA.xlsx" TargetMode="External"/><Relationship Id="rId3" Type="http://schemas.openxmlformats.org/officeDocument/2006/relationships/hyperlink" Target="GORO.xlsx" TargetMode="External"/><Relationship Id="rId21" Type="http://schemas.openxmlformats.org/officeDocument/2006/relationships/hyperlink" Target="METC.xlsx" TargetMode="External"/><Relationship Id="rId7" Type="http://schemas.openxmlformats.org/officeDocument/2006/relationships/hyperlink" Target="Gold/NEM.xlsx" TargetMode="External"/><Relationship Id="rId12" Type="http://schemas.openxmlformats.org/officeDocument/2006/relationships/hyperlink" Target="DC.xlsx" TargetMode="External"/><Relationship Id="rId17" Type="http://schemas.openxmlformats.org/officeDocument/2006/relationships/hyperlink" Target="HCC.xlsx" TargetMode="External"/><Relationship Id="rId25" Type="http://schemas.openxmlformats.org/officeDocument/2006/relationships/hyperlink" Target="Basic%20Materials/Building%20Materials/USLM.xlsx" TargetMode="External"/><Relationship Id="rId2" Type="http://schemas.openxmlformats.org/officeDocument/2006/relationships/hyperlink" Target="HYMC.xlsx" TargetMode="External"/><Relationship Id="rId16" Type="http://schemas.openxmlformats.org/officeDocument/2006/relationships/hyperlink" Target="IE.xlsx" TargetMode="External"/><Relationship Id="rId20" Type="http://schemas.openxmlformats.org/officeDocument/2006/relationships/hyperlink" Target="SXC.xlsx" TargetMode="External"/><Relationship Id="rId29" Type="http://schemas.openxmlformats.org/officeDocument/2006/relationships/hyperlink" Target="IAUX.xlsx" TargetMode="External"/><Relationship Id="rId1" Type="http://schemas.openxmlformats.org/officeDocument/2006/relationships/hyperlink" Target="PZG.xlsx" TargetMode="External"/><Relationship Id="rId6" Type="http://schemas.openxmlformats.org/officeDocument/2006/relationships/hyperlink" Target="CTGO.xlsx" TargetMode="External"/><Relationship Id="rId11" Type="http://schemas.openxmlformats.org/officeDocument/2006/relationships/hyperlink" Target="NG.xlsx" TargetMode="External"/><Relationship Id="rId24" Type="http://schemas.openxmlformats.org/officeDocument/2006/relationships/hyperlink" Target="AA.xlsx" TargetMode="External"/><Relationship Id="rId5" Type="http://schemas.openxmlformats.org/officeDocument/2006/relationships/hyperlink" Target="USAU.xlsx" TargetMode="External"/><Relationship Id="rId15" Type="http://schemas.openxmlformats.org/officeDocument/2006/relationships/hyperlink" Target="FCX.xlsx" TargetMode="External"/><Relationship Id="rId23" Type="http://schemas.openxmlformats.org/officeDocument/2006/relationships/hyperlink" Target="PPTA.xlsx" TargetMode="External"/><Relationship Id="rId28" Type="http://schemas.openxmlformats.org/officeDocument/2006/relationships/hyperlink" Target="MOS.xlsx" TargetMode="External"/><Relationship Id="rId10" Type="http://schemas.openxmlformats.org/officeDocument/2006/relationships/hyperlink" Target="SSRM.xlsx" TargetMode="External"/><Relationship Id="rId19" Type="http://schemas.openxmlformats.org/officeDocument/2006/relationships/hyperlink" Target="ARCH.xlsx" TargetMode="External"/><Relationship Id="rId4" Type="http://schemas.openxmlformats.org/officeDocument/2006/relationships/hyperlink" Target="VGZ.xlsx" TargetMode="External"/><Relationship Id="rId9" Type="http://schemas.openxmlformats.org/officeDocument/2006/relationships/hyperlink" Target="CDE.xlsx" TargetMode="External"/><Relationship Id="rId14" Type="http://schemas.openxmlformats.org/officeDocument/2006/relationships/hyperlink" Target="SCCO.xlsx" TargetMode="External"/><Relationship Id="rId22" Type="http://schemas.openxmlformats.org/officeDocument/2006/relationships/hyperlink" Target="UFPI.xlsx" TargetMode="External"/><Relationship Id="rId27" Type="http://schemas.openxmlformats.org/officeDocument/2006/relationships/hyperlink" Target="agricultural%20inputs/CF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4B218-3E7A-1241-A727-9C68ACE4A1E8}">
  <dimension ref="A1:W170"/>
  <sheetViews>
    <sheetView tabSelected="1" zoomScale="150" zoomScaleNormal="150" workbookViewId="0">
      <pane xSplit="3" ySplit="2" topLeftCell="D38" activePane="bottomRight" state="frozen"/>
      <selection pane="topRight" activeCell="D1" sqref="D1"/>
      <selection pane="bottomLeft" activeCell="A3" sqref="A3"/>
      <selection pane="bottomRight" activeCell="I106" sqref="I106"/>
    </sheetView>
  </sheetViews>
  <sheetFormatPr baseColWidth="10" defaultRowHeight="13"/>
  <cols>
    <col min="1" max="1" width="1.6640625" style="1" customWidth="1"/>
    <col min="2" max="2" width="28.33203125" style="1" bestFit="1" customWidth="1"/>
    <col min="3" max="3" width="6.33203125" style="1" bestFit="1" customWidth="1"/>
    <col min="4" max="4" width="5.5" style="7" bestFit="1" customWidth="1"/>
    <col min="5" max="5" width="7" style="1" bestFit="1" customWidth="1"/>
    <col min="6" max="6" width="7.6640625" style="1" bestFit="1" customWidth="1"/>
    <col min="7" max="8" width="5.6640625" style="1" bestFit="1" customWidth="1"/>
    <col min="9" max="9" width="6.6640625" style="1" bestFit="1" customWidth="1"/>
    <col min="10" max="10" width="4.6640625" style="1" bestFit="1" customWidth="1"/>
    <col min="11" max="11" width="7.1640625" style="1" bestFit="1" customWidth="1"/>
    <col min="12" max="12" width="7.1640625" style="21" customWidth="1"/>
    <col min="13" max="13" width="7.5" style="1" bestFit="1" customWidth="1"/>
    <col min="14" max="14" width="6.83203125" style="1" bestFit="1" customWidth="1"/>
    <col min="15" max="15" width="6.83203125" style="13" bestFit="1" customWidth="1"/>
    <col min="16" max="16" width="6.83203125" style="13" customWidth="1"/>
    <col min="17" max="18" width="8.6640625" style="13" customWidth="1"/>
    <col min="19" max="16384" width="10.83203125" style="1"/>
  </cols>
  <sheetData>
    <row r="1" spans="1:20">
      <c r="A1" s="1" t="s">
        <v>293</v>
      </c>
    </row>
    <row r="2" spans="1:20" s="4" customFormat="1">
      <c r="B2" s="4" t="s">
        <v>1</v>
      </c>
      <c r="C2" s="16" t="s">
        <v>0</v>
      </c>
      <c r="D2" s="17" t="s">
        <v>2</v>
      </c>
      <c r="E2" s="16" t="s">
        <v>31</v>
      </c>
      <c r="F2" s="16" t="s">
        <v>35</v>
      </c>
      <c r="G2" s="16" t="s">
        <v>32</v>
      </c>
      <c r="H2" s="16" t="s">
        <v>33</v>
      </c>
      <c r="I2" s="16" t="s">
        <v>34</v>
      </c>
      <c r="J2" s="16" t="s">
        <v>292</v>
      </c>
      <c r="K2" s="16" t="s">
        <v>291</v>
      </c>
      <c r="L2" s="22" t="s">
        <v>327</v>
      </c>
      <c r="M2" s="16" t="s">
        <v>332</v>
      </c>
      <c r="N2" s="16" t="s">
        <v>333</v>
      </c>
      <c r="O2" s="18" t="s">
        <v>331</v>
      </c>
      <c r="P2" s="18" t="s">
        <v>334</v>
      </c>
      <c r="Q2" s="18" t="s">
        <v>301</v>
      </c>
      <c r="R2" s="18" t="s">
        <v>302</v>
      </c>
      <c r="S2" s="16" t="s">
        <v>37</v>
      </c>
    </row>
    <row r="3" spans="1:20" s="4" customFormat="1">
      <c r="B3" s="19" t="s">
        <v>300</v>
      </c>
      <c r="C3" s="16"/>
      <c r="D3" s="17"/>
      <c r="E3" s="16"/>
      <c r="F3" s="16">
        <f>SUM(F6:F14,F17:F19,F22:F30,F33:F46,F49:F54,F57:F59,F63:F76,F80:F82,F104:F106,F110:F153,F156:F170)</f>
        <v>295324.11839999998</v>
      </c>
      <c r="G3" s="16"/>
      <c r="H3" s="16"/>
      <c r="I3" s="16"/>
      <c r="J3" s="16"/>
      <c r="L3" s="23"/>
      <c r="O3" s="18">
        <f>AVERAGE(O6:O14,O17:O19,O22:O30,O33:O46,O49:O54,O57:O59,O63:O76,O80,O86:O101,O104:O106,O110:O153,O156:O170)</f>
        <v>1.8807357314781482E-2</v>
      </c>
      <c r="P3" s="18"/>
      <c r="Q3" s="18"/>
      <c r="R3" s="18"/>
      <c r="S3" s="16"/>
    </row>
    <row r="4" spans="1:20" s="4" customFormat="1">
      <c r="B4" s="19" t="s">
        <v>306</v>
      </c>
      <c r="C4" s="16"/>
      <c r="D4" s="17"/>
      <c r="E4" s="16"/>
      <c r="F4" s="16"/>
      <c r="G4" s="16"/>
      <c r="H4" s="16"/>
      <c r="I4" s="16"/>
      <c r="J4" s="16"/>
      <c r="L4" s="23"/>
      <c r="O4" s="18"/>
      <c r="P4" s="18"/>
      <c r="Q4" s="18"/>
      <c r="R4" s="18"/>
      <c r="S4" s="16"/>
    </row>
    <row r="5" spans="1:20" s="4" customFormat="1">
      <c r="B5" s="10" t="s">
        <v>40</v>
      </c>
      <c r="D5" s="6"/>
      <c r="L5" s="23"/>
      <c r="O5" s="14"/>
      <c r="P5" s="14"/>
      <c r="Q5" s="14"/>
      <c r="R5" s="14"/>
    </row>
    <row r="6" spans="1:20" s="4" customFormat="1">
      <c r="B6" s="20" t="s">
        <v>42</v>
      </c>
      <c r="C6" s="9" t="s">
        <v>41</v>
      </c>
      <c r="D6" s="9">
        <v>62.32</v>
      </c>
      <c r="E6" s="9">
        <v>692</v>
      </c>
      <c r="F6" s="9">
        <f>+D6*E6</f>
        <v>43125.440000000002</v>
      </c>
      <c r="G6" s="9">
        <v>1959</v>
      </c>
      <c r="H6" s="9">
        <v>4724</v>
      </c>
      <c r="I6" s="9">
        <f>+F6-G6+H6</f>
        <v>45890.44</v>
      </c>
      <c r="J6" s="7">
        <f>+G6/E6</f>
        <v>2.8309248554913293</v>
      </c>
      <c r="K6" s="9"/>
      <c r="L6" s="24"/>
      <c r="M6" s="9">
        <v>48.56</v>
      </c>
      <c r="N6" s="9">
        <v>56.94</v>
      </c>
      <c r="O6" s="13">
        <v>0.17257001647446457</v>
      </c>
      <c r="P6" s="13">
        <f>+D6/N6-1</f>
        <v>9.4485423252546497E-2</v>
      </c>
      <c r="Q6" s="13">
        <f>+F6/$F$3</f>
        <v>0.1460274908586674</v>
      </c>
      <c r="R6" s="13">
        <f>+O6*Q6</f>
        <v>2.5199966503204958E-2</v>
      </c>
      <c r="S6" s="9" t="s">
        <v>329</v>
      </c>
      <c r="T6" s="9"/>
    </row>
    <row r="7" spans="1:20" s="4" customFormat="1">
      <c r="B7" s="20" t="s">
        <v>44</v>
      </c>
      <c r="C7" s="9" t="s">
        <v>43</v>
      </c>
      <c r="D7" s="9">
        <v>97</v>
      </c>
      <c r="E7" s="9">
        <v>174</v>
      </c>
      <c r="F7" s="9">
        <f>+D7*E7</f>
        <v>16878</v>
      </c>
      <c r="G7" s="9">
        <v>1877</v>
      </c>
      <c r="H7" s="9">
        <v>2970</v>
      </c>
      <c r="I7" s="9">
        <f>+F7-G7+H7</f>
        <v>17971</v>
      </c>
      <c r="J7" s="7">
        <f>+G7/E7</f>
        <v>10.787356321839081</v>
      </c>
      <c r="K7" s="9">
        <v>16.032</v>
      </c>
      <c r="L7" s="24">
        <v>10</v>
      </c>
      <c r="M7" s="9">
        <v>81.61</v>
      </c>
      <c r="N7" s="9">
        <v>85.86</v>
      </c>
      <c r="O7" s="13">
        <v>5.20769513540007E-2</v>
      </c>
      <c r="P7" s="13">
        <f t="shared" ref="P7:P14" si="0">+D7/N7-1</f>
        <v>0.12974609829955752</v>
      </c>
      <c r="Q7" s="13">
        <f>+F7/$F$3</f>
        <v>5.7150767405795465E-2</v>
      </c>
      <c r="R7" s="13">
        <f t="shared" ref="R7:R14" si="1">+O7*Q7</f>
        <v>2.9762377340354193E-3</v>
      </c>
      <c r="S7" s="9" t="s">
        <v>330</v>
      </c>
      <c r="T7" s="9"/>
    </row>
    <row r="8" spans="1:20" s="4" customFormat="1">
      <c r="B8" s="20" t="s">
        <v>46</v>
      </c>
      <c r="C8" s="9" t="s">
        <v>45</v>
      </c>
      <c r="D8" s="9">
        <v>24.64</v>
      </c>
      <c r="E8" s="9">
        <v>318</v>
      </c>
      <c r="F8" s="9">
        <f>+D8*E8</f>
        <v>7835.52</v>
      </c>
      <c r="G8" s="9">
        <v>302</v>
      </c>
      <c r="H8" s="9">
        <v>4064</v>
      </c>
      <c r="I8" s="9">
        <f>+F8-G8+H8</f>
        <v>11597.52</v>
      </c>
      <c r="J8" s="7">
        <f>+G8/E8</f>
        <v>0.94968553459119498</v>
      </c>
      <c r="K8" s="9"/>
      <c r="L8" s="24"/>
      <c r="M8" s="9">
        <v>36.479999999999997</v>
      </c>
      <c r="N8" s="9">
        <v>24.64</v>
      </c>
      <c r="O8" s="13">
        <v>-0.32456140350877183</v>
      </c>
      <c r="P8" s="13">
        <f t="shared" si="0"/>
        <v>0</v>
      </c>
      <c r="Q8" s="13">
        <f t="shared" ref="Q8:Q14" si="2">+F8/$F$3</f>
        <v>2.6531933939060226E-2</v>
      </c>
      <c r="R8" s="13">
        <f t="shared" si="1"/>
        <v>-8.6112417170634038E-3</v>
      </c>
      <c r="S8" s="9"/>
      <c r="T8" s="9"/>
    </row>
    <row r="9" spans="1:20" s="4" customFormat="1">
      <c r="B9" s="11" t="s">
        <v>48</v>
      </c>
      <c r="C9" s="9" t="s">
        <v>47</v>
      </c>
      <c r="D9" s="9">
        <v>48.5</v>
      </c>
      <c r="E9" s="9"/>
      <c r="F9" s="9"/>
      <c r="G9" s="9"/>
      <c r="H9" s="9"/>
      <c r="I9" s="9"/>
      <c r="J9" s="9"/>
      <c r="K9" s="9"/>
      <c r="L9" s="24"/>
      <c r="M9" s="9">
        <v>64.84</v>
      </c>
      <c r="N9" s="9">
        <v>48.5</v>
      </c>
      <c r="O9" s="13">
        <v>-0.25200493522516965</v>
      </c>
      <c r="P9" s="13">
        <f t="shared" si="0"/>
        <v>0</v>
      </c>
      <c r="Q9" s="13">
        <f t="shared" si="2"/>
        <v>0</v>
      </c>
      <c r="R9" s="13">
        <f t="shared" si="1"/>
        <v>0</v>
      </c>
      <c r="S9" s="9"/>
      <c r="T9" s="9"/>
    </row>
    <row r="10" spans="1:20" s="4" customFormat="1">
      <c r="B10" s="11" t="s">
        <v>50</v>
      </c>
      <c r="C10" s="9" t="s">
        <v>49</v>
      </c>
      <c r="D10" s="9">
        <v>67.34</v>
      </c>
      <c r="E10" s="9"/>
      <c r="F10" s="9"/>
      <c r="G10" s="9"/>
      <c r="H10" s="9"/>
      <c r="I10" s="9"/>
      <c r="J10" s="9"/>
      <c r="K10" s="9"/>
      <c r="L10" s="24"/>
      <c r="M10" s="9">
        <v>64.39</v>
      </c>
      <c r="N10" s="9">
        <v>67.34</v>
      </c>
      <c r="O10" s="13">
        <v>4.5814567479422363E-2</v>
      </c>
      <c r="P10" s="13">
        <f t="shared" si="0"/>
        <v>0</v>
      </c>
      <c r="Q10" s="13">
        <f t="shared" si="2"/>
        <v>0</v>
      </c>
      <c r="R10" s="13">
        <f t="shared" si="1"/>
        <v>0</v>
      </c>
      <c r="S10" s="9"/>
      <c r="T10" s="9"/>
    </row>
    <row r="11" spans="1:20" s="4" customFormat="1">
      <c r="B11" s="11" t="s">
        <v>52</v>
      </c>
      <c r="C11" s="9" t="s">
        <v>51</v>
      </c>
      <c r="D11" s="9">
        <v>75.959999999999994</v>
      </c>
      <c r="E11" s="9"/>
      <c r="F11" s="9"/>
      <c r="G11" s="9"/>
      <c r="H11" s="9"/>
      <c r="I11" s="9"/>
      <c r="J11" s="9"/>
      <c r="K11" s="9"/>
      <c r="L11" s="24"/>
      <c r="M11" s="9">
        <v>67.88</v>
      </c>
      <c r="N11" s="9">
        <v>75.959999999999994</v>
      </c>
      <c r="O11" s="13">
        <v>0.1190335886859164</v>
      </c>
      <c r="P11" s="13">
        <f t="shared" si="0"/>
        <v>0</v>
      </c>
      <c r="Q11" s="13">
        <f t="shared" si="2"/>
        <v>0</v>
      </c>
      <c r="R11" s="13">
        <f t="shared" si="1"/>
        <v>0</v>
      </c>
      <c r="S11" s="9"/>
      <c r="T11" s="9"/>
    </row>
    <row r="12" spans="1:20" s="4" customFormat="1">
      <c r="B12" s="11" t="s">
        <v>54</v>
      </c>
      <c r="C12" s="9" t="s">
        <v>53</v>
      </c>
      <c r="D12" s="9">
        <v>22.34</v>
      </c>
      <c r="E12" s="9"/>
      <c r="F12" s="9"/>
      <c r="G12" s="9"/>
      <c r="H12" s="9"/>
      <c r="I12" s="9"/>
      <c r="J12" s="9"/>
      <c r="K12" s="9"/>
      <c r="L12" s="24"/>
      <c r="M12" s="9">
        <v>23.88</v>
      </c>
      <c r="N12" s="9">
        <v>22.34</v>
      </c>
      <c r="O12" s="13">
        <v>-6.4489112227805623E-2</v>
      </c>
      <c r="P12" s="13">
        <f t="shared" si="0"/>
        <v>0</v>
      </c>
      <c r="Q12" s="13">
        <f t="shared" si="2"/>
        <v>0</v>
      </c>
      <c r="R12" s="13">
        <f t="shared" si="1"/>
        <v>0</v>
      </c>
      <c r="S12" s="9"/>
      <c r="T12" s="9"/>
    </row>
    <row r="13" spans="1:20" s="4" customFormat="1">
      <c r="B13" s="11" t="s">
        <v>56</v>
      </c>
      <c r="C13" s="9" t="s">
        <v>55</v>
      </c>
      <c r="D13" s="9">
        <v>4.63</v>
      </c>
      <c r="E13" s="9"/>
      <c r="F13" s="9"/>
      <c r="G13" s="9"/>
      <c r="H13" s="9"/>
      <c r="I13" s="9"/>
      <c r="J13" s="9"/>
      <c r="K13" s="9"/>
      <c r="L13" s="24"/>
      <c r="M13" s="9">
        <v>10.16</v>
      </c>
      <c r="N13" s="9">
        <v>4.63</v>
      </c>
      <c r="O13" s="13">
        <v>-0.5442913385826772</v>
      </c>
      <c r="P13" s="13">
        <f t="shared" si="0"/>
        <v>0</v>
      </c>
      <c r="Q13" s="13">
        <f t="shared" si="2"/>
        <v>0</v>
      </c>
      <c r="R13" s="13">
        <f t="shared" si="1"/>
        <v>0</v>
      </c>
      <c r="S13" s="9" t="s">
        <v>374</v>
      </c>
      <c r="T13" s="9"/>
    </row>
    <row r="14" spans="1:20" s="4" customFormat="1">
      <c r="B14" s="11" t="s">
        <v>58</v>
      </c>
      <c r="C14" s="9" t="s">
        <v>57</v>
      </c>
      <c r="D14" s="9">
        <v>2.16</v>
      </c>
      <c r="E14" s="9"/>
      <c r="F14" s="9"/>
      <c r="G14" s="9"/>
      <c r="H14" s="9"/>
      <c r="I14" s="9"/>
      <c r="J14" s="9"/>
      <c r="K14" s="9"/>
      <c r="L14" s="24"/>
      <c r="M14" s="9">
        <v>5.25</v>
      </c>
      <c r="N14" s="9">
        <v>2.16</v>
      </c>
      <c r="O14" s="13">
        <v>-0.58857142857142852</v>
      </c>
      <c r="P14" s="13">
        <f t="shared" si="0"/>
        <v>0</v>
      </c>
      <c r="Q14" s="13">
        <f t="shared" si="2"/>
        <v>0</v>
      </c>
      <c r="R14" s="13">
        <f t="shared" si="1"/>
        <v>0</v>
      </c>
      <c r="S14" s="9"/>
      <c r="T14" s="9"/>
    </row>
    <row r="15" spans="1:20" s="4" customFormat="1">
      <c r="D15" s="11"/>
      <c r="L15" s="23"/>
      <c r="O15" s="14"/>
      <c r="P15" s="14"/>
      <c r="Q15" s="14"/>
      <c r="R15" s="14"/>
    </row>
    <row r="16" spans="1:20" s="4" customFormat="1">
      <c r="B16" s="10" t="s">
        <v>59</v>
      </c>
      <c r="D16" s="11"/>
      <c r="L16" s="23"/>
      <c r="O16" s="14"/>
      <c r="P16" s="14"/>
      <c r="Q16" s="14"/>
      <c r="R16" s="14"/>
    </row>
    <row r="17" spans="2:19" s="9" customFormat="1">
      <c r="B17" s="3" t="s">
        <v>60</v>
      </c>
      <c r="C17" s="9" t="s">
        <v>170</v>
      </c>
      <c r="D17" s="11">
        <v>38.1</v>
      </c>
      <c r="E17" s="9">
        <v>258</v>
      </c>
      <c r="F17" s="9">
        <f>+D17*E17</f>
        <v>9829.8000000000011</v>
      </c>
      <c r="G17" s="9">
        <v>1313</v>
      </c>
      <c r="H17" s="9">
        <v>2933</v>
      </c>
      <c r="I17" s="9">
        <f>+F17-G17+H17</f>
        <v>11449.800000000001</v>
      </c>
      <c r="L17" s="24"/>
      <c r="M17" s="9">
        <v>33.31</v>
      </c>
      <c r="N17" s="11">
        <v>38.1</v>
      </c>
      <c r="O17" s="13">
        <f t="shared" ref="O17:O30" si="3">+D17/M17-1</f>
        <v>0.14380066046232365</v>
      </c>
      <c r="P17" s="13">
        <f t="shared" ref="P17:P19" si="4">+D17/N17-1</f>
        <v>0</v>
      </c>
      <c r="Q17" s="13">
        <f t="shared" ref="Q17:Q19" si="5">+F17/$F$3</f>
        <v>3.3284785723752125E-2</v>
      </c>
      <c r="R17" s="13">
        <f t="shared" ref="R17:R19" si="6">+O17*Q17</f>
        <v>4.7863741704224768E-3</v>
      </c>
    </row>
    <row r="18" spans="2:19" s="9" customFormat="1">
      <c r="B18" s="9" t="s">
        <v>61</v>
      </c>
      <c r="C18" s="9" t="s">
        <v>294</v>
      </c>
      <c r="D18" s="11">
        <v>18.22</v>
      </c>
      <c r="L18" s="24"/>
      <c r="M18" s="9">
        <v>11.92</v>
      </c>
      <c r="N18" s="11">
        <v>18.22</v>
      </c>
      <c r="O18" s="13">
        <f t="shared" si="3"/>
        <v>0.52852348993288589</v>
      </c>
      <c r="P18" s="13">
        <f t="shared" si="4"/>
        <v>0</v>
      </c>
      <c r="Q18" s="13">
        <f t="shared" si="5"/>
        <v>0</v>
      </c>
      <c r="R18" s="13">
        <f t="shared" si="6"/>
        <v>0</v>
      </c>
    </row>
    <row r="19" spans="2:19" s="9" customFormat="1">
      <c r="B19" s="9" t="s">
        <v>62</v>
      </c>
      <c r="C19" s="9" t="s">
        <v>295</v>
      </c>
      <c r="D19" s="11">
        <v>70.27</v>
      </c>
      <c r="L19" s="24"/>
      <c r="M19" s="9">
        <v>70.3</v>
      </c>
      <c r="N19" s="11">
        <v>70.27</v>
      </c>
      <c r="O19" s="13">
        <f t="shared" si="3"/>
        <v>-4.2674253200569723E-4</v>
      </c>
      <c r="P19" s="13">
        <f t="shared" si="4"/>
        <v>0</v>
      </c>
      <c r="Q19" s="13">
        <f t="shared" si="5"/>
        <v>0</v>
      </c>
      <c r="R19" s="13">
        <f t="shared" si="6"/>
        <v>0</v>
      </c>
    </row>
    <row r="20" spans="2:19" s="9" customFormat="1">
      <c r="D20" s="11"/>
      <c r="L20" s="24"/>
      <c r="O20" s="13"/>
      <c r="P20" s="13"/>
      <c r="Q20" s="13"/>
      <c r="R20" s="13"/>
    </row>
    <row r="21" spans="2:19" s="9" customFormat="1">
      <c r="B21" s="10" t="s">
        <v>63</v>
      </c>
      <c r="D21" s="11"/>
      <c r="L21" s="24"/>
      <c r="O21" s="15"/>
      <c r="P21" s="15"/>
      <c r="Q21" s="15"/>
      <c r="R21" s="15"/>
    </row>
    <row r="22" spans="2:19" s="9" customFormat="1">
      <c r="B22" s="11" t="s">
        <v>64</v>
      </c>
      <c r="C22" s="9" t="s">
        <v>373</v>
      </c>
      <c r="D22" s="9">
        <v>92.52</v>
      </c>
      <c r="L22" s="24"/>
      <c r="M22" s="9">
        <v>68.28</v>
      </c>
      <c r="N22" s="9">
        <v>92.52</v>
      </c>
      <c r="O22" s="13">
        <f t="shared" si="3"/>
        <v>0.35500878734622132</v>
      </c>
      <c r="P22" s="13">
        <f t="shared" ref="P22:P30" si="7">+D22/N22-1</f>
        <v>0</v>
      </c>
      <c r="Q22" s="13">
        <f t="shared" ref="Q22:Q46" si="8">+F22/$F$3</f>
        <v>0</v>
      </c>
      <c r="R22" s="13">
        <f t="shared" ref="R22:R30" si="9">+O22*Q22</f>
        <v>0</v>
      </c>
    </row>
    <row r="23" spans="2:19" s="9" customFormat="1">
      <c r="B23" s="11" t="s">
        <v>65</v>
      </c>
      <c r="C23" s="9" t="s">
        <v>325</v>
      </c>
      <c r="D23" s="9">
        <v>257.23</v>
      </c>
      <c r="L23" s="24"/>
      <c r="M23" s="9">
        <v>223.6</v>
      </c>
      <c r="N23" s="9">
        <v>257.23</v>
      </c>
      <c r="O23" s="13">
        <f t="shared" si="3"/>
        <v>0.1504025044722721</v>
      </c>
      <c r="P23" s="13">
        <f t="shared" si="7"/>
        <v>0</v>
      </c>
      <c r="Q23" s="13">
        <f t="shared" si="8"/>
        <v>0</v>
      </c>
      <c r="R23" s="13">
        <f t="shared" si="9"/>
        <v>0</v>
      </c>
    </row>
    <row r="24" spans="2:19" s="9" customFormat="1">
      <c r="B24" s="11" t="s">
        <v>66</v>
      </c>
      <c r="C24" s="9" t="s">
        <v>326</v>
      </c>
      <c r="D24" s="9">
        <v>516.5</v>
      </c>
      <c r="L24" s="24"/>
      <c r="M24" s="9">
        <v>491.03</v>
      </c>
      <c r="N24" s="9">
        <v>516.5</v>
      </c>
      <c r="O24" s="13">
        <f t="shared" si="3"/>
        <v>5.1870557807058626E-2</v>
      </c>
      <c r="P24" s="13">
        <f t="shared" si="7"/>
        <v>0</v>
      </c>
      <c r="Q24" s="13">
        <f t="shared" si="8"/>
        <v>0</v>
      </c>
      <c r="R24" s="13">
        <f t="shared" si="9"/>
        <v>0</v>
      </c>
    </row>
    <row r="25" spans="2:19" s="9" customFormat="1">
      <c r="B25" s="11" t="s">
        <v>68</v>
      </c>
      <c r="C25" s="9" t="s">
        <v>67</v>
      </c>
      <c r="D25" s="9">
        <v>246.75</v>
      </c>
      <c r="L25" s="24"/>
      <c r="M25" s="9">
        <v>200.47</v>
      </c>
      <c r="N25" s="9">
        <v>246.75</v>
      </c>
      <c r="O25" s="13">
        <f t="shared" si="3"/>
        <v>0.23085748491046032</v>
      </c>
      <c r="P25" s="13">
        <f t="shared" si="7"/>
        <v>0</v>
      </c>
      <c r="Q25" s="13">
        <f t="shared" si="8"/>
        <v>0</v>
      </c>
      <c r="R25" s="13">
        <f t="shared" si="9"/>
        <v>0</v>
      </c>
    </row>
    <row r="26" spans="2:19" s="9" customFormat="1">
      <c r="B26" s="11" t="s">
        <v>70</v>
      </c>
      <c r="C26" s="9" t="s">
        <v>69</v>
      </c>
      <c r="D26" s="9">
        <v>50.6</v>
      </c>
      <c r="L26" s="24"/>
      <c r="M26" s="9">
        <v>38.270000000000003</v>
      </c>
      <c r="N26" s="9">
        <v>50.6</v>
      </c>
      <c r="O26" s="15">
        <f t="shared" si="3"/>
        <v>0.32218447870394562</v>
      </c>
      <c r="P26" s="13">
        <f t="shared" si="7"/>
        <v>0</v>
      </c>
      <c r="Q26" s="13">
        <f t="shared" si="8"/>
        <v>0</v>
      </c>
      <c r="R26" s="13">
        <f t="shared" si="9"/>
        <v>0</v>
      </c>
    </row>
    <row r="27" spans="2:19" s="9" customFormat="1">
      <c r="B27" s="11" t="s">
        <v>72</v>
      </c>
      <c r="C27" s="9" t="s">
        <v>71</v>
      </c>
      <c r="D27" s="9">
        <v>101.64</v>
      </c>
      <c r="L27" s="24"/>
      <c r="M27" s="9">
        <v>64.19</v>
      </c>
      <c r="N27" s="9">
        <v>101.64</v>
      </c>
      <c r="O27" s="15">
        <f t="shared" si="3"/>
        <v>0.58342420937840789</v>
      </c>
      <c r="P27" s="13">
        <f t="shared" si="7"/>
        <v>0</v>
      </c>
      <c r="Q27" s="13">
        <f t="shared" si="8"/>
        <v>0</v>
      </c>
      <c r="R27" s="13">
        <f t="shared" si="9"/>
        <v>0</v>
      </c>
    </row>
    <row r="28" spans="2:19" s="9" customFormat="1">
      <c r="B28" s="11" t="s">
        <v>74</v>
      </c>
      <c r="C28" s="9" t="s">
        <v>73</v>
      </c>
      <c r="D28" s="9">
        <v>118.86</v>
      </c>
      <c r="L28" s="24"/>
      <c r="M28" s="9">
        <v>128.24</v>
      </c>
      <c r="N28" s="9">
        <v>118.86</v>
      </c>
      <c r="O28" s="15">
        <f t="shared" si="3"/>
        <v>-7.3144104803493537E-2</v>
      </c>
      <c r="P28" s="13">
        <f t="shared" si="7"/>
        <v>0</v>
      </c>
      <c r="Q28" s="13">
        <f t="shared" si="8"/>
        <v>0</v>
      </c>
      <c r="R28" s="13">
        <f t="shared" si="9"/>
        <v>0</v>
      </c>
    </row>
    <row r="29" spans="2:19" s="9" customFormat="1">
      <c r="B29" s="20" t="s">
        <v>76</v>
      </c>
      <c r="C29" s="9" t="s">
        <v>75</v>
      </c>
      <c r="D29" s="9">
        <v>132.74</v>
      </c>
      <c r="E29" s="9">
        <v>29</v>
      </c>
      <c r="F29" s="1">
        <f>+D29*E29</f>
        <v>3849.46</v>
      </c>
      <c r="G29" s="9">
        <v>255</v>
      </c>
      <c r="H29" s="9">
        <v>0</v>
      </c>
      <c r="I29" s="1">
        <f>+F29-G29+H29</f>
        <v>3594.46</v>
      </c>
      <c r="J29" s="7">
        <f>+G29/E29</f>
        <v>8.7931034482758612</v>
      </c>
      <c r="K29" s="9">
        <v>3127</v>
      </c>
      <c r="L29" s="24">
        <v>32.4</v>
      </c>
      <c r="M29" s="9">
        <v>46</v>
      </c>
      <c r="N29" s="9">
        <v>132.74</v>
      </c>
      <c r="O29" s="15">
        <f t="shared" si="3"/>
        <v>1.8856521739130438</v>
      </c>
      <c r="P29" s="13">
        <f t="shared" si="7"/>
        <v>0</v>
      </c>
      <c r="Q29" s="13">
        <f t="shared" si="8"/>
        <v>1.3034695645095001E-2</v>
      </c>
      <c r="R29" s="13">
        <f t="shared" si="9"/>
        <v>2.4578902179468273E-2</v>
      </c>
      <c r="S29" s="9" t="s">
        <v>328</v>
      </c>
    </row>
    <row r="30" spans="2:19" s="9" customFormat="1">
      <c r="B30" s="11" t="s">
        <v>78</v>
      </c>
      <c r="C30" s="9" t="s">
        <v>77</v>
      </c>
      <c r="D30" s="9">
        <v>44.46</v>
      </c>
      <c r="L30" s="24"/>
      <c r="M30" s="9">
        <v>40.200000000000003</v>
      </c>
      <c r="N30" s="9">
        <v>44.46</v>
      </c>
      <c r="O30" s="15">
        <f t="shared" si="3"/>
        <v>0.10597014925373127</v>
      </c>
      <c r="P30" s="13">
        <f t="shared" si="7"/>
        <v>0</v>
      </c>
      <c r="Q30" s="13">
        <f t="shared" si="8"/>
        <v>0</v>
      </c>
      <c r="R30" s="13">
        <f t="shared" si="9"/>
        <v>0</v>
      </c>
    </row>
    <row r="31" spans="2:19" s="4" customFormat="1">
      <c r="D31" s="6"/>
      <c r="L31" s="23"/>
      <c r="O31" s="14"/>
      <c r="P31" s="14"/>
      <c r="Q31" s="14"/>
      <c r="R31" s="14"/>
    </row>
    <row r="32" spans="2:19" s="4" customFormat="1">
      <c r="B32" s="10" t="s">
        <v>79</v>
      </c>
      <c r="D32" s="6"/>
      <c r="L32" s="23"/>
      <c r="O32" s="14"/>
      <c r="P32" s="14"/>
      <c r="Q32" s="14"/>
      <c r="R32" s="14"/>
    </row>
    <row r="33" spans="2:18" s="9" customFormat="1">
      <c r="B33" s="11" t="s">
        <v>81</v>
      </c>
      <c r="C33" s="9" t="s">
        <v>80</v>
      </c>
      <c r="D33" s="9">
        <v>40.25</v>
      </c>
      <c r="L33" s="24"/>
      <c r="M33" s="9">
        <v>55.49</v>
      </c>
      <c r="N33" s="9">
        <v>40.25</v>
      </c>
      <c r="O33" s="15">
        <v>-0.27464408001441709</v>
      </c>
      <c r="P33" s="13">
        <f t="shared" ref="P33:P46" si="10">+D33/N33-1</f>
        <v>0</v>
      </c>
      <c r="Q33" s="13">
        <f t="shared" si="8"/>
        <v>0</v>
      </c>
      <c r="R33" s="13">
        <f t="shared" ref="R33:R46" si="11">+O33*Q33</f>
        <v>0</v>
      </c>
    </row>
    <row r="34" spans="2:18" s="9" customFormat="1">
      <c r="B34" s="11" t="s">
        <v>83</v>
      </c>
      <c r="C34" s="9" t="s">
        <v>82</v>
      </c>
      <c r="D34" s="9">
        <v>68.930000000000007</v>
      </c>
      <c r="L34" s="24"/>
      <c r="M34" s="9">
        <v>154.72</v>
      </c>
      <c r="N34" s="9">
        <v>68.930000000000007</v>
      </c>
      <c r="O34" s="15">
        <v>-0.55448552223371239</v>
      </c>
      <c r="P34" s="13">
        <f t="shared" si="10"/>
        <v>0</v>
      </c>
      <c r="Q34" s="13">
        <f t="shared" si="8"/>
        <v>0</v>
      </c>
      <c r="R34" s="13">
        <f t="shared" si="11"/>
        <v>0</v>
      </c>
    </row>
    <row r="35" spans="2:18" s="9" customFormat="1">
      <c r="B35" s="11" t="s">
        <v>85</v>
      </c>
      <c r="C35" s="9" t="s">
        <v>84</v>
      </c>
      <c r="D35" s="9">
        <v>33.799999999999997</v>
      </c>
      <c r="L35" s="24"/>
      <c r="M35" s="9">
        <v>54.27</v>
      </c>
      <c r="N35" s="9">
        <v>33.799999999999997</v>
      </c>
      <c r="O35" s="15">
        <v>-0.37718813340703894</v>
      </c>
      <c r="P35" s="13">
        <f t="shared" si="10"/>
        <v>0</v>
      </c>
      <c r="Q35" s="13">
        <f t="shared" si="8"/>
        <v>0</v>
      </c>
      <c r="R35" s="13">
        <f t="shared" si="11"/>
        <v>0</v>
      </c>
    </row>
    <row r="36" spans="2:18" s="9" customFormat="1">
      <c r="B36" s="11" t="s">
        <v>87</v>
      </c>
      <c r="C36" s="9" t="s">
        <v>86</v>
      </c>
      <c r="D36" s="9">
        <v>17.989999999999998</v>
      </c>
      <c r="L36" s="24"/>
      <c r="M36" s="9">
        <v>25.17</v>
      </c>
      <c r="N36" s="9">
        <v>17.989999999999998</v>
      </c>
      <c r="O36" s="15">
        <v>-0.28526023043305537</v>
      </c>
      <c r="P36" s="13">
        <f t="shared" si="10"/>
        <v>0</v>
      </c>
      <c r="Q36" s="13">
        <f t="shared" si="8"/>
        <v>0</v>
      </c>
      <c r="R36" s="13">
        <f t="shared" si="11"/>
        <v>0</v>
      </c>
    </row>
    <row r="37" spans="2:18" s="9" customFormat="1">
      <c r="B37" s="11" t="s">
        <v>89</v>
      </c>
      <c r="C37" s="9" t="s">
        <v>88</v>
      </c>
      <c r="D37" s="9">
        <v>10.07</v>
      </c>
      <c r="L37" s="24"/>
      <c r="M37" s="9">
        <v>13.81</v>
      </c>
      <c r="N37" s="9">
        <v>10.07</v>
      </c>
      <c r="O37" s="15">
        <v>-0.27081824764663287</v>
      </c>
      <c r="P37" s="13">
        <f t="shared" si="10"/>
        <v>0</v>
      </c>
      <c r="Q37" s="13">
        <f t="shared" si="8"/>
        <v>0</v>
      </c>
      <c r="R37" s="13">
        <f t="shared" si="11"/>
        <v>0</v>
      </c>
    </row>
    <row r="38" spans="2:18" s="9" customFormat="1">
      <c r="B38" s="11" t="s">
        <v>91</v>
      </c>
      <c r="C38" s="9" t="s">
        <v>90</v>
      </c>
      <c r="D38" s="9">
        <v>23.09</v>
      </c>
      <c r="L38" s="24"/>
      <c r="M38" s="9">
        <v>21.68</v>
      </c>
      <c r="N38" s="9">
        <v>23.09</v>
      </c>
      <c r="O38" s="15">
        <v>6.503690036900367E-2</v>
      </c>
      <c r="P38" s="13">
        <f t="shared" si="10"/>
        <v>0</v>
      </c>
      <c r="Q38" s="13">
        <f t="shared" si="8"/>
        <v>0</v>
      </c>
      <c r="R38" s="13">
        <f t="shared" si="11"/>
        <v>0</v>
      </c>
    </row>
    <row r="39" spans="2:18" s="9" customFormat="1">
      <c r="B39" s="11" t="s">
        <v>93</v>
      </c>
      <c r="C39" s="9" t="s">
        <v>92</v>
      </c>
      <c r="D39" s="9">
        <v>28.49</v>
      </c>
      <c r="L39" s="24"/>
      <c r="M39" s="9">
        <v>29.79</v>
      </c>
      <c r="N39" s="9">
        <v>28.49</v>
      </c>
      <c r="O39" s="15">
        <v>-4.3638804968110123E-2</v>
      </c>
      <c r="P39" s="13">
        <f t="shared" si="10"/>
        <v>0</v>
      </c>
      <c r="Q39" s="13">
        <f t="shared" si="8"/>
        <v>0</v>
      </c>
      <c r="R39" s="13">
        <f t="shared" si="11"/>
        <v>0</v>
      </c>
    </row>
    <row r="40" spans="2:18" s="9" customFormat="1">
      <c r="B40" s="11" t="s">
        <v>95</v>
      </c>
      <c r="C40" s="9" t="s">
        <v>94</v>
      </c>
      <c r="D40" s="9">
        <v>41.22</v>
      </c>
      <c r="L40" s="24"/>
      <c r="M40" s="9">
        <v>46.93</v>
      </c>
      <c r="N40" s="9">
        <v>41.22</v>
      </c>
      <c r="O40" s="15">
        <v>-0.12167057319411889</v>
      </c>
      <c r="P40" s="13">
        <f t="shared" si="10"/>
        <v>0</v>
      </c>
      <c r="Q40" s="13">
        <f t="shared" si="8"/>
        <v>0</v>
      </c>
      <c r="R40" s="13">
        <f t="shared" si="11"/>
        <v>0</v>
      </c>
    </row>
    <row r="41" spans="2:18" s="9" customFormat="1">
      <c r="B41" s="11" t="s">
        <v>97</v>
      </c>
      <c r="C41" s="9" t="s">
        <v>96</v>
      </c>
      <c r="D41" s="9">
        <v>9.48</v>
      </c>
      <c r="L41" s="24"/>
      <c r="M41" s="9">
        <v>24.8</v>
      </c>
      <c r="N41" s="9">
        <v>9.48</v>
      </c>
      <c r="O41" s="15">
        <v>-0.61774193548387091</v>
      </c>
      <c r="P41" s="13">
        <f t="shared" si="10"/>
        <v>0</v>
      </c>
      <c r="Q41" s="13">
        <f t="shared" si="8"/>
        <v>0</v>
      </c>
      <c r="R41" s="13">
        <f t="shared" si="11"/>
        <v>0</v>
      </c>
    </row>
    <row r="42" spans="2:18" s="9" customFormat="1">
      <c r="B42" s="11" t="s">
        <v>99</v>
      </c>
      <c r="C42" s="9" t="s">
        <v>98</v>
      </c>
      <c r="D42" s="9">
        <v>23.67</v>
      </c>
      <c r="L42" s="24"/>
      <c r="M42" s="9">
        <v>14.68</v>
      </c>
      <c r="N42" s="9">
        <v>23.67</v>
      </c>
      <c r="O42" s="15">
        <v>0.61239782016348787</v>
      </c>
      <c r="P42" s="13">
        <f t="shared" si="10"/>
        <v>0</v>
      </c>
      <c r="Q42" s="13">
        <f t="shared" si="8"/>
        <v>0</v>
      </c>
      <c r="R42" s="13">
        <f t="shared" si="11"/>
        <v>0</v>
      </c>
    </row>
    <row r="43" spans="2:18" s="9" customFormat="1">
      <c r="B43" s="11" t="s">
        <v>101</v>
      </c>
      <c r="C43" s="9" t="s">
        <v>100</v>
      </c>
      <c r="D43" s="9">
        <v>7.59</v>
      </c>
      <c r="L43" s="24"/>
      <c r="M43" s="9">
        <v>9.34</v>
      </c>
      <c r="N43" s="9">
        <v>7.59</v>
      </c>
      <c r="O43" s="15">
        <v>-0.18736616702355458</v>
      </c>
      <c r="P43" s="13">
        <f t="shared" si="10"/>
        <v>0</v>
      </c>
      <c r="Q43" s="13">
        <f t="shared" si="8"/>
        <v>0</v>
      </c>
      <c r="R43" s="13">
        <f t="shared" si="11"/>
        <v>0</v>
      </c>
    </row>
    <row r="44" spans="2:18" s="9" customFormat="1">
      <c r="B44" s="11" t="s">
        <v>103</v>
      </c>
      <c r="C44" s="9" t="s">
        <v>102</v>
      </c>
      <c r="D44" s="9">
        <v>8.25</v>
      </c>
      <c r="L44" s="24"/>
      <c r="M44" s="9">
        <v>4.2</v>
      </c>
      <c r="N44" s="9">
        <v>8.25</v>
      </c>
      <c r="O44" s="15">
        <v>0.96428571428571419</v>
      </c>
      <c r="P44" s="13">
        <f t="shared" si="10"/>
        <v>0</v>
      </c>
      <c r="Q44" s="13">
        <f t="shared" si="8"/>
        <v>0</v>
      </c>
      <c r="R44" s="13">
        <f t="shared" si="11"/>
        <v>0</v>
      </c>
    </row>
    <row r="45" spans="2:18" s="9" customFormat="1">
      <c r="B45" s="11" t="s">
        <v>105</v>
      </c>
      <c r="C45" s="9" t="s">
        <v>104</v>
      </c>
      <c r="D45" s="9">
        <v>4.53</v>
      </c>
      <c r="L45" s="24"/>
      <c r="M45" s="9">
        <v>1.74</v>
      </c>
      <c r="N45" s="9">
        <v>4.53</v>
      </c>
      <c r="O45" s="15">
        <v>1.603448275862069</v>
      </c>
      <c r="P45" s="13">
        <f t="shared" si="10"/>
        <v>0</v>
      </c>
      <c r="Q45" s="13">
        <f t="shared" si="8"/>
        <v>0</v>
      </c>
      <c r="R45" s="13">
        <f t="shared" si="11"/>
        <v>0</v>
      </c>
    </row>
    <row r="46" spans="2:18" s="9" customFormat="1">
      <c r="B46" s="11" t="s">
        <v>107</v>
      </c>
      <c r="C46" s="9" t="s">
        <v>106</v>
      </c>
      <c r="D46" s="9">
        <v>1.3</v>
      </c>
      <c r="L46" s="24"/>
      <c r="M46" s="9">
        <v>0.84</v>
      </c>
      <c r="N46" s="9">
        <v>1.3</v>
      </c>
      <c r="O46" s="15">
        <v>0.54761904761904767</v>
      </c>
      <c r="P46" s="13">
        <f t="shared" si="10"/>
        <v>0</v>
      </c>
      <c r="Q46" s="13">
        <f t="shared" si="8"/>
        <v>0</v>
      </c>
      <c r="R46" s="13">
        <f t="shared" si="11"/>
        <v>0</v>
      </c>
    </row>
    <row r="47" spans="2:18" s="9" customFormat="1">
      <c r="D47" s="11"/>
      <c r="L47" s="24"/>
      <c r="O47" s="15"/>
      <c r="P47" s="15"/>
      <c r="Q47" s="15"/>
      <c r="R47" s="15"/>
    </row>
    <row r="48" spans="2:18" s="4" customFormat="1">
      <c r="B48" s="10" t="s">
        <v>108</v>
      </c>
      <c r="D48" s="6"/>
      <c r="L48" s="23"/>
      <c r="O48" s="14"/>
      <c r="P48" s="14"/>
      <c r="Q48" s="14"/>
      <c r="R48" s="14"/>
    </row>
    <row r="49" spans="1:23" s="9" customFormat="1">
      <c r="A49" s="9" t="s">
        <v>324</v>
      </c>
      <c r="B49" s="20" t="s">
        <v>110</v>
      </c>
      <c r="C49" s="9" t="s">
        <v>109</v>
      </c>
      <c r="D49" s="9">
        <v>54.24</v>
      </c>
      <c r="E49" s="9">
        <v>52</v>
      </c>
      <c r="F49" s="1">
        <f>+D49*E49</f>
        <v>2820.48</v>
      </c>
      <c r="G49" s="9">
        <v>600</v>
      </c>
      <c r="H49" s="9">
        <v>153</v>
      </c>
      <c r="I49" s="1">
        <f>+F49-G49+H49</f>
        <v>2373.48</v>
      </c>
      <c r="J49" s="7">
        <f>+G49/E49</f>
        <v>11.538461538461538</v>
      </c>
      <c r="K49" s="11">
        <v>2300</v>
      </c>
      <c r="L49" s="24"/>
      <c r="M49" s="9">
        <v>60.91</v>
      </c>
      <c r="N49" s="9">
        <v>54.24</v>
      </c>
      <c r="O49" s="15">
        <v>-0.1095058282712198</v>
      </c>
      <c r="P49" s="13">
        <f t="shared" ref="P49:P54" si="12">+D49/N49-1</f>
        <v>0</v>
      </c>
      <c r="Q49" s="13">
        <f t="shared" ref="Q49:Q59" si="13">+F49/$F$3</f>
        <v>9.5504560050182485E-3</v>
      </c>
      <c r="R49" s="13">
        <f t="shared" ref="R49:R54" si="14">+O49*Q49</f>
        <v>-1.0458305951973682E-3</v>
      </c>
      <c r="S49" s="9" t="s">
        <v>317</v>
      </c>
    </row>
    <row r="50" spans="1:23" s="9" customFormat="1">
      <c r="A50" s="9" t="s">
        <v>324</v>
      </c>
      <c r="B50" s="20" t="s">
        <v>112</v>
      </c>
      <c r="C50" s="9" t="s">
        <v>111</v>
      </c>
      <c r="D50" s="9">
        <v>200.12</v>
      </c>
      <c r="E50" s="9">
        <v>13</v>
      </c>
      <c r="F50" s="1">
        <f>+D50*E50</f>
        <v>2601.56</v>
      </c>
      <c r="G50" s="9">
        <v>485</v>
      </c>
      <c r="H50" s="9">
        <v>7</v>
      </c>
      <c r="I50" s="1">
        <f>+F50-G50+H50</f>
        <v>2123.56</v>
      </c>
      <c r="J50" s="7">
        <f>+G50/E50</f>
        <v>37.307692307692307</v>
      </c>
      <c r="K50" s="11">
        <v>1900</v>
      </c>
      <c r="L50" s="24"/>
      <c r="M50" s="9">
        <v>341.24</v>
      </c>
      <c r="N50" s="9">
        <v>200.12</v>
      </c>
      <c r="O50" s="15">
        <v>-0.41355058023678348</v>
      </c>
      <c r="P50" s="13">
        <f t="shared" si="12"/>
        <v>0</v>
      </c>
      <c r="Q50" s="13">
        <f t="shared" si="13"/>
        <v>8.8091687671656149E-3</v>
      </c>
      <c r="R50" s="13">
        <f t="shared" si="14"/>
        <v>-3.6430368550650905E-3</v>
      </c>
      <c r="S50" s="9" t="s">
        <v>318</v>
      </c>
    </row>
    <row r="51" spans="1:23" s="9" customFormat="1">
      <c r="A51" s="9" t="s">
        <v>324</v>
      </c>
      <c r="B51" s="20" t="s">
        <v>114</v>
      </c>
      <c r="C51" s="9" t="s">
        <v>113</v>
      </c>
      <c r="D51" s="9">
        <v>141.22</v>
      </c>
      <c r="E51" s="9">
        <v>18</v>
      </c>
      <c r="F51" s="1">
        <f>+D51*E51</f>
        <v>2541.96</v>
      </c>
      <c r="G51" s="9">
        <v>257</v>
      </c>
      <c r="H51" s="9">
        <v>127</v>
      </c>
      <c r="I51" s="1">
        <f>+F51-G51+H51</f>
        <v>2411.96</v>
      </c>
      <c r="J51" s="7">
        <f>+G51/E51</f>
        <v>14.277777777777779</v>
      </c>
      <c r="L51" s="24"/>
      <c r="M51" s="9">
        <v>167.9</v>
      </c>
      <c r="N51" s="9">
        <v>141.22</v>
      </c>
      <c r="O51" s="15">
        <v>-0.15890410958904111</v>
      </c>
      <c r="P51" s="13">
        <f t="shared" si="12"/>
        <v>0</v>
      </c>
      <c r="Q51" s="13">
        <f t="shared" si="13"/>
        <v>8.6073566011870984E-3</v>
      </c>
      <c r="R51" s="13">
        <f t="shared" si="14"/>
        <v>-1.367744336626991E-3</v>
      </c>
      <c r="S51" s="9" t="s">
        <v>372</v>
      </c>
    </row>
    <row r="52" spans="1:23" s="9" customFormat="1">
      <c r="B52" s="20" t="s">
        <v>116</v>
      </c>
      <c r="C52" s="9" t="s">
        <v>115</v>
      </c>
      <c r="D52" s="9">
        <v>10.7</v>
      </c>
      <c r="E52" s="9">
        <v>84</v>
      </c>
      <c r="F52" s="1">
        <f>+D52*E52</f>
        <v>898.8</v>
      </c>
      <c r="G52" s="9">
        <v>165</v>
      </c>
      <c r="H52" s="9">
        <v>498</v>
      </c>
      <c r="I52" s="1">
        <f>+F52-G52+H52</f>
        <v>1231.8</v>
      </c>
      <c r="J52" s="7">
        <f>+G52/E52</f>
        <v>1.9642857142857142</v>
      </c>
      <c r="L52" s="24"/>
      <c r="M52" s="9">
        <v>10.76</v>
      </c>
      <c r="N52" s="9">
        <v>10.7</v>
      </c>
      <c r="O52" s="15">
        <v>-5.5762081784387352E-3</v>
      </c>
      <c r="P52" s="13">
        <f t="shared" si="12"/>
        <v>0</v>
      </c>
      <c r="Q52" s="13">
        <f t="shared" si="13"/>
        <v>3.0434358184813935E-3</v>
      </c>
      <c r="R52" s="13">
        <f t="shared" si="14"/>
        <v>-1.6970831701569331E-5</v>
      </c>
      <c r="S52" s="9" t="s">
        <v>319</v>
      </c>
    </row>
    <row r="53" spans="1:23" s="9" customFormat="1">
      <c r="A53" s="9" t="s">
        <v>324</v>
      </c>
      <c r="B53" s="20" t="s">
        <v>118</v>
      </c>
      <c r="C53" s="9" t="s">
        <v>117</v>
      </c>
      <c r="D53" s="9">
        <v>10.26</v>
      </c>
      <c r="E53" s="9">
        <v>53</v>
      </c>
      <c r="F53" s="9">
        <f>+D53*E53</f>
        <v>543.78</v>
      </c>
      <c r="G53" s="9">
        <v>23</v>
      </c>
      <c r="H53" s="9">
        <v>77</v>
      </c>
      <c r="I53" s="9">
        <f>+F53-G53+H53</f>
        <v>597.78</v>
      </c>
      <c r="J53" s="9">
        <f>+G53/E53</f>
        <v>0.43396226415094341</v>
      </c>
      <c r="L53" s="24"/>
      <c r="M53" s="9">
        <v>17.63</v>
      </c>
      <c r="N53" s="9">
        <v>10.26</v>
      </c>
      <c r="O53" s="15">
        <v>-0.41803743618831535</v>
      </c>
      <c r="P53" s="13">
        <f t="shared" si="12"/>
        <v>0</v>
      </c>
      <c r="Q53" s="13">
        <f t="shared" si="13"/>
        <v>1.8412989868422478E-3</v>
      </c>
      <c r="R53" s="13">
        <f t="shared" si="14"/>
        <v>-7.6973190771567591E-4</v>
      </c>
      <c r="S53" s="9" t="s">
        <v>320</v>
      </c>
    </row>
    <row r="54" spans="1:23" s="9" customFormat="1">
      <c r="B54" s="11" t="s">
        <v>120</v>
      </c>
      <c r="C54" s="9" t="s">
        <v>119</v>
      </c>
      <c r="D54" s="9">
        <v>1</v>
      </c>
      <c r="L54" s="24"/>
      <c r="M54" s="9">
        <v>1.53</v>
      </c>
      <c r="N54" s="9">
        <v>1</v>
      </c>
      <c r="O54" s="15">
        <v>-0.34640522875816993</v>
      </c>
      <c r="P54" s="13">
        <f t="shared" si="12"/>
        <v>0</v>
      </c>
      <c r="Q54" s="13">
        <f t="shared" si="13"/>
        <v>0</v>
      </c>
      <c r="R54" s="13">
        <f t="shared" si="14"/>
        <v>0</v>
      </c>
    </row>
    <row r="55" spans="1:23" s="9" customFormat="1">
      <c r="D55" s="11"/>
      <c r="L55" s="24"/>
      <c r="O55" s="15"/>
      <c r="P55" s="15"/>
      <c r="Q55" s="15"/>
      <c r="R55" s="15"/>
    </row>
    <row r="56" spans="1:23" s="9" customFormat="1">
      <c r="B56" s="10" t="s">
        <v>121</v>
      </c>
      <c r="D56" s="11"/>
      <c r="F56" s="1"/>
      <c r="G56" s="1"/>
      <c r="H56" s="1"/>
      <c r="I56" s="1"/>
      <c r="L56" s="24"/>
      <c r="O56" s="15"/>
      <c r="P56" s="15"/>
      <c r="Q56" s="13"/>
      <c r="R56" s="13"/>
    </row>
    <row r="57" spans="1:23" s="9" customFormat="1">
      <c r="B57" s="3" t="s">
        <v>122</v>
      </c>
      <c r="C57" s="9" t="s">
        <v>125</v>
      </c>
      <c r="D57" s="11">
        <v>94.68</v>
      </c>
      <c r="E57" s="9">
        <v>786</v>
      </c>
      <c r="F57" s="1">
        <f>+D57*E57</f>
        <v>74418.48000000001</v>
      </c>
      <c r="G57" s="1">
        <v>2974</v>
      </c>
      <c r="H57" s="1">
        <v>6257</v>
      </c>
      <c r="I57" s="1">
        <f>+F57-G57+H57</f>
        <v>77701.48000000001</v>
      </c>
      <c r="J57" s="7">
        <f>+G57/E57</f>
        <v>3.7837150127226464</v>
      </c>
      <c r="K57" s="7">
        <v>71.599999999999994</v>
      </c>
      <c r="L57" s="21"/>
      <c r="M57" s="9">
        <v>82.81</v>
      </c>
      <c r="N57" s="11">
        <v>91.13</v>
      </c>
      <c r="O57" s="13">
        <v>0.10047095761381475</v>
      </c>
      <c r="P57" s="13">
        <f t="shared" ref="P57:P59" si="15">+D57/N57-1</f>
        <v>3.8955338527378647E-2</v>
      </c>
      <c r="Q57" s="13">
        <f t="shared" si="13"/>
        <v>0.25198917177229779</v>
      </c>
      <c r="R57" s="13">
        <f t="shared" ref="R57:R59" si="16">+O57*Q57</f>
        <v>2.5317593396274814E-2</v>
      </c>
      <c r="S57" s="9" t="s">
        <v>321</v>
      </c>
    </row>
    <row r="58" spans="1:23" s="9" customFormat="1">
      <c r="B58" s="3" t="s">
        <v>123</v>
      </c>
      <c r="C58" s="9" t="s">
        <v>126</v>
      </c>
      <c r="D58" s="11">
        <v>38.15</v>
      </c>
      <c r="E58" s="9">
        <v>1437</v>
      </c>
      <c r="F58" s="1">
        <f>+D58*E58</f>
        <v>54821.549999999996</v>
      </c>
      <c r="G58" s="9">
        <v>6117</v>
      </c>
      <c r="H58" s="9">
        <v>9679</v>
      </c>
      <c r="I58" s="1">
        <f>+F58-G58+H58</f>
        <v>58383.549999999996</v>
      </c>
      <c r="J58" s="7">
        <f>+G58/E58</f>
        <v>4.2567849686847596</v>
      </c>
      <c r="L58" s="24"/>
      <c r="M58" s="9">
        <v>42.09</v>
      </c>
      <c r="N58" s="11">
        <v>38.15</v>
      </c>
      <c r="O58" s="13">
        <v>-9.3608933238298997E-2</v>
      </c>
      <c r="P58" s="13">
        <f t="shared" si="15"/>
        <v>0</v>
      </c>
      <c r="Q58" s="13">
        <f t="shared" si="13"/>
        <v>0.18563180784898603</v>
      </c>
      <c r="R58" s="13">
        <f t="shared" si="16"/>
        <v>-1.7376795507840482E-2</v>
      </c>
      <c r="S58" s="9" t="s">
        <v>304</v>
      </c>
    </row>
    <row r="59" spans="1:23" s="9" customFormat="1">
      <c r="A59" s="9" t="s">
        <v>324</v>
      </c>
      <c r="B59" s="3" t="s">
        <v>124</v>
      </c>
      <c r="C59" s="9" t="s">
        <v>127</v>
      </c>
      <c r="D59" s="11">
        <v>7.55</v>
      </c>
      <c r="E59" s="9">
        <v>120</v>
      </c>
      <c r="F59" s="1">
        <f>+D59*E59</f>
        <v>906</v>
      </c>
      <c r="G59" s="9">
        <v>87</v>
      </c>
      <c r="H59" s="9">
        <v>83</v>
      </c>
      <c r="I59" s="1">
        <f>+F59-G59+H59</f>
        <v>902</v>
      </c>
      <c r="J59" s="7">
        <f>+G59/E59</f>
        <v>0.72499999999999998</v>
      </c>
      <c r="K59" s="11">
        <v>1.0409999999999999</v>
      </c>
      <c r="L59" s="24"/>
      <c r="M59" s="9">
        <v>9.9700000000000006</v>
      </c>
      <c r="N59" s="11">
        <v>7.55</v>
      </c>
      <c r="O59" s="13">
        <v>-0.24272818455366107</v>
      </c>
      <c r="P59" s="13">
        <f t="shared" si="15"/>
        <v>0</v>
      </c>
      <c r="Q59" s="13">
        <f t="shared" si="13"/>
        <v>3.0678158116868525E-3</v>
      </c>
      <c r="R59" s="13">
        <f t="shared" si="16"/>
        <v>-7.4464536251576583E-4</v>
      </c>
      <c r="S59" s="9" t="s">
        <v>305</v>
      </c>
    </row>
    <row r="60" spans="1:23" s="9" customFormat="1">
      <c r="D60" s="11"/>
      <c r="L60" s="24"/>
      <c r="O60" s="15"/>
      <c r="P60" s="15"/>
      <c r="Q60" s="15"/>
      <c r="R60" s="15"/>
    </row>
    <row r="61" spans="1:23" s="4" customFormat="1">
      <c r="D61" s="6"/>
      <c r="L61" s="23"/>
      <c r="O61" s="14"/>
      <c r="P61" s="14"/>
      <c r="Q61" s="14"/>
      <c r="R61" s="14"/>
      <c r="U61" s="14"/>
    </row>
    <row r="62" spans="1:23" s="4" customFormat="1">
      <c r="B62" s="10" t="s">
        <v>39</v>
      </c>
      <c r="D62" s="6"/>
      <c r="L62" s="23"/>
      <c r="O62" s="14"/>
      <c r="P62" s="14"/>
      <c r="Q62" s="14"/>
      <c r="R62" s="14"/>
      <c r="T62" s="34"/>
      <c r="U62" s="14"/>
      <c r="V62" s="14"/>
      <c r="W62" s="14"/>
    </row>
    <row r="63" spans="1:23">
      <c r="A63" s="1" t="s">
        <v>375</v>
      </c>
      <c r="B63" s="3" t="s">
        <v>4</v>
      </c>
      <c r="C63" s="1" t="s">
        <v>3</v>
      </c>
      <c r="D63" s="7">
        <v>44.84</v>
      </c>
      <c r="E63" s="1">
        <v>1138</v>
      </c>
      <c r="F63" s="1">
        <f>+D63*E63</f>
        <v>51027.920000000006</v>
      </c>
      <c r="G63" s="1">
        <v>7209</v>
      </c>
      <c r="H63" s="1">
        <v>8550</v>
      </c>
      <c r="I63" s="1">
        <f>+F63-G63+H63</f>
        <v>52368.920000000006</v>
      </c>
      <c r="J63" s="7">
        <f>+G63/E63</f>
        <v>6.3347978910369065</v>
      </c>
      <c r="K63" s="7">
        <v>77.900000000000006</v>
      </c>
      <c r="M63" s="1">
        <v>40.69</v>
      </c>
      <c r="N63" s="7">
        <v>38.42</v>
      </c>
      <c r="O63" s="13">
        <v>-5.5787662816416672E-2</v>
      </c>
      <c r="P63" s="13">
        <f t="shared" ref="P63:P76" si="17">+D63/N63-1</f>
        <v>0.16710046850598648</v>
      </c>
      <c r="Q63" s="13">
        <f t="shared" ref="Q63:Q76" si="18">+F63/$F$3</f>
        <v>0.1727861587345384</v>
      </c>
      <c r="R63" s="13">
        <f t="shared" ref="R63:R76" si="19">+O63*Q63</f>
        <v>-9.6393359628262759E-3</v>
      </c>
      <c r="S63" s="1" t="s">
        <v>371</v>
      </c>
    </row>
    <row r="64" spans="1:23">
      <c r="A64" s="1" t="s">
        <v>375</v>
      </c>
      <c r="B64" s="3" t="s">
        <v>6</v>
      </c>
      <c r="C64" s="1" t="s">
        <v>5</v>
      </c>
      <c r="D64" s="7">
        <v>144</v>
      </c>
      <c r="E64" s="1">
        <v>66</v>
      </c>
      <c r="F64" s="1">
        <f>+D64*E64</f>
        <v>9504</v>
      </c>
      <c r="G64" s="1">
        <v>128</v>
      </c>
      <c r="H64" s="1">
        <v>0</v>
      </c>
      <c r="I64" s="1">
        <f>+F64-G64+H64</f>
        <v>9376</v>
      </c>
      <c r="J64" s="7">
        <f>+G64/E64</f>
        <v>1.9393939393939394</v>
      </c>
      <c r="K64" s="1">
        <f>1000*9.6</f>
        <v>9600</v>
      </c>
      <c r="M64" s="1">
        <v>119.81</v>
      </c>
      <c r="N64" s="7">
        <v>131.18</v>
      </c>
      <c r="O64" s="13">
        <v>9.4900258743009891E-2</v>
      </c>
      <c r="P64" s="13">
        <f>+D64/N64-1</f>
        <v>9.7728312242719939E-2</v>
      </c>
      <c r="Q64" s="13">
        <f t="shared" si="18"/>
        <v>3.2181591031205124E-2</v>
      </c>
      <c r="R64" s="13">
        <f t="shared" si="19"/>
        <v>3.0540413156230927E-3</v>
      </c>
      <c r="S64" s="1" t="s">
        <v>365</v>
      </c>
    </row>
    <row r="65" spans="1:19">
      <c r="B65" s="3" t="s">
        <v>8</v>
      </c>
      <c r="C65" s="1" t="s">
        <v>7</v>
      </c>
      <c r="D65" s="7">
        <v>6.05</v>
      </c>
      <c r="E65" s="1">
        <v>399</v>
      </c>
      <c r="F65" s="1">
        <f>+D65*E65</f>
        <v>2413.9499999999998</v>
      </c>
      <c r="G65" s="1">
        <v>77</v>
      </c>
      <c r="H65" s="1">
        <v>605</v>
      </c>
      <c r="I65" s="1">
        <f>+F65-G65+H65</f>
        <v>2941.95</v>
      </c>
      <c r="J65" s="7">
        <f>+G65/E65</f>
        <v>0.19298245614035087</v>
      </c>
      <c r="K65" s="1">
        <f>1000*2.3</f>
        <v>2300</v>
      </c>
      <c r="M65" s="1">
        <v>2.91</v>
      </c>
      <c r="N65" s="7">
        <v>5.72</v>
      </c>
      <c r="O65" s="13">
        <f>+N65/M65-1</f>
        <v>0.96563573883161502</v>
      </c>
      <c r="P65" s="13">
        <f t="shared" si="17"/>
        <v>5.7692307692307709E-2</v>
      </c>
      <c r="Q65" s="13">
        <f t="shared" si="18"/>
        <v>8.173900638655052E-3</v>
      </c>
      <c r="R65" s="13">
        <f t="shared" si="19"/>
        <v>7.8930105823438804E-3</v>
      </c>
    </row>
    <row r="66" spans="1:19">
      <c r="B66" s="3" t="s">
        <v>10</v>
      </c>
      <c r="C66" s="1" t="s">
        <v>9</v>
      </c>
      <c r="D66" s="7">
        <v>6.92</v>
      </c>
      <c r="E66" s="1">
        <v>202</v>
      </c>
      <c r="F66" s="1">
        <f>+D66*E66</f>
        <v>1397.84</v>
      </c>
      <c r="G66" s="1">
        <v>366</v>
      </c>
      <c r="H66" s="1">
        <v>253</v>
      </c>
      <c r="I66" s="1">
        <f>+F66-G66+H66</f>
        <v>1284.8399999999999</v>
      </c>
      <c r="J66" s="7">
        <f>+G66/E66</f>
        <v>1.8118811881188119</v>
      </c>
      <c r="K66" s="7">
        <f>1000*1.3</f>
        <v>1300</v>
      </c>
      <c r="M66" s="1">
        <v>10.65</v>
      </c>
      <c r="N66" s="7">
        <v>6.93</v>
      </c>
      <c r="O66" s="13">
        <v>-0.34929577464788741</v>
      </c>
      <c r="P66" s="13">
        <f t="shared" si="17"/>
        <v>-1.4430014430013571E-3</v>
      </c>
      <c r="Q66" s="13">
        <f t="shared" si="18"/>
        <v>4.7332402364330568E-3</v>
      </c>
      <c r="R66" s="13">
        <f t="shared" si="19"/>
        <v>-1.6533008149794343E-3</v>
      </c>
      <c r="S66" s="1" t="s">
        <v>369</v>
      </c>
    </row>
    <row r="67" spans="1:19">
      <c r="A67" s="1" t="s">
        <v>362</v>
      </c>
      <c r="B67" s="3" t="s">
        <v>12</v>
      </c>
      <c r="C67" s="1" t="s">
        <v>11</v>
      </c>
      <c r="D67" s="7">
        <v>3.41</v>
      </c>
      <c r="E67" s="1">
        <v>335</v>
      </c>
      <c r="F67" s="1">
        <f>+D67*E67</f>
        <v>1142.3500000000001</v>
      </c>
      <c r="G67" s="1">
        <v>46</v>
      </c>
      <c r="H67" s="1">
        <v>148</v>
      </c>
      <c r="I67" s="1">
        <f>+F67-G67+H67</f>
        <v>1244.3500000000001</v>
      </c>
      <c r="J67" s="7">
        <f>+G67/E67</f>
        <v>0.1373134328358209</v>
      </c>
      <c r="K67" s="1">
        <v>1700</v>
      </c>
      <c r="M67" s="1">
        <v>3.8</v>
      </c>
      <c r="N67" s="7">
        <v>3.3</v>
      </c>
      <c r="O67" s="13">
        <v>-0.13157894736842102</v>
      </c>
      <c r="P67" s="13">
        <f t="shared" si="17"/>
        <v>3.3333333333333437E-2</v>
      </c>
      <c r="Q67" s="13">
        <f t="shared" si="18"/>
        <v>3.8681229497576999E-3</v>
      </c>
      <c r="R67" s="13">
        <f t="shared" si="19"/>
        <v>-5.0896354602074985E-4</v>
      </c>
      <c r="S67" s="1" t="s">
        <v>370</v>
      </c>
    </row>
    <row r="68" spans="1:19">
      <c r="B68" s="3" t="s">
        <v>14</v>
      </c>
      <c r="C68" s="1" t="s">
        <v>13</v>
      </c>
      <c r="D68" s="7">
        <v>0.52</v>
      </c>
      <c r="M68" s="1">
        <v>1.66</v>
      </c>
      <c r="N68" s="7">
        <v>0.52</v>
      </c>
      <c r="O68" s="13">
        <v>-0.68674698795180722</v>
      </c>
      <c r="P68" s="13">
        <f t="shared" si="17"/>
        <v>0</v>
      </c>
      <c r="Q68" s="13">
        <f t="shared" si="18"/>
        <v>0</v>
      </c>
      <c r="R68" s="13">
        <f t="shared" si="19"/>
        <v>0</v>
      </c>
    </row>
    <row r="69" spans="1:19">
      <c r="A69" s="1" t="s">
        <v>360</v>
      </c>
      <c r="B69" s="3" t="s">
        <v>16</v>
      </c>
      <c r="C69" s="1" t="s">
        <v>15</v>
      </c>
      <c r="D69" s="7">
        <v>2.2000000000000002</v>
      </c>
      <c r="E69" s="1">
        <v>94</v>
      </c>
      <c r="F69" s="1">
        <f t="shared" ref="F69:F76" si="20">+E69*D69</f>
        <v>206.8</v>
      </c>
      <c r="G69" s="1">
        <v>15</v>
      </c>
      <c r="H69" s="1">
        <v>0</v>
      </c>
      <c r="I69" s="1">
        <f t="shared" ref="I69:I76" si="21">+F69-G69+H69</f>
        <v>191.8</v>
      </c>
      <c r="J69" s="7">
        <f t="shared" ref="J69:J71" si="22">+G69/E69</f>
        <v>0.15957446808510639</v>
      </c>
      <c r="M69" s="1">
        <v>2.6</v>
      </c>
      <c r="N69" s="7">
        <v>2.2000000000000002</v>
      </c>
      <c r="O69" s="13">
        <v>-0.15384615384615385</v>
      </c>
      <c r="P69" s="13">
        <f t="shared" si="17"/>
        <v>0</v>
      </c>
      <c r="Q69" s="13">
        <f t="shared" si="18"/>
        <v>7.0024758262344491E-4</v>
      </c>
      <c r="R69" s="13">
        <f t="shared" si="19"/>
        <v>-1.0773039732668384E-4</v>
      </c>
      <c r="S69" s="1" t="s">
        <v>364</v>
      </c>
    </row>
    <row r="70" spans="1:19">
      <c r="A70" s="1" t="s">
        <v>360</v>
      </c>
      <c r="B70" s="3" t="s">
        <v>18</v>
      </c>
      <c r="C70" s="1" t="s">
        <v>17</v>
      </c>
      <c r="D70" s="7">
        <v>10.19</v>
      </c>
      <c r="E70" s="1">
        <v>14</v>
      </c>
      <c r="F70" s="1">
        <f t="shared" si="20"/>
        <v>142.66</v>
      </c>
      <c r="G70" s="1">
        <v>12</v>
      </c>
      <c r="H70" s="1">
        <v>3</v>
      </c>
      <c r="I70" s="1">
        <f t="shared" si="21"/>
        <v>133.66</v>
      </c>
      <c r="J70" s="7">
        <f t="shared" si="22"/>
        <v>0.8571428571428571</v>
      </c>
      <c r="K70" s="1">
        <v>175</v>
      </c>
      <c r="M70" s="1">
        <v>6.3</v>
      </c>
      <c r="N70" s="7">
        <v>10.19</v>
      </c>
      <c r="O70" s="13">
        <v>0.61746031746031749</v>
      </c>
      <c r="P70" s="13">
        <f t="shared" si="17"/>
        <v>0</v>
      </c>
      <c r="Q70" s="13">
        <f t="shared" si="18"/>
        <v>4.8306247648481935E-4</v>
      </c>
      <c r="R70" s="13">
        <f t="shared" si="19"/>
        <v>2.9827191008348369E-4</v>
      </c>
      <c r="S70" s="1" t="s">
        <v>361</v>
      </c>
    </row>
    <row r="71" spans="1:19">
      <c r="A71" s="1" t="s">
        <v>360</v>
      </c>
      <c r="B71" s="2" t="s">
        <v>20</v>
      </c>
      <c r="C71" s="1" t="s">
        <v>19</v>
      </c>
      <c r="D71" s="7">
        <v>10.02</v>
      </c>
      <c r="E71" s="1">
        <v>12</v>
      </c>
      <c r="F71" s="1">
        <f t="shared" si="20"/>
        <v>120.24</v>
      </c>
      <c r="G71" s="1">
        <v>36</v>
      </c>
      <c r="H71" s="1">
        <v>74</v>
      </c>
      <c r="I71" s="1">
        <f t="shared" si="21"/>
        <v>158.24</v>
      </c>
      <c r="J71" s="7">
        <f t="shared" si="22"/>
        <v>3</v>
      </c>
      <c r="K71" s="1">
        <v>184</v>
      </c>
      <c r="M71" s="1">
        <v>17.89</v>
      </c>
      <c r="N71" s="7">
        <v>10.02</v>
      </c>
      <c r="O71" s="13">
        <v>-0.43991056456120747</v>
      </c>
      <c r="P71" s="13">
        <f t="shared" si="17"/>
        <v>0</v>
      </c>
      <c r="Q71" s="13">
        <f t="shared" si="18"/>
        <v>4.0714588653115576E-4</v>
      </c>
      <c r="R71" s="13">
        <f t="shared" si="19"/>
        <v>-1.7910777680269405E-4</v>
      </c>
      <c r="S71" s="1" t="s">
        <v>366</v>
      </c>
    </row>
    <row r="72" spans="1:19">
      <c r="A72" s="1" t="s">
        <v>362</v>
      </c>
      <c r="B72" s="3" t="s">
        <v>22</v>
      </c>
      <c r="C72" s="1" t="s">
        <v>21</v>
      </c>
      <c r="D72" s="7">
        <v>6.12</v>
      </c>
      <c r="E72" s="1">
        <v>12.32</v>
      </c>
      <c r="F72" s="1">
        <f t="shared" si="20"/>
        <v>75.398400000000009</v>
      </c>
      <c r="G72" s="1">
        <v>1.62</v>
      </c>
      <c r="H72" s="1">
        <v>0</v>
      </c>
      <c r="I72" s="1">
        <f t="shared" si="21"/>
        <v>73.778400000000005</v>
      </c>
      <c r="J72" s="7">
        <f>+G72/E72</f>
        <v>0.1314935064935065</v>
      </c>
      <c r="M72" s="1">
        <v>4.2300000000000004</v>
      </c>
      <c r="N72" s="7">
        <v>6.14</v>
      </c>
      <c r="O72" s="13">
        <v>0.4515366430260046</v>
      </c>
      <c r="P72" s="13">
        <f t="shared" si="17"/>
        <v>-3.2573289902279035E-3</v>
      </c>
      <c r="Q72" s="13">
        <f t="shared" si="18"/>
        <v>2.553072888475607E-4</v>
      </c>
      <c r="R72" s="13">
        <f t="shared" si="19"/>
        <v>1.1528059614629806E-4</v>
      </c>
      <c r="S72" s="1" t="s">
        <v>367</v>
      </c>
    </row>
    <row r="73" spans="1:19">
      <c r="B73" s="3" t="s">
        <v>24</v>
      </c>
      <c r="C73" s="1" t="s">
        <v>23</v>
      </c>
      <c r="D73" s="7">
        <v>0.55000000000000004</v>
      </c>
      <c r="E73" s="1">
        <v>123</v>
      </c>
      <c r="F73" s="1">
        <f t="shared" si="20"/>
        <v>67.650000000000006</v>
      </c>
      <c r="G73" s="1">
        <v>19</v>
      </c>
      <c r="H73" s="1">
        <v>0</v>
      </c>
      <c r="I73" s="1">
        <f t="shared" si="21"/>
        <v>48.650000000000006</v>
      </c>
      <c r="J73" s="7">
        <f>+G73/E73</f>
        <v>0.15447154471544716</v>
      </c>
      <c r="K73" s="7"/>
      <c r="M73" s="7">
        <v>0.45</v>
      </c>
      <c r="N73" s="7">
        <v>0.55000000000000004</v>
      </c>
      <c r="O73" s="13">
        <v>0.22222222222222232</v>
      </c>
      <c r="P73" s="13">
        <f t="shared" si="17"/>
        <v>0</v>
      </c>
      <c r="Q73" s="13">
        <f t="shared" si="18"/>
        <v>2.290703528262865E-4</v>
      </c>
      <c r="R73" s="13">
        <f t="shared" si="19"/>
        <v>5.0904522850285913E-5</v>
      </c>
      <c r="S73" s="1" t="s">
        <v>38</v>
      </c>
    </row>
    <row r="74" spans="1:19">
      <c r="A74" s="1" t="s">
        <v>363</v>
      </c>
      <c r="B74" s="3" t="s">
        <v>26</v>
      </c>
      <c r="C74" s="1" t="s">
        <v>25</v>
      </c>
      <c r="D74" s="7">
        <v>2.21</v>
      </c>
      <c r="E74" s="1">
        <v>24</v>
      </c>
      <c r="F74" s="1">
        <f t="shared" si="20"/>
        <v>53.04</v>
      </c>
      <c r="G74" s="1">
        <v>59</v>
      </c>
      <c r="H74" s="1">
        <v>119</v>
      </c>
      <c r="I74" s="1">
        <f t="shared" si="21"/>
        <v>113.03999999999999</v>
      </c>
      <c r="J74" s="7">
        <f>+G74/E74</f>
        <v>2.4583333333333335</v>
      </c>
      <c r="K74" s="7"/>
      <c r="M74" s="7">
        <v>2.58</v>
      </c>
      <c r="N74" s="7">
        <v>2.21</v>
      </c>
      <c r="O74" s="13">
        <v>-0.14341085271317833</v>
      </c>
      <c r="P74" s="13">
        <f t="shared" si="17"/>
        <v>0</v>
      </c>
      <c r="Q74" s="13">
        <f t="shared" si="18"/>
        <v>1.7959928328021042E-4</v>
      </c>
      <c r="R74" s="13">
        <f t="shared" si="19"/>
        <v>-2.5756486361890647E-5</v>
      </c>
      <c r="S74" s="1" t="s">
        <v>368</v>
      </c>
    </row>
    <row r="75" spans="1:19">
      <c r="B75" s="3" t="s">
        <v>28</v>
      </c>
      <c r="C75" s="1" t="s">
        <v>27</v>
      </c>
      <c r="D75" s="7">
        <v>0.35</v>
      </c>
      <c r="E75" s="1">
        <v>66</v>
      </c>
      <c r="F75" s="1">
        <f t="shared" si="20"/>
        <v>23.099999999999998</v>
      </c>
      <c r="G75" s="1">
        <v>4</v>
      </c>
      <c r="H75" s="1">
        <v>0</v>
      </c>
      <c r="I75" s="1">
        <f t="shared" si="21"/>
        <v>19.099999999999998</v>
      </c>
      <c r="J75" s="7">
        <f>+G75/E75</f>
        <v>6.0606060606060608E-2</v>
      </c>
      <c r="K75" s="7"/>
      <c r="M75" s="7">
        <v>0.37</v>
      </c>
      <c r="N75" s="7">
        <v>0.35</v>
      </c>
      <c r="O75" s="13">
        <v>-5.4054054054054057E-2</v>
      </c>
      <c r="P75" s="13">
        <f t="shared" si="17"/>
        <v>0</v>
      </c>
      <c r="Q75" s="13">
        <f t="shared" si="18"/>
        <v>7.8219144867512454E-5</v>
      </c>
      <c r="R75" s="13">
        <f t="shared" si="19"/>
        <v>-4.2280618847304029E-6</v>
      </c>
      <c r="S75" s="1" t="s">
        <v>36</v>
      </c>
    </row>
    <row r="76" spans="1:19">
      <c r="B76" s="3" t="s">
        <v>30</v>
      </c>
      <c r="C76" s="1" t="s">
        <v>29</v>
      </c>
      <c r="D76" s="7">
        <v>0.24</v>
      </c>
      <c r="E76" s="1">
        <v>94</v>
      </c>
      <c r="F76" s="1">
        <f t="shared" si="20"/>
        <v>22.56</v>
      </c>
      <c r="G76" s="1">
        <v>5</v>
      </c>
      <c r="H76" s="1">
        <v>0</v>
      </c>
      <c r="I76" s="1">
        <f t="shared" si="21"/>
        <v>17.559999999999999</v>
      </c>
      <c r="J76" s="7">
        <f>+G76/E76</f>
        <v>5.3191489361702128E-2</v>
      </c>
      <c r="K76" s="7"/>
      <c r="M76" s="7">
        <v>0.38</v>
      </c>
      <c r="N76" s="7">
        <v>0.24</v>
      </c>
      <c r="O76" s="13">
        <v>-0.36842105263157898</v>
      </c>
      <c r="P76" s="13">
        <f t="shared" si="17"/>
        <v>0</v>
      </c>
      <c r="Q76" s="13">
        <f t="shared" si="18"/>
        <v>7.6390645377103069E-5</v>
      </c>
      <c r="R76" s="13">
        <f t="shared" si="19"/>
        <v>-2.8143921981037975E-5</v>
      </c>
    </row>
    <row r="78" spans="1:19">
      <c r="G78" s="5"/>
    </row>
    <row r="79" spans="1:19">
      <c r="B79" s="12" t="s">
        <v>128</v>
      </c>
      <c r="G79" s="8"/>
    </row>
    <row r="80" spans="1:19">
      <c r="B80" s="3" t="s">
        <v>129</v>
      </c>
      <c r="C80" s="1" t="s">
        <v>290</v>
      </c>
      <c r="D80" s="7">
        <v>112.29</v>
      </c>
      <c r="E80" s="1">
        <v>61</v>
      </c>
      <c r="F80" s="1">
        <f>+E80*D80</f>
        <v>6849.6900000000005</v>
      </c>
      <c r="G80" s="1">
        <v>1192</v>
      </c>
      <c r="H80" s="1">
        <v>276</v>
      </c>
      <c r="I80" s="1">
        <f>+F80-G80+H80</f>
        <v>5933.6900000000005</v>
      </c>
      <c r="J80" s="1">
        <f>+G80/E80</f>
        <v>19.540983606557376</v>
      </c>
      <c r="K80" s="1">
        <v>7087</v>
      </c>
      <c r="M80" s="1">
        <v>123.56</v>
      </c>
      <c r="N80" s="7">
        <v>112.29</v>
      </c>
      <c r="O80" s="13">
        <v>-9.1210747814826743E-2</v>
      </c>
      <c r="P80" s="13">
        <f t="shared" ref="P80:P82" si="23">+D80/N80-1</f>
        <v>0</v>
      </c>
      <c r="Q80" s="13">
        <f t="shared" ref="Q80" si="24">+F80/$F$3</f>
        <v>2.3193804952707855E-2</v>
      </c>
      <c r="R80" s="13">
        <f t="shared" ref="R80" si="25">+O80*Q80</f>
        <v>-2.1155242944077158E-3</v>
      </c>
    </row>
    <row r="81" spans="2:19">
      <c r="B81" s="1" t="s">
        <v>130</v>
      </c>
      <c r="C81" s="1" t="s">
        <v>322</v>
      </c>
      <c r="D81" s="7">
        <v>165.83199999999999</v>
      </c>
      <c r="M81" s="1">
        <v>193.68</v>
      </c>
      <c r="N81" s="7">
        <v>165.83199999999999</v>
      </c>
      <c r="O81" s="13">
        <v>-0.1437835605121851</v>
      </c>
      <c r="P81" s="13">
        <f t="shared" si="23"/>
        <v>0</v>
      </c>
    </row>
    <row r="82" spans="2:19">
      <c r="B82" s="1" t="s">
        <v>131</v>
      </c>
      <c r="C82" s="1" t="s">
        <v>323</v>
      </c>
      <c r="D82" s="7">
        <v>4.6399999999999997</v>
      </c>
      <c r="M82" s="1">
        <v>5.05</v>
      </c>
      <c r="N82" s="7">
        <v>4.6399999999999997</v>
      </c>
      <c r="O82" s="13">
        <v>-8.118811881188126E-2</v>
      </c>
      <c r="P82" s="13">
        <f t="shared" si="23"/>
        <v>0</v>
      </c>
    </row>
    <row r="83" spans="2:19">
      <c r="E83" s="5"/>
    </row>
    <row r="85" spans="2:19">
      <c r="B85" s="12" t="s">
        <v>132</v>
      </c>
    </row>
    <row r="86" spans="2:19">
      <c r="B86" s="7" t="s">
        <v>134</v>
      </c>
      <c r="C86" s="1" t="s">
        <v>133</v>
      </c>
      <c r="D86" s="1">
        <v>15.67</v>
      </c>
      <c r="E86" s="1">
        <v>163</v>
      </c>
      <c r="F86" s="1">
        <f>+D86*E86</f>
        <v>2554.21</v>
      </c>
      <c r="G86" s="1">
        <v>866</v>
      </c>
      <c r="H86" s="1">
        <v>938</v>
      </c>
      <c r="I86" s="1">
        <f>+F86-G86+H86</f>
        <v>2626.21</v>
      </c>
      <c r="J86" s="5">
        <f>+G86/E86</f>
        <v>5.3128834355828225</v>
      </c>
      <c r="M86" s="1">
        <v>19.66</v>
      </c>
      <c r="N86" s="1">
        <v>15.67</v>
      </c>
      <c r="O86" s="13">
        <v>-0.20295015259409965</v>
      </c>
      <c r="P86" s="13">
        <f t="shared" ref="P86:P101" si="26">+D86/N86-1</f>
        <v>0</v>
      </c>
      <c r="Q86" s="13">
        <f t="shared" ref="Q86:Q101" si="27">+F86/$F$3</f>
        <v>8.6488364507380528E-3</v>
      </c>
      <c r="R86" s="13">
        <f t="shared" ref="R86:R101" si="28">+O86*Q86</f>
        <v>-1.755282677438699E-3</v>
      </c>
      <c r="S86" s="1" t="s">
        <v>307</v>
      </c>
    </row>
    <row r="87" spans="2:19">
      <c r="B87" s="7" t="s">
        <v>136</v>
      </c>
      <c r="C87" s="1" t="s">
        <v>135</v>
      </c>
      <c r="D87" s="1">
        <v>98.88</v>
      </c>
      <c r="M87" s="1">
        <v>128.44</v>
      </c>
      <c r="N87" s="1">
        <v>98.88</v>
      </c>
      <c r="O87" s="13">
        <v>-0.23014637184677678</v>
      </c>
      <c r="P87" s="13">
        <f t="shared" si="26"/>
        <v>0</v>
      </c>
      <c r="Q87" s="13">
        <f t="shared" si="27"/>
        <v>0</v>
      </c>
      <c r="R87" s="13">
        <f t="shared" si="28"/>
        <v>0</v>
      </c>
      <c r="S87" s="1" t="s">
        <v>308</v>
      </c>
    </row>
    <row r="88" spans="2:19">
      <c r="B88" s="7" t="s">
        <v>138</v>
      </c>
      <c r="C88" s="1" t="s">
        <v>137</v>
      </c>
      <c r="D88" s="1">
        <v>34.4</v>
      </c>
      <c r="M88" s="1">
        <v>9.44</v>
      </c>
      <c r="N88" s="1">
        <v>34.4</v>
      </c>
      <c r="O88" s="13">
        <v>2.6440677966101696</v>
      </c>
      <c r="P88" s="13">
        <f t="shared" si="26"/>
        <v>0</v>
      </c>
      <c r="Q88" s="13">
        <f t="shared" si="27"/>
        <v>0</v>
      </c>
      <c r="R88" s="13">
        <f t="shared" si="28"/>
        <v>0</v>
      </c>
    </row>
    <row r="89" spans="2:19">
      <c r="B89" s="7" t="s">
        <v>140</v>
      </c>
      <c r="C89" s="1" t="s">
        <v>139</v>
      </c>
      <c r="D89" s="1">
        <v>6.79</v>
      </c>
      <c r="M89" s="1">
        <v>15.5</v>
      </c>
      <c r="N89" s="1">
        <v>6.79</v>
      </c>
      <c r="O89" s="13">
        <v>-0.56193548387096781</v>
      </c>
      <c r="P89" s="13">
        <f t="shared" si="26"/>
        <v>0</v>
      </c>
      <c r="Q89" s="13">
        <f t="shared" si="27"/>
        <v>0</v>
      </c>
      <c r="R89" s="13">
        <f t="shared" si="28"/>
        <v>0</v>
      </c>
    </row>
    <row r="90" spans="2:19">
      <c r="B90" s="7" t="s">
        <v>142</v>
      </c>
      <c r="C90" s="1" t="s">
        <v>141</v>
      </c>
      <c r="D90" s="1">
        <v>11.2</v>
      </c>
      <c r="M90" s="1">
        <v>24.91</v>
      </c>
      <c r="N90" s="1">
        <v>11.2</v>
      </c>
      <c r="O90" s="13">
        <v>-0.55038137294259337</v>
      </c>
      <c r="P90" s="13">
        <f t="shared" si="26"/>
        <v>0</v>
      </c>
      <c r="Q90" s="13">
        <f t="shared" si="27"/>
        <v>0</v>
      </c>
      <c r="R90" s="13">
        <f t="shared" si="28"/>
        <v>0</v>
      </c>
      <c r="S90" s="1" t="s">
        <v>309</v>
      </c>
    </row>
    <row r="91" spans="2:19">
      <c r="B91" s="7" t="s">
        <v>144</v>
      </c>
      <c r="C91" s="1" t="s">
        <v>143</v>
      </c>
      <c r="D91" s="1">
        <v>8.68</v>
      </c>
      <c r="M91" s="1">
        <v>27.88</v>
      </c>
      <c r="N91" s="1">
        <v>8.68</v>
      </c>
      <c r="O91" s="13">
        <v>-0.68866571018651368</v>
      </c>
      <c r="P91" s="13">
        <f t="shared" si="26"/>
        <v>0</v>
      </c>
      <c r="Q91" s="13">
        <f t="shared" si="27"/>
        <v>0</v>
      </c>
      <c r="R91" s="13">
        <f t="shared" si="28"/>
        <v>0</v>
      </c>
      <c r="S91" s="1" t="s">
        <v>310</v>
      </c>
    </row>
    <row r="92" spans="2:19">
      <c r="B92" s="7" t="s">
        <v>146</v>
      </c>
      <c r="C92" s="1" t="s">
        <v>145</v>
      </c>
      <c r="D92" s="1">
        <v>1.77</v>
      </c>
      <c r="M92" s="1">
        <v>0.25</v>
      </c>
      <c r="N92" s="1">
        <v>1.77</v>
      </c>
      <c r="O92" s="13">
        <v>6.08</v>
      </c>
      <c r="P92" s="13">
        <f t="shared" si="26"/>
        <v>0</v>
      </c>
      <c r="Q92" s="13">
        <f t="shared" si="27"/>
        <v>0</v>
      </c>
      <c r="R92" s="13">
        <f t="shared" si="28"/>
        <v>0</v>
      </c>
      <c r="S92" s="1" t="s">
        <v>311</v>
      </c>
    </row>
    <row r="93" spans="2:19">
      <c r="B93" s="7" t="s">
        <v>148</v>
      </c>
      <c r="C93" s="1" t="s">
        <v>147</v>
      </c>
      <c r="D93" s="1">
        <v>2.4500000000000002</v>
      </c>
      <c r="M93" s="1">
        <v>4.41</v>
      </c>
      <c r="N93" s="1">
        <v>2.4500000000000002</v>
      </c>
      <c r="O93" s="13">
        <v>-0.44444444444444442</v>
      </c>
      <c r="P93" s="13">
        <f t="shared" si="26"/>
        <v>0</v>
      </c>
      <c r="Q93" s="13">
        <f t="shared" si="27"/>
        <v>0</v>
      </c>
      <c r="R93" s="13">
        <f t="shared" si="28"/>
        <v>0</v>
      </c>
      <c r="S93" s="1" t="s">
        <v>312</v>
      </c>
    </row>
    <row r="94" spans="2:19">
      <c r="B94" s="7" t="s">
        <v>150</v>
      </c>
      <c r="C94" s="1" t="s">
        <v>149</v>
      </c>
      <c r="D94" s="1">
        <v>1.62</v>
      </c>
      <c r="M94" s="1">
        <v>3.16</v>
      </c>
      <c r="N94" s="1">
        <v>1.62</v>
      </c>
      <c r="O94" s="13">
        <v>-0.48734177215189878</v>
      </c>
      <c r="P94" s="13">
        <f t="shared" si="26"/>
        <v>0</v>
      </c>
      <c r="Q94" s="13">
        <f t="shared" si="27"/>
        <v>0</v>
      </c>
      <c r="R94" s="13">
        <f t="shared" si="28"/>
        <v>0</v>
      </c>
      <c r="S94" s="1" t="s">
        <v>314</v>
      </c>
    </row>
    <row r="95" spans="2:19">
      <c r="B95" s="7" t="s">
        <v>152</v>
      </c>
      <c r="C95" s="1" t="s">
        <v>151</v>
      </c>
      <c r="D95" s="1">
        <v>0.59</v>
      </c>
      <c r="M95" s="1">
        <v>0.56000000000000005</v>
      </c>
      <c r="N95" s="1">
        <v>0.59</v>
      </c>
      <c r="O95" s="13">
        <v>5.3571428571428381E-2</v>
      </c>
      <c r="P95" s="13">
        <f t="shared" si="26"/>
        <v>0</v>
      </c>
      <c r="Q95" s="13">
        <f t="shared" si="27"/>
        <v>0</v>
      </c>
      <c r="R95" s="13">
        <f t="shared" si="28"/>
        <v>0</v>
      </c>
    </row>
    <row r="96" spans="2:19">
      <c r="B96" s="7" t="s">
        <v>154</v>
      </c>
      <c r="C96" s="1" t="s">
        <v>153</v>
      </c>
      <c r="D96" s="1">
        <v>0.7</v>
      </c>
      <c r="M96" s="1">
        <v>0.59</v>
      </c>
      <c r="N96" s="1">
        <v>0.7</v>
      </c>
      <c r="O96" s="13">
        <v>0.18644067796610164</v>
      </c>
      <c r="P96" s="13">
        <f t="shared" si="26"/>
        <v>0</v>
      </c>
      <c r="Q96" s="13">
        <f t="shared" si="27"/>
        <v>0</v>
      </c>
      <c r="R96" s="13">
        <f t="shared" si="28"/>
        <v>0</v>
      </c>
    </row>
    <row r="97" spans="2:19">
      <c r="B97" s="7" t="s">
        <v>156</v>
      </c>
      <c r="C97" s="1" t="s">
        <v>155</v>
      </c>
      <c r="D97" s="5">
        <v>0.72</v>
      </c>
      <c r="E97" s="1">
        <v>22</v>
      </c>
      <c r="F97" s="1">
        <f>+D97*E97</f>
        <v>15.84</v>
      </c>
      <c r="G97" s="1">
        <v>3</v>
      </c>
      <c r="H97" s="1">
        <v>23</v>
      </c>
      <c r="I97" s="1">
        <f>+F97-G97+H97</f>
        <v>35.840000000000003</v>
      </c>
      <c r="J97" s="5">
        <f>+G97/E97</f>
        <v>0.13636363636363635</v>
      </c>
      <c r="M97" s="1">
        <v>4.62</v>
      </c>
      <c r="N97" s="5">
        <v>0.72</v>
      </c>
      <c r="O97" s="13">
        <v>-0.8441558441558441</v>
      </c>
      <c r="P97" s="13">
        <f t="shared" si="26"/>
        <v>0</v>
      </c>
      <c r="Q97" s="13">
        <f t="shared" si="27"/>
        <v>5.363598505200854E-5</v>
      </c>
      <c r="R97" s="13">
        <f t="shared" si="28"/>
        <v>-4.5277130238708504E-5</v>
      </c>
      <c r="S97" s="1" t="s">
        <v>303</v>
      </c>
    </row>
    <row r="98" spans="2:19">
      <c r="B98" s="7" t="s">
        <v>158</v>
      </c>
      <c r="C98" s="1" t="s">
        <v>157</v>
      </c>
      <c r="D98" s="7">
        <v>4.91</v>
      </c>
      <c r="M98" s="7">
        <v>4.6900000000000004</v>
      </c>
      <c r="N98" s="7">
        <v>4.91</v>
      </c>
      <c r="O98" s="13">
        <v>4.6908315565031833E-2</v>
      </c>
      <c r="P98" s="13">
        <f t="shared" si="26"/>
        <v>0</v>
      </c>
      <c r="Q98" s="13">
        <f t="shared" si="27"/>
        <v>0</v>
      </c>
      <c r="R98" s="13">
        <f t="shared" si="28"/>
        <v>0</v>
      </c>
    </row>
    <row r="99" spans="2:19">
      <c r="B99" s="20" t="s">
        <v>160</v>
      </c>
      <c r="C99" s="1" t="s">
        <v>159</v>
      </c>
      <c r="D99" s="7">
        <v>10.67</v>
      </c>
      <c r="M99" s="1">
        <v>3.28</v>
      </c>
      <c r="N99" s="7">
        <v>10.67</v>
      </c>
      <c r="O99" s="13">
        <v>2.2530487804878052</v>
      </c>
      <c r="P99" s="13">
        <f t="shared" si="26"/>
        <v>0</v>
      </c>
      <c r="Q99" s="13">
        <f t="shared" si="27"/>
        <v>0</v>
      </c>
      <c r="R99" s="13">
        <f t="shared" si="28"/>
        <v>0</v>
      </c>
      <c r="S99" s="1" t="s">
        <v>315</v>
      </c>
    </row>
    <row r="100" spans="2:19">
      <c r="B100" s="7" t="s">
        <v>162</v>
      </c>
      <c r="C100" s="1" t="s">
        <v>161</v>
      </c>
      <c r="D100" s="7">
        <v>0.76</v>
      </c>
      <c r="M100" s="1">
        <v>0.56999999999999995</v>
      </c>
      <c r="N100" s="7">
        <v>0.76</v>
      </c>
      <c r="O100" s="13">
        <v>0.33333333333333348</v>
      </c>
      <c r="P100" s="13">
        <f t="shared" si="26"/>
        <v>0</v>
      </c>
      <c r="Q100" s="13">
        <f t="shared" si="27"/>
        <v>0</v>
      </c>
      <c r="R100" s="13">
        <f t="shared" si="28"/>
        <v>0</v>
      </c>
      <c r="S100" s="1" t="s">
        <v>316</v>
      </c>
    </row>
    <row r="101" spans="2:19">
      <c r="B101" s="7" t="s">
        <v>164</v>
      </c>
      <c r="C101" s="1" t="s">
        <v>163</v>
      </c>
      <c r="D101" s="1">
        <v>9.2999999999999999E-2</v>
      </c>
      <c r="M101" s="1">
        <v>0.53</v>
      </c>
      <c r="N101" s="1">
        <v>9.2999999999999999E-2</v>
      </c>
      <c r="O101" s="13">
        <v>-0.82452830188679249</v>
      </c>
      <c r="P101" s="13">
        <f t="shared" si="26"/>
        <v>0</v>
      </c>
      <c r="Q101" s="13">
        <f t="shared" si="27"/>
        <v>0</v>
      </c>
      <c r="R101" s="13">
        <f t="shared" si="28"/>
        <v>0</v>
      </c>
    </row>
    <row r="102" spans="2:19">
      <c r="D102" s="1"/>
    </row>
    <row r="103" spans="2:19">
      <c r="B103" s="12" t="s">
        <v>165</v>
      </c>
      <c r="D103" s="1"/>
    </row>
    <row r="104" spans="2:19">
      <c r="B104" s="1" t="s">
        <v>166</v>
      </c>
      <c r="C104" s="1" t="s">
        <v>297</v>
      </c>
      <c r="D104" s="1">
        <v>79.02</v>
      </c>
      <c r="M104" s="1">
        <v>49.64</v>
      </c>
      <c r="N104" s="1">
        <v>79.02</v>
      </c>
      <c r="O104" s="13">
        <v>0.59186140209508453</v>
      </c>
      <c r="P104" s="13">
        <f t="shared" ref="P104:P106" si="29">+D104/N104-1</f>
        <v>0</v>
      </c>
      <c r="Q104" s="13">
        <f t="shared" ref="Q104:Q106" si="30">+F104/$F$3</f>
        <v>0</v>
      </c>
      <c r="R104" s="13">
        <f t="shared" ref="R104:R106" si="31">+O104*Q104</f>
        <v>0</v>
      </c>
    </row>
    <row r="105" spans="2:19">
      <c r="B105" s="1" t="s">
        <v>167</v>
      </c>
      <c r="C105" s="1" t="s">
        <v>298</v>
      </c>
      <c r="D105" s="7">
        <v>20</v>
      </c>
      <c r="E105" s="1">
        <v>35</v>
      </c>
      <c r="F105" s="1">
        <f>+D105*E105</f>
        <v>700</v>
      </c>
      <c r="G105" s="1">
        <v>215</v>
      </c>
      <c r="H105" s="1">
        <v>1996</v>
      </c>
      <c r="I105" s="1">
        <f>+F105-G105+H105</f>
        <v>2481</v>
      </c>
      <c r="M105" s="1">
        <v>23.27</v>
      </c>
      <c r="N105" s="7">
        <v>18.170000000000002</v>
      </c>
      <c r="O105" s="13">
        <v>-0.21916630855178332</v>
      </c>
      <c r="P105" s="13">
        <f t="shared" si="29"/>
        <v>0.1007154650522839</v>
      </c>
      <c r="Q105" s="13">
        <f t="shared" si="30"/>
        <v>2.3702771171973474E-3</v>
      </c>
      <c r="R105" s="13">
        <f t="shared" si="31"/>
        <v>-5.1948488602090526E-4</v>
      </c>
      <c r="S105" s="1" t="s">
        <v>376</v>
      </c>
    </row>
    <row r="106" spans="2:19">
      <c r="B106" s="1" t="s">
        <v>168</v>
      </c>
      <c r="C106" s="1" t="s">
        <v>299</v>
      </c>
      <c r="D106" s="7">
        <v>29.77</v>
      </c>
      <c r="E106" s="1">
        <v>17</v>
      </c>
      <c r="F106" s="1">
        <f>+D106*E106</f>
        <v>506.09</v>
      </c>
      <c r="G106" s="1">
        <v>36</v>
      </c>
      <c r="H106" s="1">
        <v>1150</v>
      </c>
      <c r="I106" s="1">
        <f>+F106-G106+H106</f>
        <v>1620.09</v>
      </c>
      <c r="M106" s="7">
        <v>36.590000000000003</v>
      </c>
      <c r="N106" s="7">
        <v>29.77</v>
      </c>
      <c r="O106" s="13">
        <v>-0.18638972396829745</v>
      </c>
      <c r="P106" s="13">
        <f t="shared" si="29"/>
        <v>0</v>
      </c>
      <c r="Q106" s="13">
        <f t="shared" si="30"/>
        <v>1.7136764946320078E-3</v>
      </c>
      <c r="R106" s="13">
        <f t="shared" si="31"/>
        <v>-3.1941168880541952E-4</v>
      </c>
    </row>
    <row r="109" spans="2:19">
      <c r="B109" s="12" t="s">
        <v>169</v>
      </c>
    </row>
    <row r="110" spans="2:19">
      <c r="B110" s="7" t="s">
        <v>172</v>
      </c>
      <c r="C110" s="1" t="s">
        <v>171</v>
      </c>
      <c r="D110" s="7">
        <v>86.08</v>
      </c>
      <c r="M110" s="1">
        <v>146.88999999999999</v>
      </c>
      <c r="N110" s="7">
        <v>86.08</v>
      </c>
      <c r="O110" s="13">
        <v>-0.41398325277418468</v>
      </c>
      <c r="P110" s="13">
        <f t="shared" ref="P110:P153" si="32">+D110/N110-1</f>
        <v>0</v>
      </c>
      <c r="Q110" s="13">
        <f t="shared" ref="Q110:Q153" si="33">+F110/$F$3</f>
        <v>0</v>
      </c>
      <c r="R110" s="13">
        <f t="shared" ref="R110:R153" si="34">+O110*Q110</f>
        <v>0</v>
      </c>
      <c r="S110" s="1" t="s">
        <v>313</v>
      </c>
    </row>
    <row r="111" spans="2:19">
      <c r="B111" s="7" t="s">
        <v>174</v>
      </c>
      <c r="C111" s="1" t="s">
        <v>173</v>
      </c>
      <c r="D111" s="7">
        <v>1.56</v>
      </c>
      <c r="M111" s="1">
        <v>2.68</v>
      </c>
      <c r="N111" s="7">
        <v>1.56</v>
      </c>
      <c r="O111" s="13">
        <v>-0.41791044776119401</v>
      </c>
      <c r="P111" s="13">
        <f t="shared" si="32"/>
        <v>0</v>
      </c>
      <c r="Q111" s="13">
        <f t="shared" si="33"/>
        <v>0</v>
      </c>
      <c r="R111" s="13">
        <f t="shared" si="34"/>
        <v>0</v>
      </c>
    </row>
    <row r="112" spans="2:19">
      <c r="B112" s="7" t="s">
        <v>176</v>
      </c>
      <c r="C112" s="1" t="s">
        <v>175</v>
      </c>
      <c r="D112" s="7">
        <v>289.52</v>
      </c>
      <c r="M112" s="1">
        <v>273.47000000000003</v>
      </c>
      <c r="N112" s="7">
        <v>289.52</v>
      </c>
      <c r="O112" s="13">
        <v>5.8690167111566049E-2</v>
      </c>
      <c r="P112" s="13">
        <f t="shared" si="32"/>
        <v>0</v>
      </c>
      <c r="Q112" s="13">
        <f t="shared" si="33"/>
        <v>0</v>
      </c>
      <c r="R112" s="13">
        <f t="shared" si="34"/>
        <v>0</v>
      </c>
    </row>
    <row r="113" spans="2:19">
      <c r="B113" s="7" t="s">
        <v>178</v>
      </c>
      <c r="C113" s="1" t="s">
        <v>177</v>
      </c>
      <c r="D113" s="7">
        <v>71.459999999999994</v>
      </c>
      <c r="M113" s="1">
        <v>83.7</v>
      </c>
      <c r="N113" s="7">
        <v>71.459999999999994</v>
      </c>
      <c r="O113" s="13">
        <v>-0.14623655913978506</v>
      </c>
      <c r="P113" s="13">
        <f t="shared" si="32"/>
        <v>0</v>
      </c>
      <c r="Q113" s="13">
        <f t="shared" si="33"/>
        <v>0</v>
      </c>
      <c r="R113" s="13">
        <f t="shared" si="34"/>
        <v>0</v>
      </c>
    </row>
    <row r="114" spans="2:19">
      <c r="B114" s="7" t="s">
        <v>180</v>
      </c>
      <c r="C114" s="1" t="s">
        <v>179</v>
      </c>
      <c r="D114" s="7">
        <v>40.869999999999997</v>
      </c>
      <c r="M114" s="1">
        <v>41.12</v>
      </c>
      <c r="N114" s="7">
        <v>40.869999999999997</v>
      </c>
      <c r="O114" s="13">
        <v>-6.0797665369649589E-3</v>
      </c>
      <c r="P114" s="13">
        <f t="shared" si="32"/>
        <v>0</v>
      </c>
      <c r="Q114" s="13">
        <f t="shared" si="33"/>
        <v>0</v>
      </c>
      <c r="R114" s="13">
        <f t="shared" si="34"/>
        <v>0</v>
      </c>
    </row>
    <row r="115" spans="2:19">
      <c r="B115" s="7" t="s">
        <v>182</v>
      </c>
      <c r="C115" s="1" t="s">
        <v>181</v>
      </c>
      <c r="D115" s="7">
        <v>34.22</v>
      </c>
      <c r="M115" s="1">
        <v>33.479999999999997</v>
      </c>
      <c r="N115" s="7">
        <v>34.22</v>
      </c>
      <c r="O115" s="13">
        <v>2.2102747909199527E-2</v>
      </c>
      <c r="P115" s="13">
        <f t="shared" si="32"/>
        <v>0</v>
      </c>
      <c r="Q115" s="13">
        <f t="shared" si="33"/>
        <v>0</v>
      </c>
      <c r="R115" s="13">
        <f t="shared" si="34"/>
        <v>0</v>
      </c>
    </row>
    <row r="116" spans="2:19">
      <c r="B116" s="7" t="s">
        <v>184</v>
      </c>
      <c r="C116" s="1" t="s">
        <v>183</v>
      </c>
      <c r="D116" s="7">
        <v>163</v>
      </c>
      <c r="M116" s="1">
        <v>146.19999999999999</v>
      </c>
      <c r="N116" s="7">
        <v>163</v>
      </c>
      <c r="O116" s="13">
        <v>0.11491108071135447</v>
      </c>
      <c r="P116" s="13">
        <f t="shared" si="32"/>
        <v>0</v>
      </c>
      <c r="Q116" s="13">
        <f t="shared" si="33"/>
        <v>0</v>
      </c>
      <c r="R116" s="13">
        <f t="shared" si="34"/>
        <v>0</v>
      </c>
    </row>
    <row r="117" spans="2:19">
      <c r="B117" s="7" t="s">
        <v>186</v>
      </c>
      <c r="C117" s="1" t="s">
        <v>185</v>
      </c>
      <c r="D117" s="7">
        <v>91.31</v>
      </c>
      <c r="M117" s="1">
        <v>82.96</v>
      </c>
      <c r="N117" s="7">
        <v>91.31</v>
      </c>
      <c r="O117" s="13">
        <v>0.10065091610414667</v>
      </c>
      <c r="P117" s="13">
        <f t="shared" si="32"/>
        <v>0</v>
      </c>
      <c r="Q117" s="13">
        <f t="shared" si="33"/>
        <v>0</v>
      </c>
      <c r="R117" s="13">
        <f t="shared" si="34"/>
        <v>0</v>
      </c>
    </row>
    <row r="118" spans="2:19">
      <c r="B118" s="7" t="s">
        <v>188</v>
      </c>
      <c r="C118" s="1" t="s">
        <v>187</v>
      </c>
      <c r="D118" s="7">
        <v>16.93</v>
      </c>
      <c r="M118" s="1">
        <v>31.78</v>
      </c>
      <c r="N118" s="7">
        <v>16.93</v>
      </c>
      <c r="O118" s="13">
        <v>-0.46727501573316554</v>
      </c>
      <c r="P118" s="13">
        <f t="shared" si="32"/>
        <v>0</v>
      </c>
      <c r="Q118" s="13">
        <f t="shared" si="33"/>
        <v>0</v>
      </c>
      <c r="R118" s="13">
        <f t="shared" si="34"/>
        <v>0</v>
      </c>
    </row>
    <row r="119" spans="2:19">
      <c r="B119" s="7" t="s">
        <v>190</v>
      </c>
      <c r="C119" s="1" t="s">
        <v>189</v>
      </c>
      <c r="D119" s="7">
        <v>16.7</v>
      </c>
      <c r="M119" s="1">
        <v>17.8</v>
      </c>
      <c r="N119" s="7">
        <v>16.7</v>
      </c>
      <c r="O119" s="13">
        <v>-6.1797752808988804E-2</v>
      </c>
      <c r="P119" s="13">
        <f t="shared" si="32"/>
        <v>0</v>
      </c>
      <c r="Q119" s="13">
        <f t="shared" si="33"/>
        <v>0</v>
      </c>
      <c r="R119" s="13">
        <f t="shared" si="34"/>
        <v>0</v>
      </c>
    </row>
    <row r="120" spans="2:19">
      <c r="B120" s="7" t="s">
        <v>192</v>
      </c>
      <c r="C120" s="1" t="s">
        <v>191</v>
      </c>
      <c r="D120" s="7">
        <v>0.15</v>
      </c>
      <c r="M120" s="1">
        <v>22.89</v>
      </c>
      <c r="N120" s="7">
        <v>0.15</v>
      </c>
      <c r="O120" s="13">
        <v>-0.99344692005242463</v>
      </c>
      <c r="P120" s="13">
        <f t="shared" si="32"/>
        <v>0</v>
      </c>
      <c r="Q120" s="13">
        <f t="shared" si="33"/>
        <v>0</v>
      </c>
      <c r="R120" s="13">
        <f t="shared" si="34"/>
        <v>0</v>
      </c>
      <c r="S120" s="1" t="s">
        <v>296</v>
      </c>
    </row>
    <row r="121" spans="2:19">
      <c r="B121" s="7" t="s">
        <v>194</v>
      </c>
      <c r="C121" s="1" t="s">
        <v>193</v>
      </c>
      <c r="D121" s="7">
        <v>76.25</v>
      </c>
      <c r="M121" s="1">
        <v>77.510000000000005</v>
      </c>
      <c r="N121" s="7">
        <v>76.25</v>
      </c>
      <c r="O121" s="13">
        <v>-1.625596697200371E-2</v>
      </c>
      <c r="P121" s="13">
        <f t="shared" si="32"/>
        <v>0</v>
      </c>
      <c r="Q121" s="13">
        <f t="shared" si="33"/>
        <v>0</v>
      </c>
      <c r="R121" s="13">
        <f t="shared" si="34"/>
        <v>0</v>
      </c>
    </row>
    <row r="122" spans="2:19">
      <c r="B122" s="7" t="s">
        <v>196</v>
      </c>
      <c r="C122" s="1" t="s">
        <v>195</v>
      </c>
      <c r="D122" s="7">
        <v>2.1</v>
      </c>
      <c r="M122" s="1">
        <v>41.6</v>
      </c>
      <c r="N122" s="7">
        <v>2.1</v>
      </c>
      <c r="O122" s="13">
        <v>-0.94951923076923073</v>
      </c>
      <c r="P122" s="13">
        <f t="shared" si="32"/>
        <v>0</v>
      </c>
      <c r="Q122" s="13">
        <f t="shared" si="33"/>
        <v>0</v>
      </c>
      <c r="R122" s="13">
        <f t="shared" si="34"/>
        <v>0</v>
      </c>
      <c r="S122" s="1" t="s">
        <v>296</v>
      </c>
    </row>
    <row r="123" spans="2:19">
      <c r="B123" s="7" t="s">
        <v>198</v>
      </c>
      <c r="C123" s="1" t="s">
        <v>197</v>
      </c>
      <c r="D123" s="7">
        <v>233.31</v>
      </c>
      <c r="M123" s="1">
        <v>198.2</v>
      </c>
      <c r="N123" s="7">
        <v>233.31</v>
      </c>
      <c r="O123" s="13">
        <v>0.17714429868819392</v>
      </c>
      <c r="P123" s="13">
        <f t="shared" si="32"/>
        <v>0</v>
      </c>
      <c r="Q123" s="13">
        <f t="shared" si="33"/>
        <v>0</v>
      </c>
      <c r="R123" s="13">
        <f t="shared" si="34"/>
        <v>0</v>
      </c>
    </row>
    <row r="124" spans="2:19">
      <c r="B124" s="7" t="s">
        <v>200</v>
      </c>
      <c r="C124" s="1" t="s">
        <v>199</v>
      </c>
      <c r="D124" s="7">
        <v>7.64</v>
      </c>
      <c r="M124" s="1">
        <v>9.84</v>
      </c>
      <c r="N124" s="7">
        <v>7.64</v>
      </c>
      <c r="O124" s="13">
        <v>-0.22357723577235777</v>
      </c>
      <c r="P124" s="13">
        <f t="shared" si="32"/>
        <v>0</v>
      </c>
      <c r="Q124" s="13">
        <f t="shared" si="33"/>
        <v>0</v>
      </c>
      <c r="R124" s="13">
        <f t="shared" si="34"/>
        <v>0</v>
      </c>
    </row>
    <row r="125" spans="2:19">
      <c r="B125" s="7" t="s">
        <v>202</v>
      </c>
      <c r="C125" s="1" t="s">
        <v>201</v>
      </c>
      <c r="D125" s="7">
        <v>91.32</v>
      </c>
      <c r="M125" s="1">
        <v>89.38</v>
      </c>
      <c r="N125" s="7">
        <v>91.32</v>
      </c>
      <c r="O125" s="13">
        <v>2.1705079436115549E-2</v>
      </c>
      <c r="P125" s="13">
        <f t="shared" si="32"/>
        <v>0</v>
      </c>
      <c r="Q125" s="13">
        <f t="shared" si="33"/>
        <v>0</v>
      </c>
      <c r="R125" s="13">
        <f t="shared" si="34"/>
        <v>0</v>
      </c>
    </row>
    <row r="126" spans="2:19">
      <c r="B126" s="7" t="s">
        <v>204</v>
      </c>
      <c r="C126" s="1" t="s">
        <v>203</v>
      </c>
      <c r="D126" s="7">
        <v>25.47</v>
      </c>
      <c r="M126" s="1">
        <v>22.81</v>
      </c>
      <c r="N126" s="7">
        <v>25.47</v>
      </c>
      <c r="O126" s="13">
        <v>0.1166155195089873</v>
      </c>
      <c r="P126" s="13">
        <f t="shared" si="32"/>
        <v>0</v>
      </c>
      <c r="Q126" s="13">
        <f t="shared" si="33"/>
        <v>0</v>
      </c>
      <c r="R126" s="13">
        <f t="shared" si="34"/>
        <v>0</v>
      </c>
    </row>
    <row r="127" spans="2:19">
      <c r="B127" s="7" t="s">
        <v>206</v>
      </c>
      <c r="C127" s="1" t="s">
        <v>205</v>
      </c>
      <c r="D127" s="7">
        <v>0.67</v>
      </c>
      <c r="M127" s="1">
        <v>1.44</v>
      </c>
      <c r="N127" s="7">
        <v>0.67</v>
      </c>
      <c r="O127" s="13">
        <v>-0.5347222222222221</v>
      </c>
      <c r="P127" s="13">
        <f t="shared" si="32"/>
        <v>0</v>
      </c>
      <c r="Q127" s="13">
        <f t="shared" si="33"/>
        <v>0</v>
      </c>
      <c r="R127" s="13">
        <f t="shared" si="34"/>
        <v>0</v>
      </c>
    </row>
    <row r="128" spans="2:19">
      <c r="B128" s="7" t="s">
        <v>208</v>
      </c>
      <c r="C128" s="1" t="s">
        <v>207</v>
      </c>
      <c r="D128" s="7">
        <v>5.29</v>
      </c>
      <c r="M128" s="1">
        <v>6.04</v>
      </c>
      <c r="N128" s="7">
        <v>5.29</v>
      </c>
      <c r="O128" s="13">
        <v>-0.1241721854304636</v>
      </c>
      <c r="P128" s="13">
        <f t="shared" si="32"/>
        <v>0</v>
      </c>
      <c r="Q128" s="13">
        <f t="shared" si="33"/>
        <v>0</v>
      </c>
      <c r="R128" s="13">
        <f t="shared" si="34"/>
        <v>0</v>
      </c>
    </row>
    <row r="129" spans="2:18">
      <c r="B129" s="7" t="s">
        <v>210</v>
      </c>
      <c r="C129" s="1" t="s">
        <v>209</v>
      </c>
      <c r="D129" s="7">
        <v>68.44</v>
      </c>
      <c r="M129" s="1">
        <v>77.87</v>
      </c>
      <c r="N129" s="7">
        <v>68.44</v>
      </c>
      <c r="O129" s="13">
        <v>-0.1210992680107873</v>
      </c>
      <c r="P129" s="13">
        <f t="shared" si="32"/>
        <v>0</v>
      </c>
      <c r="Q129" s="13">
        <f t="shared" si="33"/>
        <v>0</v>
      </c>
      <c r="R129" s="13">
        <f t="shared" si="34"/>
        <v>0</v>
      </c>
    </row>
    <row r="130" spans="2:18">
      <c r="B130" s="7" t="s">
        <v>212</v>
      </c>
      <c r="C130" s="1" t="s">
        <v>211</v>
      </c>
      <c r="D130" s="7">
        <v>2.08</v>
      </c>
      <c r="M130" s="1">
        <v>1.17</v>
      </c>
      <c r="N130" s="7">
        <v>2.08</v>
      </c>
      <c r="O130" s="13">
        <v>0.7777777777777779</v>
      </c>
      <c r="P130" s="13">
        <f t="shared" si="32"/>
        <v>0</v>
      </c>
      <c r="Q130" s="13">
        <f t="shared" si="33"/>
        <v>0</v>
      </c>
      <c r="R130" s="13">
        <f t="shared" si="34"/>
        <v>0</v>
      </c>
    </row>
    <row r="131" spans="2:18">
      <c r="B131" s="7" t="s">
        <v>214</v>
      </c>
      <c r="C131" s="1" t="s">
        <v>213</v>
      </c>
      <c r="D131" s="7">
        <v>5.68</v>
      </c>
      <c r="M131" s="1">
        <v>13.9</v>
      </c>
      <c r="N131" s="7">
        <v>5.68</v>
      </c>
      <c r="O131" s="13">
        <v>-0.59136690647482015</v>
      </c>
      <c r="P131" s="13">
        <f t="shared" si="32"/>
        <v>0</v>
      </c>
      <c r="Q131" s="13">
        <f t="shared" si="33"/>
        <v>0</v>
      </c>
      <c r="R131" s="13">
        <f t="shared" si="34"/>
        <v>0</v>
      </c>
    </row>
    <row r="132" spans="2:18">
      <c r="B132" s="7" t="s">
        <v>216</v>
      </c>
      <c r="C132" s="1" t="s">
        <v>215</v>
      </c>
      <c r="D132" s="7">
        <v>122.67</v>
      </c>
      <c r="M132" s="1">
        <v>70.02</v>
      </c>
      <c r="N132" s="7">
        <v>122.67</v>
      </c>
      <c r="O132" s="13">
        <v>0.75192802056555275</v>
      </c>
      <c r="P132" s="13">
        <f t="shared" si="32"/>
        <v>0</v>
      </c>
      <c r="Q132" s="13">
        <f t="shared" si="33"/>
        <v>0</v>
      </c>
      <c r="R132" s="13">
        <f t="shared" si="34"/>
        <v>0</v>
      </c>
    </row>
    <row r="133" spans="2:18">
      <c r="B133" s="7" t="s">
        <v>218</v>
      </c>
      <c r="C133" s="1" t="s">
        <v>217</v>
      </c>
      <c r="D133" s="7">
        <v>84.55</v>
      </c>
      <c r="M133" s="1">
        <v>79.55</v>
      </c>
      <c r="N133" s="7">
        <v>84.55</v>
      </c>
      <c r="O133" s="13">
        <v>6.2853551225644289E-2</v>
      </c>
      <c r="P133" s="13">
        <f t="shared" si="32"/>
        <v>0</v>
      </c>
      <c r="Q133" s="13">
        <f t="shared" si="33"/>
        <v>0</v>
      </c>
      <c r="R133" s="13">
        <f t="shared" si="34"/>
        <v>0</v>
      </c>
    </row>
    <row r="134" spans="2:18">
      <c r="B134" s="7" t="s">
        <v>220</v>
      </c>
      <c r="C134" s="1" t="s">
        <v>219</v>
      </c>
      <c r="D134" s="7">
        <v>110.06</v>
      </c>
      <c r="M134" s="1">
        <v>122.17</v>
      </c>
      <c r="N134" s="7">
        <v>110.06</v>
      </c>
      <c r="O134" s="13">
        <v>-9.9124171236801173E-2</v>
      </c>
      <c r="P134" s="13">
        <f t="shared" si="32"/>
        <v>0</v>
      </c>
      <c r="Q134" s="13">
        <f t="shared" si="33"/>
        <v>0</v>
      </c>
      <c r="R134" s="13">
        <f t="shared" si="34"/>
        <v>0</v>
      </c>
    </row>
    <row r="135" spans="2:18">
      <c r="B135" s="7" t="s">
        <v>222</v>
      </c>
      <c r="C135" s="1" t="s">
        <v>221</v>
      </c>
      <c r="D135" s="7">
        <v>32.4</v>
      </c>
      <c r="M135" s="1">
        <v>50.47</v>
      </c>
      <c r="N135" s="7">
        <v>32.4</v>
      </c>
      <c r="O135" s="13">
        <v>-0.35803447592629289</v>
      </c>
      <c r="P135" s="13">
        <f t="shared" si="32"/>
        <v>0</v>
      </c>
      <c r="Q135" s="13">
        <f t="shared" si="33"/>
        <v>0</v>
      </c>
      <c r="R135" s="13">
        <f t="shared" si="34"/>
        <v>0</v>
      </c>
    </row>
    <row r="136" spans="2:18">
      <c r="B136" s="7" t="s">
        <v>224</v>
      </c>
      <c r="C136" s="1" t="s">
        <v>223</v>
      </c>
      <c r="D136" s="7">
        <v>9.75</v>
      </c>
      <c r="M136" s="1">
        <v>9.7899999999999991</v>
      </c>
      <c r="N136" s="7">
        <v>9.75</v>
      </c>
      <c r="O136" s="13">
        <v>-4.0858018386107364E-3</v>
      </c>
      <c r="P136" s="13">
        <f t="shared" si="32"/>
        <v>0</v>
      </c>
      <c r="Q136" s="13">
        <f t="shared" si="33"/>
        <v>0</v>
      </c>
      <c r="R136" s="13">
        <f t="shared" si="34"/>
        <v>0</v>
      </c>
    </row>
    <row r="137" spans="2:18">
      <c r="B137" s="7" t="s">
        <v>226</v>
      </c>
      <c r="C137" s="1" t="s">
        <v>225</v>
      </c>
      <c r="D137" s="7">
        <v>139.66999999999999</v>
      </c>
      <c r="M137" s="1">
        <v>212.03</v>
      </c>
      <c r="N137" s="7">
        <v>139.66999999999999</v>
      </c>
      <c r="O137" s="13">
        <v>-0.34127246144413537</v>
      </c>
      <c r="P137" s="13">
        <f t="shared" si="32"/>
        <v>0</v>
      </c>
      <c r="Q137" s="13">
        <f t="shared" si="33"/>
        <v>0</v>
      </c>
      <c r="R137" s="13">
        <f t="shared" si="34"/>
        <v>0</v>
      </c>
    </row>
    <row r="138" spans="2:18">
      <c r="B138" s="7" t="s">
        <v>228</v>
      </c>
      <c r="C138" s="1" t="s">
        <v>227</v>
      </c>
      <c r="D138" s="7">
        <v>2.15</v>
      </c>
      <c r="M138" s="1">
        <v>4.5999999999999996</v>
      </c>
      <c r="N138" s="7">
        <v>2.15</v>
      </c>
      <c r="O138" s="13">
        <v>-0.53260869565217384</v>
      </c>
      <c r="P138" s="13">
        <f t="shared" si="32"/>
        <v>0</v>
      </c>
      <c r="Q138" s="13">
        <f t="shared" si="33"/>
        <v>0</v>
      </c>
      <c r="R138" s="13">
        <f t="shared" si="34"/>
        <v>0</v>
      </c>
    </row>
    <row r="139" spans="2:18">
      <c r="B139" s="7" t="s">
        <v>230</v>
      </c>
      <c r="C139" s="1" t="s">
        <v>229</v>
      </c>
      <c r="D139" s="7">
        <v>10.9</v>
      </c>
      <c r="M139" s="7">
        <v>15.87</v>
      </c>
      <c r="N139" s="7">
        <v>10.9</v>
      </c>
      <c r="O139" s="13">
        <v>-0.31316950220541895</v>
      </c>
      <c r="P139" s="13">
        <f t="shared" si="32"/>
        <v>0</v>
      </c>
      <c r="Q139" s="13">
        <f t="shared" si="33"/>
        <v>0</v>
      </c>
      <c r="R139" s="13">
        <f t="shared" si="34"/>
        <v>0</v>
      </c>
    </row>
    <row r="140" spans="2:18">
      <c r="B140" s="7" t="s">
        <v>232</v>
      </c>
      <c r="C140" s="1" t="s">
        <v>231</v>
      </c>
      <c r="D140" s="7">
        <v>76.209999999999994</v>
      </c>
      <c r="M140" s="1">
        <v>70.25</v>
      </c>
      <c r="N140" s="7">
        <v>76.209999999999994</v>
      </c>
      <c r="O140" s="13">
        <v>8.4839857651245465E-2</v>
      </c>
      <c r="P140" s="13">
        <f t="shared" si="32"/>
        <v>0</v>
      </c>
      <c r="Q140" s="13">
        <f t="shared" si="33"/>
        <v>0</v>
      </c>
      <c r="R140" s="13">
        <f t="shared" si="34"/>
        <v>0</v>
      </c>
    </row>
    <row r="141" spans="2:18">
      <c r="B141" s="7" t="s">
        <v>234</v>
      </c>
      <c r="C141" s="1" t="s">
        <v>233</v>
      </c>
      <c r="D141" s="7">
        <v>528.35</v>
      </c>
      <c r="M141" s="1">
        <v>546.79</v>
      </c>
      <c r="N141" s="7">
        <v>528.35</v>
      </c>
      <c r="O141" s="13">
        <v>-3.3724098831361071E-2</v>
      </c>
      <c r="P141" s="13">
        <f t="shared" si="32"/>
        <v>0</v>
      </c>
      <c r="Q141" s="13">
        <f t="shared" si="33"/>
        <v>0</v>
      </c>
      <c r="R141" s="13">
        <f t="shared" si="34"/>
        <v>0</v>
      </c>
    </row>
    <row r="142" spans="2:18">
      <c r="B142" s="7" t="s">
        <v>236</v>
      </c>
      <c r="C142" s="1" t="s">
        <v>235</v>
      </c>
      <c r="D142" s="7">
        <v>40.75</v>
      </c>
      <c r="M142" s="1">
        <v>44.08</v>
      </c>
      <c r="N142" s="7">
        <v>40.75</v>
      </c>
      <c r="O142" s="13">
        <v>-7.5544464609800355E-2</v>
      </c>
      <c r="P142" s="13">
        <f t="shared" si="32"/>
        <v>0</v>
      </c>
      <c r="Q142" s="13">
        <f t="shared" si="33"/>
        <v>0</v>
      </c>
      <c r="R142" s="13">
        <f t="shared" si="34"/>
        <v>0</v>
      </c>
    </row>
    <row r="143" spans="2:18">
      <c r="B143" s="7" t="s">
        <v>238</v>
      </c>
      <c r="C143" s="1" t="s">
        <v>237</v>
      </c>
      <c r="D143" s="7">
        <v>13.49</v>
      </c>
      <c r="M143" s="1">
        <v>11.6</v>
      </c>
      <c r="N143" s="7">
        <v>13.49</v>
      </c>
      <c r="O143" s="13">
        <v>0.16293103448275859</v>
      </c>
      <c r="P143" s="13">
        <f t="shared" si="32"/>
        <v>0</v>
      </c>
      <c r="Q143" s="13">
        <f t="shared" si="33"/>
        <v>0</v>
      </c>
      <c r="R143" s="13">
        <f t="shared" si="34"/>
        <v>0</v>
      </c>
    </row>
    <row r="144" spans="2:18">
      <c r="B144" s="7" t="s">
        <v>240</v>
      </c>
      <c r="C144" s="1" t="s">
        <v>239</v>
      </c>
      <c r="D144" s="7">
        <v>87.63</v>
      </c>
      <c r="M144" s="1">
        <v>68.97</v>
      </c>
      <c r="N144" s="7">
        <v>87.63</v>
      </c>
      <c r="O144" s="13">
        <v>0.27055241409308395</v>
      </c>
      <c r="P144" s="13">
        <f t="shared" si="32"/>
        <v>0</v>
      </c>
      <c r="Q144" s="13">
        <f t="shared" si="33"/>
        <v>0</v>
      </c>
      <c r="R144" s="13">
        <f t="shared" si="34"/>
        <v>0</v>
      </c>
    </row>
    <row r="145" spans="2:18">
      <c r="B145" s="7" t="s">
        <v>242</v>
      </c>
      <c r="C145" s="1" t="s">
        <v>241</v>
      </c>
      <c r="D145" s="7">
        <v>119.45</v>
      </c>
      <c r="M145" s="1">
        <v>147.28</v>
      </c>
      <c r="N145" s="7">
        <v>119.45</v>
      </c>
      <c r="O145" s="13">
        <v>-0.18895980445410099</v>
      </c>
      <c r="P145" s="13">
        <f t="shared" si="32"/>
        <v>0</v>
      </c>
      <c r="Q145" s="13">
        <f t="shared" si="33"/>
        <v>0</v>
      </c>
      <c r="R145" s="13">
        <f t="shared" si="34"/>
        <v>0</v>
      </c>
    </row>
    <row r="146" spans="2:18">
      <c r="B146" s="7" t="s">
        <v>244</v>
      </c>
      <c r="C146" s="1" t="s">
        <v>243</v>
      </c>
      <c r="D146" s="7">
        <v>123.06</v>
      </c>
      <c r="M146" s="1">
        <v>109.74</v>
      </c>
      <c r="N146" s="7">
        <v>123.06</v>
      </c>
      <c r="O146" s="13">
        <v>0.12137780207763815</v>
      </c>
      <c r="P146" s="13">
        <f t="shared" si="32"/>
        <v>0</v>
      </c>
      <c r="Q146" s="13">
        <f t="shared" si="33"/>
        <v>0</v>
      </c>
      <c r="R146" s="13">
        <f t="shared" si="34"/>
        <v>0</v>
      </c>
    </row>
    <row r="147" spans="2:18">
      <c r="B147" s="7" t="s">
        <v>246</v>
      </c>
      <c r="C147" s="1" t="s">
        <v>245</v>
      </c>
      <c r="D147" s="7">
        <v>64.7</v>
      </c>
      <c r="M147" s="1">
        <v>93.44</v>
      </c>
      <c r="N147" s="7">
        <v>64.7</v>
      </c>
      <c r="O147" s="13">
        <v>-0.30757705479452047</v>
      </c>
      <c r="P147" s="13">
        <f t="shared" si="32"/>
        <v>0</v>
      </c>
      <c r="Q147" s="13">
        <f t="shared" si="33"/>
        <v>0</v>
      </c>
      <c r="R147" s="13">
        <f t="shared" si="34"/>
        <v>0</v>
      </c>
    </row>
    <row r="148" spans="2:18">
      <c r="B148" s="7" t="s">
        <v>248</v>
      </c>
      <c r="C148" s="1" t="s">
        <v>247</v>
      </c>
      <c r="D148" s="7">
        <v>339.93</v>
      </c>
      <c r="M148" s="1">
        <v>302.51</v>
      </c>
      <c r="N148" s="7">
        <v>339.93</v>
      </c>
      <c r="O148" s="13">
        <v>0.12369839013586326</v>
      </c>
      <c r="P148" s="13">
        <f t="shared" si="32"/>
        <v>0</v>
      </c>
      <c r="Q148" s="13">
        <f t="shared" si="33"/>
        <v>0</v>
      </c>
      <c r="R148" s="13">
        <f t="shared" si="34"/>
        <v>0</v>
      </c>
    </row>
    <row r="149" spans="2:18">
      <c r="B149" s="7" t="s">
        <v>250</v>
      </c>
      <c r="C149" s="1" t="s">
        <v>249</v>
      </c>
      <c r="D149" s="7">
        <v>3.12</v>
      </c>
      <c r="M149" s="1">
        <v>16</v>
      </c>
      <c r="N149" s="7">
        <v>3.12</v>
      </c>
      <c r="O149" s="13">
        <v>-0.80499999999999994</v>
      </c>
      <c r="P149" s="13">
        <f t="shared" si="32"/>
        <v>0</v>
      </c>
      <c r="Q149" s="13">
        <f t="shared" si="33"/>
        <v>0</v>
      </c>
      <c r="R149" s="13">
        <f t="shared" si="34"/>
        <v>0</v>
      </c>
    </row>
    <row r="150" spans="2:18">
      <c r="B150" s="7" t="s">
        <v>252</v>
      </c>
      <c r="C150" s="1" t="s">
        <v>251</v>
      </c>
      <c r="D150" s="7">
        <v>71.260000000000005</v>
      </c>
      <c r="M150" s="1">
        <v>65.84</v>
      </c>
      <c r="N150" s="7">
        <v>71.260000000000005</v>
      </c>
      <c r="O150" s="13">
        <v>8.2320777642770349E-2</v>
      </c>
      <c r="P150" s="13">
        <f t="shared" si="32"/>
        <v>0</v>
      </c>
      <c r="Q150" s="13">
        <f t="shared" si="33"/>
        <v>0</v>
      </c>
      <c r="R150" s="13">
        <f t="shared" si="34"/>
        <v>0</v>
      </c>
    </row>
    <row r="151" spans="2:18">
      <c r="B151" s="7" t="s">
        <v>254</v>
      </c>
      <c r="C151" s="1" t="s">
        <v>253</v>
      </c>
      <c r="D151" s="7">
        <v>5.0999999999999996</v>
      </c>
      <c r="M151" s="1">
        <v>8.42</v>
      </c>
      <c r="N151" s="7">
        <v>5.0999999999999996</v>
      </c>
      <c r="O151" s="13">
        <v>-0.39429928741092646</v>
      </c>
      <c r="P151" s="13">
        <f t="shared" si="32"/>
        <v>0</v>
      </c>
      <c r="Q151" s="13">
        <f t="shared" si="33"/>
        <v>0</v>
      </c>
      <c r="R151" s="13">
        <f t="shared" si="34"/>
        <v>0</v>
      </c>
    </row>
    <row r="152" spans="2:18">
      <c r="B152" s="7" t="s">
        <v>256</v>
      </c>
      <c r="C152" s="1" t="s">
        <v>255</v>
      </c>
      <c r="D152" s="7">
        <v>242.68</v>
      </c>
      <c r="M152" s="1">
        <v>241.39</v>
      </c>
      <c r="N152" s="7">
        <v>242.68</v>
      </c>
      <c r="O152" s="13">
        <v>5.3440490492564496E-3</v>
      </c>
      <c r="P152" s="13">
        <f t="shared" si="32"/>
        <v>0</v>
      </c>
      <c r="Q152" s="13">
        <f t="shared" si="33"/>
        <v>0</v>
      </c>
      <c r="R152" s="13">
        <f t="shared" si="34"/>
        <v>0</v>
      </c>
    </row>
    <row r="153" spans="2:18">
      <c r="B153" s="7" t="s">
        <v>258</v>
      </c>
      <c r="C153" s="1" t="s">
        <v>257</v>
      </c>
      <c r="D153" s="7">
        <v>114.65</v>
      </c>
      <c r="M153" s="1">
        <v>140.75</v>
      </c>
      <c r="N153" s="7">
        <v>114.65</v>
      </c>
      <c r="O153" s="13">
        <v>-0.18543516873889876</v>
      </c>
      <c r="P153" s="13">
        <f t="shared" si="32"/>
        <v>0</v>
      </c>
      <c r="Q153" s="13">
        <f t="shared" si="33"/>
        <v>0</v>
      </c>
      <c r="R153" s="13">
        <f t="shared" si="34"/>
        <v>0</v>
      </c>
    </row>
    <row r="155" spans="2:18">
      <c r="B155" s="12" t="s">
        <v>259</v>
      </c>
    </row>
    <row r="156" spans="2:18">
      <c r="B156" s="7" t="s">
        <v>261</v>
      </c>
      <c r="C156" s="1" t="s">
        <v>260</v>
      </c>
      <c r="D156" s="7">
        <v>11.18</v>
      </c>
      <c r="M156" s="1">
        <v>9.8000000000000007</v>
      </c>
      <c r="N156" s="7">
        <v>11.18</v>
      </c>
      <c r="O156" s="13">
        <v>0.14081632653061216</v>
      </c>
      <c r="P156" s="13">
        <f t="shared" ref="P156:P170" si="35">+D156/N156-1</f>
        <v>0</v>
      </c>
      <c r="Q156" s="13">
        <f t="shared" ref="Q156:Q170" si="36">+F156/$F$3</f>
        <v>0</v>
      </c>
      <c r="R156" s="13">
        <f t="shared" ref="R156:R170" si="37">+O156*Q156</f>
        <v>0</v>
      </c>
    </row>
    <row r="157" spans="2:18">
      <c r="B157" s="7" t="s">
        <v>263</v>
      </c>
      <c r="C157" s="1" t="s">
        <v>262</v>
      </c>
      <c r="D157" s="7">
        <v>9.4499999999999993</v>
      </c>
      <c r="M157" s="1">
        <v>19.77</v>
      </c>
      <c r="N157" s="7">
        <v>9.4499999999999993</v>
      </c>
      <c r="O157" s="13">
        <v>-0.52200303490136579</v>
      </c>
      <c r="P157" s="13">
        <f t="shared" si="35"/>
        <v>0</v>
      </c>
      <c r="Q157" s="13">
        <f t="shared" si="36"/>
        <v>0</v>
      </c>
      <c r="R157" s="13">
        <f t="shared" si="37"/>
        <v>0</v>
      </c>
    </row>
    <row r="158" spans="2:18">
      <c r="B158" s="7" t="s">
        <v>265</v>
      </c>
      <c r="C158" s="1" t="s">
        <v>264</v>
      </c>
      <c r="D158" s="7">
        <v>49.6</v>
      </c>
      <c r="M158" s="1">
        <v>50.18</v>
      </c>
      <c r="N158" s="7">
        <v>49.6</v>
      </c>
      <c r="O158" s="13">
        <v>-1.1558389796731738E-2</v>
      </c>
      <c r="P158" s="13">
        <f t="shared" si="35"/>
        <v>0</v>
      </c>
      <c r="Q158" s="13">
        <f t="shared" si="36"/>
        <v>0</v>
      </c>
      <c r="R158" s="13">
        <f t="shared" si="37"/>
        <v>0</v>
      </c>
    </row>
    <row r="159" spans="2:18">
      <c r="B159" s="7" t="s">
        <v>267</v>
      </c>
      <c r="C159" s="1" t="s">
        <v>266</v>
      </c>
      <c r="D159" s="7">
        <v>15.29</v>
      </c>
      <c r="M159" s="1">
        <v>15.45</v>
      </c>
      <c r="N159" s="7">
        <v>15.29</v>
      </c>
      <c r="O159" s="13">
        <v>-1.0355987055016169E-2</v>
      </c>
      <c r="P159" s="13">
        <f t="shared" si="35"/>
        <v>0</v>
      </c>
      <c r="Q159" s="13">
        <f t="shared" si="36"/>
        <v>0</v>
      </c>
      <c r="R159" s="13">
        <f t="shared" si="37"/>
        <v>0</v>
      </c>
    </row>
    <row r="160" spans="2:18">
      <c r="B160" s="7" t="s">
        <v>269</v>
      </c>
      <c r="C160" s="1" t="s">
        <v>268</v>
      </c>
      <c r="D160" s="7">
        <v>4.7</v>
      </c>
      <c r="M160" s="1">
        <v>13.9</v>
      </c>
      <c r="N160" s="7">
        <v>4.7</v>
      </c>
      <c r="O160" s="13">
        <v>-0.66187050359712229</v>
      </c>
      <c r="P160" s="13">
        <f t="shared" si="35"/>
        <v>0</v>
      </c>
      <c r="Q160" s="13">
        <f t="shared" si="36"/>
        <v>0</v>
      </c>
      <c r="R160" s="13">
        <f t="shared" si="37"/>
        <v>0</v>
      </c>
    </row>
    <row r="161" spans="2:18">
      <c r="B161" s="7" t="s">
        <v>271</v>
      </c>
      <c r="C161" s="1" t="s">
        <v>270</v>
      </c>
      <c r="D161" s="7">
        <v>28.06</v>
      </c>
      <c r="M161" s="1">
        <v>19.89</v>
      </c>
      <c r="N161" s="7">
        <v>28.06</v>
      </c>
      <c r="O161" s="13">
        <v>0.41075917546505769</v>
      </c>
      <c r="P161" s="13">
        <f t="shared" si="35"/>
        <v>0</v>
      </c>
      <c r="Q161" s="13">
        <f t="shared" si="36"/>
        <v>0</v>
      </c>
      <c r="R161" s="13">
        <f t="shared" si="37"/>
        <v>0</v>
      </c>
    </row>
    <row r="162" spans="2:18">
      <c r="B162" s="7" t="s">
        <v>273</v>
      </c>
      <c r="C162" s="1" t="s">
        <v>272</v>
      </c>
      <c r="D162" s="7">
        <v>14.13</v>
      </c>
      <c r="M162" s="1">
        <v>23.07</v>
      </c>
      <c r="N162" s="7">
        <v>14.13</v>
      </c>
      <c r="O162" s="13">
        <v>-0.38751625487646291</v>
      </c>
      <c r="P162" s="13">
        <f t="shared" si="35"/>
        <v>0</v>
      </c>
      <c r="Q162" s="13">
        <f t="shared" si="36"/>
        <v>0</v>
      </c>
      <c r="R162" s="13">
        <f t="shared" si="37"/>
        <v>0</v>
      </c>
    </row>
    <row r="163" spans="2:18">
      <c r="B163" s="7" t="s">
        <v>275</v>
      </c>
      <c r="C163" s="1" t="s">
        <v>274</v>
      </c>
      <c r="D163" s="7">
        <v>117.65</v>
      </c>
      <c r="M163" s="1">
        <v>175.43</v>
      </c>
      <c r="N163" s="7">
        <v>117.65</v>
      </c>
      <c r="O163" s="13">
        <v>-0.32936213874479847</v>
      </c>
      <c r="P163" s="13">
        <f t="shared" si="35"/>
        <v>0</v>
      </c>
      <c r="Q163" s="13">
        <f t="shared" si="36"/>
        <v>0</v>
      </c>
      <c r="R163" s="13">
        <f t="shared" si="37"/>
        <v>0</v>
      </c>
    </row>
    <row r="164" spans="2:18">
      <c r="B164" s="7" t="s">
        <v>277</v>
      </c>
      <c r="C164" s="1" t="s">
        <v>276</v>
      </c>
      <c r="D164" s="7">
        <v>15.22</v>
      </c>
      <c r="M164" s="1">
        <v>30.37</v>
      </c>
      <c r="N164" s="7">
        <v>15.22</v>
      </c>
      <c r="O164" s="13">
        <v>-0.49884754692130395</v>
      </c>
      <c r="P164" s="13">
        <f t="shared" si="35"/>
        <v>0</v>
      </c>
      <c r="Q164" s="13">
        <f t="shared" si="36"/>
        <v>0</v>
      </c>
      <c r="R164" s="13">
        <f t="shared" si="37"/>
        <v>0</v>
      </c>
    </row>
    <row r="165" spans="2:18">
      <c r="B165" s="7" t="s">
        <v>279</v>
      </c>
      <c r="C165" s="1" t="s">
        <v>278</v>
      </c>
      <c r="D165" s="7">
        <v>270.35000000000002</v>
      </c>
      <c r="M165" s="1">
        <v>281.43</v>
      </c>
      <c r="N165" s="7">
        <v>270.35000000000002</v>
      </c>
      <c r="O165" s="13">
        <v>-3.9370358526098825E-2</v>
      </c>
      <c r="P165" s="13">
        <f t="shared" si="35"/>
        <v>0</v>
      </c>
      <c r="Q165" s="13">
        <f t="shared" si="36"/>
        <v>0</v>
      </c>
      <c r="R165" s="13">
        <f t="shared" si="37"/>
        <v>0</v>
      </c>
    </row>
    <row r="166" spans="2:18">
      <c r="B166" s="7" t="s">
        <v>281</v>
      </c>
      <c r="C166" s="1" t="s">
        <v>280</v>
      </c>
      <c r="D166" s="7">
        <v>114.07</v>
      </c>
      <c r="M166" s="1">
        <v>118.91</v>
      </c>
      <c r="N166" s="7">
        <v>114.07</v>
      </c>
      <c r="O166" s="13">
        <v>-4.0703052728954692E-2</v>
      </c>
      <c r="P166" s="13">
        <f t="shared" si="35"/>
        <v>0</v>
      </c>
      <c r="Q166" s="13">
        <f t="shared" si="36"/>
        <v>0</v>
      </c>
      <c r="R166" s="13">
        <f t="shared" si="37"/>
        <v>0</v>
      </c>
    </row>
    <row r="167" spans="2:18">
      <c r="B167" s="7" t="s">
        <v>283</v>
      </c>
      <c r="C167" s="1" t="s">
        <v>282</v>
      </c>
      <c r="D167" s="7">
        <v>43.86</v>
      </c>
      <c r="M167" s="1">
        <v>19.25</v>
      </c>
      <c r="N167" s="7">
        <v>43.86</v>
      </c>
      <c r="O167" s="13">
        <v>1.2784415584415583</v>
      </c>
      <c r="P167" s="13">
        <f t="shared" si="35"/>
        <v>0</v>
      </c>
      <c r="Q167" s="13">
        <f t="shared" si="36"/>
        <v>0</v>
      </c>
      <c r="R167" s="13">
        <f t="shared" si="37"/>
        <v>0</v>
      </c>
    </row>
    <row r="168" spans="2:18">
      <c r="B168" s="7" t="s">
        <v>285</v>
      </c>
      <c r="C168" s="1" t="s">
        <v>284</v>
      </c>
      <c r="D168" s="7">
        <v>31.82</v>
      </c>
      <c r="M168" s="1">
        <v>27.44</v>
      </c>
      <c r="N168" s="7">
        <v>31.82</v>
      </c>
      <c r="O168" s="13">
        <v>0.15962099125364437</v>
      </c>
      <c r="P168" s="13">
        <f t="shared" si="35"/>
        <v>0</v>
      </c>
      <c r="Q168" s="13">
        <f t="shared" si="36"/>
        <v>0</v>
      </c>
      <c r="R168" s="13">
        <f t="shared" si="37"/>
        <v>0</v>
      </c>
    </row>
    <row r="169" spans="2:18">
      <c r="B169" s="7" t="s">
        <v>287</v>
      </c>
      <c r="C169" s="1" t="s">
        <v>286</v>
      </c>
      <c r="D169" s="7">
        <v>32.6</v>
      </c>
      <c r="M169" s="1">
        <v>26.89</v>
      </c>
      <c r="N169" s="7">
        <v>31</v>
      </c>
      <c r="O169" s="13">
        <v>0.1528449237634808</v>
      </c>
      <c r="P169" s="13">
        <f t="shared" si="35"/>
        <v>5.1612903225806583E-2</v>
      </c>
      <c r="Q169" s="13">
        <f t="shared" si="36"/>
        <v>0</v>
      </c>
      <c r="R169" s="13">
        <f t="shared" si="37"/>
        <v>0</v>
      </c>
    </row>
    <row r="170" spans="2:18">
      <c r="B170" s="7" t="s">
        <v>289</v>
      </c>
      <c r="C170" s="1" t="s">
        <v>288</v>
      </c>
      <c r="D170" s="7">
        <v>32.81</v>
      </c>
      <c r="M170" s="1">
        <v>67.22</v>
      </c>
      <c r="N170" s="7">
        <v>32.81</v>
      </c>
      <c r="O170" s="13">
        <v>-0.51190121987503723</v>
      </c>
      <c r="P170" s="13">
        <f t="shared" si="35"/>
        <v>0</v>
      </c>
      <c r="Q170" s="13">
        <f t="shared" si="36"/>
        <v>0</v>
      </c>
      <c r="R170" s="13">
        <f t="shared" si="37"/>
        <v>0</v>
      </c>
    </row>
  </sheetData>
  <conditionalFormatting sqref="O1:P1 O3:P1048576">
    <cfRule type="cellIs" dxfId="116" priority="109" operator="greaterThan">
      <formula>0</formula>
    </cfRule>
  </conditionalFormatting>
  <conditionalFormatting sqref="O3:P1048576 O1:P1">
    <cfRule type="cellIs" dxfId="115" priority="111" operator="lessThan">
      <formula>0</formula>
    </cfRule>
  </conditionalFormatting>
  <conditionalFormatting sqref="O6:P14">
    <cfRule type="aboveAverage" dxfId="114" priority="115"/>
  </conditionalFormatting>
  <conditionalFormatting sqref="O17:P20">
    <cfRule type="aboveAverage" dxfId="113" priority="114"/>
  </conditionalFormatting>
  <conditionalFormatting sqref="O22:P25 P24:P30">
    <cfRule type="aboveAverage" dxfId="112" priority="112"/>
  </conditionalFormatting>
  <conditionalFormatting sqref="O57:P59">
    <cfRule type="aboveAverage" dxfId="111" priority="116"/>
  </conditionalFormatting>
  <conditionalFormatting sqref="O63:P76">
    <cfRule type="aboveAverage" dxfId="110" priority="117"/>
  </conditionalFormatting>
  <conditionalFormatting sqref="O80:P82">
    <cfRule type="aboveAverage" dxfId="109" priority="113"/>
  </conditionalFormatting>
  <conditionalFormatting sqref="O86:P89 P86:P101">
    <cfRule type="aboveAverage" dxfId="108" priority="110"/>
  </conditionalFormatting>
  <conditionalFormatting sqref="P17">
    <cfRule type="aboveAverage" dxfId="107" priority="108"/>
  </conditionalFormatting>
  <conditionalFormatting sqref="P18">
    <cfRule type="aboveAverage" dxfId="106" priority="107"/>
  </conditionalFormatting>
  <conditionalFormatting sqref="P19">
    <cfRule type="aboveAverage" dxfId="105" priority="106"/>
  </conditionalFormatting>
  <conditionalFormatting sqref="P22">
    <cfRule type="aboveAverage" dxfId="104" priority="105"/>
  </conditionalFormatting>
  <conditionalFormatting sqref="P23">
    <cfRule type="aboveAverage" dxfId="103" priority="104"/>
  </conditionalFormatting>
  <conditionalFormatting sqref="P24:P30">
    <cfRule type="aboveAverage" dxfId="102" priority="103"/>
  </conditionalFormatting>
  <conditionalFormatting sqref="P33:P46">
    <cfRule type="aboveAverage" dxfId="101" priority="102"/>
    <cfRule type="aboveAverage" dxfId="100" priority="101"/>
  </conditionalFormatting>
  <conditionalFormatting sqref="P49:P54">
    <cfRule type="aboveAverage" dxfId="99" priority="100"/>
    <cfRule type="aboveAverage" dxfId="98" priority="99"/>
  </conditionalFormatting>
  <conditionalFormatting sqref="P57">
    <cfRule type="aboveAverage" dxfId="97" priority="98"/>
    <cfRule type="aboveAverage" dxfId="96" priority="97"/>
  </conditionalFormatting>
  <conditionalFormatting sqref="P58">
    <cfRule type="aboveAverage" dxfId="95" priority="96"/>
    <cfRule type="aboveAverage" dxfId="94" priority="95"/>
  </conditionalFormatting>
  <conditionalFormatting sqref="P59">
    <cfRule type="aboveAverage" dxfId="93" priority="94"/>
    <cfRule type="aboveAverage" dxfId="92" priority="93"/>
  </conditionalFormatting>
  <conditionalFormatting sqref="P63">
    <cfRule type="aboveAverage" dxfId="91" priority="92"/>
    <cfRule type="aboveAverage" dxfId="90" priority="91"/>
  </conditionalFormatting>
  <conditionalFormatting sqref="P64">
    <cfRule type="aboveAverage" dxfId="89" priority="89"/>
    <cfRule type="aboveAverage" dxfId="88" priority="90"/>
  </conditionalFormatting>
  <conditionalFormatting sqref="P65">
    <cfRule type="aboveAverage" dxfId="87" priority="88"/>
    <cfRule type="aboveAverage" dxfId="86" priority="87"/>
  </conditionalFormatting>
  <conditionalFormatting sqref="P66">
    <cfRule type="aboveAverage" dxfId="85" priority="86"/>
    <cfRule type="aboveAverage" dxfId="84" priority="85"/>
  </conditionalFormatting>
  <conditionalFormatting sqref="P67">
    <cfRule type="aboveAverage" dxfId="83" priority="84"/>
    <cfRule type="aboveAverage" dxfId="82" priority="83"/>
  </conditionalFormatting>
  <conditionalFormatting sqref="P68">
    <cfRule type="aboveAverage" dxfId="81" priority="82"/>
    <cfRule type="aboveAverage" dxfId="80" priority="81"/>
  </conditionalFormatting>
  <conditionalFormatting sqref="P69">
    <cfRule type="aboveAverage" dxfId="79" priority="80"/>
    <cfRule type="aboveAverage" dxfId="78" priority="79"/>
  </conditionalFormatting>
  <conditionalFormatting sqref="P70">
    <cfRule type="aboveAverage" dxfId="77" priority="78"/>
    <cfRule type="aboveAverage" dxfId="76" priority="77"/>
  </conditionalFormatting>
  <conditionalFormatting sqref="P71">
    <cfRule type="aboveAverage" dxfId="75" priority="75"/>
    <cfRule type="aboveAverage" dxfId="74" priority="76"/>
  </conditionalFormatting>
  <conditionalFormatting sqref="P72:P76">
    <cfRule type="aboveAverage" dxfId="73" priority="74"/>
    <cfRule type="aboveAverage" dxfId="72" priority="73"/>
  </conditionalFormatting>
  <conditionalFormatting sqref="P80:P82">
    <cfRule type="aboveAverage" dxfId="71" priority="72"/>
    <cfRule type="aboveAverage" dxfId="70" priority="71"/>
    <cfRule type="aboveAverage" dxfId="69" priority="70"/>
  </conditionalFormatting>
  <conditionalFormatting sqref="P86:P101">
    <cfRule type="aboveAverage" dxfId="68" priority="69"/>
    <cfRule type="aboveAverage" dxfId="67" priority="68"/>
    <cfRule type="aboveAverage" dxfId="66" priority="67"/>
    <cfRule type="aboveAverage" dxfId="65" priority="66"/>
  </conditionalFormatting>
  <conditionalFormatting sqref="P104:P106">
    <cfRule type="aboveAverage" dxfId="64" priority="65"/>
    <cfRule type="aboveAverage" dxfId="63" priority="64"/>
    <cfRule type="aboveAverage" dxfId="62" priority="63"/>
    <cfRule type="aboveAverage" dxfId="61" priority="62"/>
    <cfRule type="aboveAverage" dxfId="60" priority="61"/>
  </conditionalFormatting>
  <conditionalFormatting sqref="P110:P153">
    <cfRule type="aboveAverage" dxfId="59" priority="59"/>
    <cfRule type="aboveAverage" dxfId="58" priority="58"/>
    <cfRule type="aboveAverage" dxfId="57" priority="60"/>
    <cfRule type="aboveAverage" dxfId="56" priority="57"/>
    <cfRule type="aboveAverage" dxfId="55" priority="56"/>
    <cfRule type="aboveAverage" dxfId="54" priority="55"/>
    <cfRule type="aboveAverage" dxfId="53" priority="54"/>
    <cfRule type="aboveAverage" dxfId="52" priority="53"/>
    <cfRule type="aboveAverage" dxfId="51" priority="52"/>
    <cfRule type="aboveAverage" dxfId="50" priority="51"/>
  </conditionalFormatting>
  <conditionalFormatting sqref="P156">
    <cfRule type="aboveAverage" dxfId="49" priority="50"/>
    <cfRule type="aboveAverage" dxfId="48" priority="49"/>
    <cfRule type="aboveAverage" dxfId="47" priority="48"/>
    <cfRule type="aboveAverage" dxfId="46" priority="47"/>
    <cfRule type="aboveAverage" dxfId="45" priority="46"/>
    <cfRule type="aboveAverage" dxfId="44" priority="45"/>
    <cfRule type="aboveAverage" dxfId="43" priority="44"/>
    <cfRule type="aboveAverage" dxfId="42" priority="43"/>
    <cfRule type="aboveAverage" dxfId="41" priority="42"/>
    <cfRule type="aboveAverage" dxfId="40" priority="41"/>
  </conditionalFormatting>
  <conditionalFormatting sqref="P157">
    <cfRule type="aboveAverage" dxfId="39" priority="40"/>
    <cfRule type="aboveAverage" dxfId="38" priority="39"/>
    <cfRule type="aboveAverage" dxfId="37" priority="38"/>
    <cfRule type="aboveAverage" dxfId="36" priority="37"/>
    <cfRule type="aboveAverage" dxfId="35" priority="36"/>
    <cfRule type="aboveAverage" dxfId="34" priority="35"/>
    <cfRule type="aboveAverage" dxfId="33" priority="34"/>
    <cfRule type="aboveAverage" dxfId="32" priority="33"/>
    <cfRule type="aboveAverage" dxfId="31" priority="32"/>
    <cfRule type="aboveAverage" dxfId="30" priority="31"/>
  </conditionalFormatting>
  <conditionalFormatting sqref="P158">
    <cfRule type="aboveAverage" dxfId="29" priority="30"/>
    <cfRule type="aboveAverage" dxfId="28" priority="29"/>
    <cfRule type="aboveAverage" dxfId="27" priority="28"/>
    <cfRule type="aboveAverage" dxfId="26" priority="27"/>
    <cfRule type="aboveAverage" dxfId="25" priority="26"/>
    <cfRule type="aboveAverage" dxfId="24" priority="25"/>
    <cfRule type="aboveAverage" dxfId="23" priority="24"/>
    <cfRule type="aboveAverage" dxfId="22" priority="23"/>
    <cfRule type="aboveAverage" dxfId="21" priority="22"/>
    <cfRule type="aboveAverage" dxfId="20" priority="21"/>
  </conditionalFormatting>
  <conditionalFormatting sqref="P159">
    <cfRule type="aboveAverage" dxfId="19" priority="20"/>
    <cfRule type="aboveAverage" dxfId="18" priority="19"/>
    <cfRule type="aboveAverage" dxfId="17" priority="18"/>
    <cfRule type="aboveAverage" dxfId="16" priority="17"/>
    <cfRule type="aboveAverage" dxfId="15" priority="16"/>
    <cfRule type="aboveAverage" dxfId="14" priority="15"/>
    <cfRule type="aboveAverage" dxfId="13" priority="14"/>
    <cfRule type="aboveAverage" dxfId="12" priority="13"/>
    <cfRule type="aboveAverage" dxfId="11" priority="12"/>
    <cfRule type="aboveAverage" dxfId="10" priority="11"/>
  </conditionalFormatting>
  <conditionalFormatting sqref="P160:P170">
    <cfRule type="aboveAverage" dxfId="9" priority="10"/>
    <cfRule type="aboveAverage" dxfId="8" priority="9"/>
    <cfRule type="aboveAverage" dxfId="7" priority="8"/>
    <cfRule type="aboveAverage" dxfId="6" priority="7"/>
    <cfRule type="aboveAverage" dxfId="5" priority="6"/>
    <cfRule type="aboveAverage" dxfId="4" priority="5"/>
    <cfRule type="aboveAverage" dxfId="3" priority="4"/>
    <cfRule type="aboveAverage" dxfId="2" priority="3"/>
    <cfRule type="aboveAverage" dxfId="1" priority="2"/>
    <cfRule type="aboveAverage" dxfId="0" priority="1"/>
  </conditionalFormatting>
  <hyperlinks>
    <hyperlink ref="B75" r:id="rId1" xr:uid="{4F267086-A813-BC48-B908-088E35AA903C}"/>
    <hyperlink ref="B74" r:id="rId2" xr:uid="{6104CDA2-EB80-864C-967E-D226DD1B4378}"/>
    <hyperlink ref="B76" r:id="rId3" xr:uid="{260069CC-0231-CF45-A5E9-AD622BC84DA0}"/>
    <hyperlink ref="B73" r:id="rId4" xr:uid="{24A01F29-9215-C848-B148-40B58CD4FC97}"/>
    <hyperlink ref="B72" r:id="rId5" xr:uid="{98399587-D4C7-034A-88CC-1B722429C707}"/>
    <hyperlink ref="B71" r:id="rId6" xr:uid="{4071D132-119F-B544-A95E-3F8DDFDAEF74}"/>
    <hyperlink ref="B63" r:id="rId7" xr:uid="{4D2A09AB-3C91-E045-A587-8230294F1F88}"/>
    <hyperlink ref="B64" r:id="rId8" xr:uid="{D65BA0F8-2CC0-1247-A36C-F0E501392028}"/>
    <hyperlink ref="B65" r:id="rId9" xr:uid="{E25710B3-D93A-4B4E-AF2C-3E46571B1214}"/>
    <hyperlink ref="B66" r:id="rId10" xr:uid="{4BD8F79C-75E2-6D41-9B53-DF1A32E264D6}"/>
    <hyperlink ref="B67" r:id="rId11" xr:uid="{F18728ED-8B23-3C4B-900A-068E8C2DEA03}"/>
    <hyperlink ref="B69" r:id="rId12" xr:uid="{5DABB385-BC80-1D42-B8D4-76706B67AAEC}"/>
    <hyperlink ref="B70" r:id="rId13" xr:uid="{227DBAF6-88DE-8142-B3A3-F40B8A3E03BE}"/>
    <hyperlink ref="B57" r:id="rId14" xr:uid="{316B49A6-7128-FD46-A671-3EEDBD6F9ACB}"/>
    <hyperlink ref="B58" r:id="rId15" xr:uid="{BD3382FC-6B04-574D-8807-880BCFBEC86E}"/>
    <hyperlink ref="B59" r:id="rId16" xr:uid="{09D020E4-FFDD-FE45-82F0-71E8C79EDDCC}"/>
    <hyperlink ref="B49" r:id="rId17" xr:uid="{B0B99963-19D5-F34B-BE18-00D340104C79}"/>
    <hyperlink ref="B50" r:id="rId18" xr:uid="{BF22935B-91E9-4847-83E6-CD3C6E95732E}"/>
    <hyperlink ref="B51" r:id="rId19" xr:uid="{B13EEA34-A89D-954C-BE63-7C9BB7A3E398}"/>
    <hyperlink ref="B52" r:id="rId20" xr:uid="{A6C33A99-A695-DB4D-AB68-D6A65E32080B}"/>
    <hyperlink ref="B53" r:id="rId21" xr:uid="{9850D7EA-379D-5B4A-B885-ACC6261CEABB}"/>
    <hyperlink ref="B80" r:id="rId22" xr:uid="{82680B67-E6FE-3B43-BF27-E2B5FCE4BB85}"/>
    <hyperlink ref="B99" r:id="rId23" xr:uid="{9087BDAF-196B-D74D-8AB0-A959369BF562}"/>
    <hyperlink ref="B17" r:id="rId24" xr:uid="{F76368B1-2556-F243-B0A2-316F8200A543}"/>
    <hyperlink ref="B29" r:id="rId25" xr:uid="{D7DEABC1-B864-914F-98CD-43E9417FE845}"/>
    <hyperlink ref="B6" r:id="rId26" xr:uid="{3E564CAF-AED2-1C44-82F6-D36EF1E1F93E}"/>
    <hyperlink ref="B7" r:id="rId27" xr:uid="{79587527-4932-EE47-8907-1E5415F6AD2D}"/>
    <hyperlink ref="B8" r:id="rId28" xr:uid="{DCF8E15D-C59A-8848-8313-D250FFDEB36A}"/>
    <hyperlink ref="B68" r:id="rId29" xr:uid="{80746845-29E7-A946-9470-AC462F5A28B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145FE-F130-6549-89CA-200652E9E546}">
  <dimension ref="B2:P25"/>
  <sheetViews>
    <sheetView zoomScale="185" workbookViewId="0">
      <selection activeCell="C33" sqref="C33"/>
    </sheetView>
  </sheetViews>
  <sheetFormatPr baseColWidth="10" defaultRowHeight="13"/>
  <cols>
    <col min="1" max="1" width="2.6640625" customWidth="1"/>
    <col min="2" max="2" width="21" bestFit="1" customWidth="1"/>
    <col min="3" max="3" width="10" customWidth="1"/>
    <col min="4" max="4" width="9.33203125" bestFit="1" customWidth="1"/>
    <col min="5" max="5" width="9.33203125" customWidth="1"/>
  </cols>
  <sheetData>
    <row r="2" spans="2:16">
      <c r="B2" s="25"/>
      <c r="C2" s="26"/>
      <c r="D2" s="26"/>
      <c r="E2" s="26"/>
      <c r="F2" s="25"/>
      <c r="G2" s="26"/>
      <c r="H2" s="25"/>
      <c r="I2" s="25"/>
      <c r="J2" s="25"/>
      <c r="K2" s="25"/>
      <c r="L2" s="27"/>
      <c r="M2" s="28"/>
      <c r="N2" s="25"/>
      <c r="O2" s="25"/>
      <c r="P2" s="25"/>
    </row>
    <row r="3" spans="2:16">
      <c r="B3" t="s">
        <v>335</v>
      </c>
      <c r="E3" t="s">
        <v>358</v>
      </c>
    </row>
    <row r="5" spans="2:16">
      <c r="B5" t="s">
        <v>336</v>
      </c>
      <c r="C5">
        <f>+Main!D64</f>
        <v>144</v>
      </c>
      <c r="E5">
        <v>6.05</v>
      </c>
    </row>
    <row r="6" spans="2:16">
      <c r="B6" t="s">
        <v>337</v>
      </c>
      <c r="C6" s="1">
        <v>30000</v>
      </c>
      <c r="E6" s="1">
        <f>+C6</f>
        <v>30000</v>
      </c>
    </row>
    <row r="7" spans="2:16">
      <c r="B7" t="s">
        <v>338</v>
      </c>
      <c r="C7" s="32" t="s">
        <v>339</v>
      </c>
    </row>
    <row r="8" spans="2:16">
      <c r="B8" t="s">
        <v>340</v>
      </c>
      <c r="C8">
        <f>+C5*0.95</f>
        <v>136.79999999999998</v>
      </c>
      <c r="E8">
        <f>+E5*0.95</f>
        <v>5.7474999999999996</v>
      </c>
    </row>
    <row r="9" spans="2:16">
      <c r="B9" t="s">
        <v>341</v>
      </c>
      <c r="C9">
        <f>+C5*1.1</f>
        <v>158.4</v>
      </c>
      <c r="E9" t="s">
        <v>359</v>
      </c>
    </row>
    <row r="11" spans="2:16">
      <c r="B11" t="s">
        <v>342</v>
      </c>
      <c r="C11">
        <f>+C5-C8</f>
        <v>7.2000000000000171</v>
      </c>
    </row>
    <row r="12" spans="2:16">
      <c r="B12" t="s">
        <v>343</v>
      </c>
      <c r="C12">
        <f>300/C11</f>
        <v>41.666666666666565</v>
      </c>
    </row>
    <row r="13" spans="2:16">
      <c r="B13" t="s">
        <v>344</v>
      </c>
      <c r="C13">
        <f>600/C11</f>
        <v>83.33333333333313</v>
      </c>
    </row>
    <row r="14" spans="2:16">
      <c r="B14" s="1"/>
      <c r="C14" s="1"/>
      <c r="D14" s="1"/>
      <c r="E14" s="1"/>
    </row>
    <row r="15" spans="2:16">
      <c r="B15" s="1" t="s">
        <v>345</v>
      </c>
      <c r="C15" s="1">
        <v>47</v>
      </c>
      <c r="D15" s="1"/>
      <c r="E15" s="1"/>
    </row>
    <row r="16" spans="2:16">
      <c r="B16" s="1" t="s">
        <v>346</v>
      </c>
      <c r="C16" s="1" t="s">
        <v>347</v>
      </c>
      <c r="D16" s="1"/>
      <c r="E16" s="1"/>
    </row>
    <row r="17" spans="2:5">
      <c r="B17" s="1"/>
      <c r="C17" s="1"/>
      <c r="D17" s="1"/>
      <c r="E17" s="1"/>
    </row>
    <row r="18" spans="2:5">
      <c r="B18" s="1" t="s">
        <v>348</v>
      </c>
      <c r="C18" s="1"/>
      <c r="D18" s="1"/>
      <c r="E18" s="1"/>
    </row>
    <row r="19" spans="2:5">
      <c r="B19" s="1" t="s">
        <v>349</v>
      </c>
      <c r="C19" s="1">
        <f>+(C9-C5) * C15</f>
        <v>676.8000000000003</v>
      </c>
      <c r="D19" s="1"/>
      <c r="E19" s="1"/>
    </row>
    <row r="20" spans="2:5">
      <c r="B20" s="1" t="s">
        <v>350</v>
      </c>
      <c r="C20" s="33">
        <f>+(C5-C8) * C15</f>
        <v>338.40000000000077</v>
      </c>
      <c r="D20" s="29"/>
      <c r="E20" s="29"/>
    </row>
    <row r="21" spans="2:5">
      <c r="C21" s="30"/>
      <c r="D21" s="30"/>
      <c r="E21" s="30"/>
    </row>
    <row r="22" spans="2:5">
      <c r="B22" s="1" t="s">
        <v>351</v>
      </c>
      <c r="C22" s="31"/>
      <c r="D22" s="31"/>
      <c r="E22" s="31"/>
    </row>
    <row r="23" spans="2:5">
      <c r="B23" s="1" t="s">
        <v>352</v>
      </c>
      <c r="C23" t="s">
        <v>353</v>
      </c>
    </row>
    <row r="24" spans="2:5">
      <c r="B24" s="1" t="s">
        <v>354</v>
      </c>
      <c r="C24" t="s">
        <v>355</v>
      </c>
    </row>
    <row r="25" spans="2:5">
      <c r="B25" s="1" t="s">
        <v>356</v>
      </c>
      <c r="C25" t="s">
        <v>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2024-12-05T04:22:52Z</dcterms:created>
  <dcterms:modified xsi:type="dcterms:W3CDTF">2025-02-11T15:25:54Z</dcterms:modified>
</cp:coreProperties>
</file>