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F2C05691-9B74-1743-B2A8-35D6341CED69}" xr6:coauthVersionLast="47" xr6:coauthVersionMax="47" xr10:uidLastSave="{00000000-0000-0000-0000-000000000000}"/>
  <bookViews>
    <workbookView xWindow="51620" yWindow="500" windowWidth="25780" windowHeight="27300" xr2:uid="{73182BEE-269D-3647-8FEA-648938F37C4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2" l="1"/>
  <c r="N69" i="2"/>
  <c r="M69" i="2"/>
  <c r="L69" i="2"/>
  <c r="K69" i="2"/>
  <c r="J69" i="2"/>
  <c r="I69" i="2"/>
  <c r="H69" i="2"/>
  <c r="G69" i="2"/>
  <c r="P69" i="2"/>
  <c r="G64" i="2"/>
  <c r="G63" i="2"/>
  <c r="H64" i="2"/>
  <c r="H61" i="2"/>
  <c r="H62" i="2"/>
  <c r="D67" i="2"/>
  <c r="D66" i="2"/>
  <c r="E67" i="2"/>
  <c r="E66" i="2"/>
  <c r="F67" i="2"/>
  <c r="F66" i="2"/>
  <c r="G67" i="2"/>
  <c r="G66" i="2"/>
  <c r="H67" i="2"/>
  <c r="I67" i="2"/>
  <c r="J67" i="2"/>
  <c r="K67" i="2"/>
  <c r="I64" i="2"/>
  <c r="I62" i="2"/>
  <c r="J62" i="2" s="1"/>
  <c r="I61" i="2"/>
  <c r="J61" i="2" s="1"/>
  <c r="M62" i="2"/>
  <c r="N62" i="2" s="1"/>
  <c r="M61" i="2"/>
  <c r="J64" i="2"/>
  <c r="M64" i="2"/>
  <c r="M63" i="2"/>
  <c r="N64" i="2"/>
  <c r="N61" i="2"/>
  <c r="O67" i="2"/>
  <c r="N67" i="2"/>
  <c r="M67" i="2"/>
  <c r="L67" i="2"/>
  <c r="P67" i="2"/>
  <c r="L64" i="2"/>
  <c r="L63" i="2"/>
  <c r="L62" i="2"/>
  <c r="L61" i="2"/>
  <c r="P64" i="2"/>
  <c r="P63" i="2"/>
  <c r="P62" i="2"/>
  <c r="P61" i="2"/>
  <c r="K64" i="2"/>
  <c r="K63" i="2"/>
  <c r="O63" i="2"/>
  <c r="N35" i="2"/>
  <c r="O35" i="2"/>
  <c r="P35" i="2"/>
  <c r="AA35" i="2" s="1"/>
  <c r="O56" i="2"/>
  <c r="O58" i="2" s="1"/>
  <c r="O46" i="2"/>
  <c r="N56" i="2"/>
  <c r="N58" i="2" s="1"/>
  <c r="N46" i="2"/>
  <c r="P56" i="2"/>
  <c r="P58" i="2" s="1"/>
  <c r="P46" i="2"/>
  <c r="AB16" i="2"/>
  <c r="AC16" i="2" s="1"/>
  <c r="AD16" i="2" s="1"/>
  <c r="AE16" i="2" s="1"/>
  <c r="AF16" i="2" s="1"/>
  <c r="AB13" i="2"/>
  <c r="P5" i="2"/>
  <c r="Q5" i="2" s="1"/>
  <c r="Z5" i="2"/>
  <c r="AC5" i="2"/>
  <c r="AF33" i="2"/>
  <c r="P32" i="2"/>
  <c r="P31" i="2"/>
  <c r="P30" i="2"/>
  <c r="P29" i="2"/>
  <c r="P28" i="2"/>
  <c r="P12" i="2"/>
  <c r="P18" i="2" s="1"/>
  <c r="P22" i="2" s="1"/>
  <c r="P24" i="2" s="1"/>
  <c r="P26" i="2" s="1"/>
  <c r="D6" i="1"/>
  <c r="D5" i="1"/>
  <c r="AN31" i="2" s="1"/>
  <c r="O32" i="2"/>
  <c r="O31" i="2"/>
  <c r="O30" i="2"/>
  <c r="O29" i="2"/>
  <c r="O28" i="2"/>
  <c r="O12" i="2"/>
  <c r="O18" i="2" s="1"/>
  <c r="O22" i="2" s="1"/>
  <c r="O24" i="2" s="1"/>
  <c r="O26" i="2" s="1"/>
  <c r="AN35" i="2"/>
  <c r="AN33" i="2"/>
  <c r="AM1" i="2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Z32" i="2"/>
  <c r="Z31" i="2"/>
  <c r="Z30" i="2"/>
  <c r="Z29" i="2"/>
  <c r="Z28" i="2"/>
  <c r="AA32" i="2"/>
  <c r="AA31" i="2"/>
  <c r="AA30" i="2"/>
  <c r="AA29" i="2"/>
  <c r="AA28" i="2"/>
  <c r="Y3" i="2"/>
  <c r="AA3" i="2"/>
  <c r="AB3" i="2" s="1"/>
  <c r="AC3" i="2" s="1"/>
  <c r="AD3" i="2" s="1"/>
  <c r="AE3" i="2" s="1"/>
  <c r="AF3" i="2" s="1"/>
  <c r="Z3" i="2"/>
  <c r="K32" i="2"/>
  <c r="K31" i="2"/>
  <c r="K30" i="2"/>
  <c r="K29" i="2"/>
  <c r="K28" i="2"/>
  <c r="J25" i="2"/>
  <c r="J23" i="2"/>
  <c r="J21" i="2"/>
  <c r="J20" i="2"/>
  <c r="J19" i="2"/>
  <c r="J17" i="2"/>
  <c r="J16" i="2"/>
  <c r="J15" i="2"/>
  <c r="J14" i="2"/>
  <c r="J13" i="2"/>
  <c r="J11" i="2"/>
  <c r="J10" i="2"/>
  <c r="J9" i="2"/>
  <c r="J8" i="2"/>
  <c r="J7" i="2"/>
  <c r="G12" i="2"/>
  <c r="G18" i="2" s="1"/>
  <c r="G22" i="2" s="1"/>
  <c r="G24" i="2" s="1"/>
  <c r="G26" i="2" s="1"/>
  <c r="N25" i="2"/>
  <c r="N23" i="2"/>
  <c r="N21" i="2"/>
  <c r="N20" i="2"/>
  <c r="N19" i="2"/>
  <c r="N17" i="2"/>
  <c r="N16" i="2"/>
  <c r="N15" i="2"/>
  <c r="N14" i="2"/>
  <c r="N13" i="2"/>
  <c r="N11" i="2"/>
  <c r="N10" i="2"/>
  <c r="N9" i="2"/>
  <c r="N8" i="2"/>
  <c r="N7" i="2"/>
  <c r="K12" i="2"/>
  <c r="K4" i="2" s="1"/>
  <c r="L32" i="2"/>
  <c r="L31" i="2"/>
  <c r="L30" i="2"/>
  <c r="L29" i="2"/>
  <c r="L28" i="2"/>
  <c r="H12" i="2"/>
  <c r="H4" i="2" s="1"/>
  <c r="L12" i="2"/>
  <c r="L18" i="2" s="1"/>
  <c r="L22" i="2" s="1"/>
  <c r="L24" i="2" s="1"/>
  <c r="L26" i="2" s="1"/>
  <c r="M32" i="2"/>
  <c r="M31" i="2"/>
  <c r="M30" i="2"/>
  <c r="M29" i="2"/>
  <c r="M28" i="2"/>
  <c r="I12" i="2"/>
  <c r="I18" i="2" s="1"/>
  <c r="I22" i="2" s="1"/>
  <c r="I24" i="2" s="1"/>
  <c r="I26" i="2" s="1"/>
  <c r="M12" i="2"/>
  <c r="M4" i="2" s="1"/>
  <c r="Y12" i="2"/>
  <c r="Z12" i="2"/>
  <c r="AA12" i="2"/>
  <c r="AB12" i="2" s="1"/>
  <c r="AC12" i="2" s="1"/>
  <c r="AD12" i="2" s="1"/>
  <c r="AE12" i="2" s="1"/>
  <c r="AF12" i="2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E5" i="1"/>
  <c r="E6" i="1" s="1"/>
  <c r="D4" i="1"/>
  <c r="D7" i="1" s="1"/>
  <c r="H63" i="2" l="1"/>
  <c r="H66" i="2" s="1"/>
  <c r="I63" i="2"/>
  <c r="J63" i="2"/>
  <c r="L66" i="2" s="1"/>
  <c r="K66" i="2"/>
  <c r="J66" i="2"/>
  <c r="I66" i="2"/>
  <c r="M66" i="2"/>
  <c r="N63" i="2"/>
  <c r="O66" i="2"/>
  <c r="P66" i="2"/>
  <c r="N66" i="2"/>
  <c r="AB14" i="2"/>
  <c r="AC17" i="2"/>
  <c r="AD17" i="2" s="1"/>
  <c r="AE17" i="2" s="1"/>
  <c r="AF17" i="2" s="1"/>
  <c r="AA5" i="2"/>
  <c r="AB15" i="2"/>
  <c r="AC15" i="2" s="1"/>
  <c r="AD15" i="2" s="1"/>
  <c r="AE15" i="2" s="1"/>
  <c r="AF15" i="2" s="1"/>
  <c r="AB17" i="2"/>
  <c r="AC33" i="2"/>
  <c r="AC13" i="2"/>
  <c r="AD13" i="2" s="1"/>
  <c r="AD33" i="2"/>
  <c r="AC14" i="2"/>
  <c r="AD14" i="2" s="1"/>
  <c r="AE14" i="2" s="1"/>
  <c r="AF14" i="2" s="1"/>
  <c r="AE33" i="2"/>
  <c r="O64" i="2"/>
  <c r="AG3" i="2"/>
  <c r="AH3" i="2" s="1"/>
  <c r="AI3" i="2" s="1"/>
  <c r="AJ3" i="2" s="1"/>
  <c r="AK3" i="2" s="1"/>
  <c r="M18" i="2"/>
  <c r="M22" i="2" s="1"/>
  <c r="M24" i="2" s="1"/>
  <c r="M26" i="2" s="1"/>
  <c r="H18" i="2"/>
  <c r="H22" i="2" s="1"/>
  <c r="H24" i="2" s="1"/>
  <c r="H26" i="2" s="1"/>
  <c r="P4" i="2"/>
  <c r="K18" i="2"/>
  <c r="K22" i="2" s="1"/>
  <c r="K24" i="2" s="1"/>
  <c r="K26" i="2" s="1"/>
  <c r="P33" i="2"/>
  <c r="N29" i="2"/>
  <c r="O33" i="2"/>
  <c r="N31" i="2"/>
  <c r="AA4" i="2"/>
  <c r="AB4" i="2" s="1"/>
  <c r="O4" i="2"/>
  <c r="L33" i="2"/>
  <c r="Z4" i="2"/>
  <c r="Z33" i="2"/>
  <c r="Y4" i="2"/>
  <c r="N28" i="2"/>
  <c r="I4" i="2"/>
  <c r="AC4" i="2"/>
  <c r="AD4" i="2" s="1"/>
  <c r="AE4" i="2" s="1"/>
  <c r="AF4" i="2" s="1"/>
  <c r="AG4" i="2" s="1"/>
  <c r="AA33" i="2"/>
  <c r="L4" i="2"/>
  <c r="J12" i="2"/>
  <c r="AA18" i="2"/>
  <c r="K33" i="2"/>
  <c r="N30" i="2"/>
  <c r="Z18" i="2"/>
  <c r="Z22" i="2" s="1"/>
  <c r="Z24" i="2" s="1"/>
  <c r="Z26" i="2" s="1"/>
  <c r="N32" i="2"/>
  <c r="N12" i="2"/>
  <c r="N18" i="2" s="1"/>
  <c r="N22" i="2" s="1"/>
  <c r="N24" i="2" s="1"/>
  <c r="N26" i="2" s="1"/>
  <c r="M33" i="2"/>
  <c r="Y18" i="2"/>
  <c r="Y22" i="2" s="1"/>
  <c r="Y24" i="2" s="1"/>
  <c r="Y26" i="2" s="1"/>
  <c r="AB18" i="2" l="1"/>
  <c r="AG14" i="2"/>
  <c r="AE13" i="2"/>
  <c r="AD18" i="2"/>
  <c r="AC18" i="2"/>
  <c r="J4" i="2"/>
  <c r="J18" i="2"/>
  <c r="J22" i="2" s="1"/>
  <c r="J24" i="2" s="1"/>
  <c r="J26" i="2" s="1"/>
  <c r="AH4" i="2"/>
  <c r="AG12" i="2"/>
  <c r="AG17" i="2" s="1"/>
  <c r="AA22" i="2"/>
  <c r="AA24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B33" i="2"/>
  <c r="N4" i="2"/>
  <c r="N33" i="2"/>
  <c r="AF13" i="2" l="1"/>
  <c r="AE18" i="2"/>
  <c r="AB21" i="2"/>
  <c r="AB20" i="2"/>
  <c r="AC20" i="2" s="1"/>
  <c r="AD20" i="2" s="1"/>
  <c r="AE20" i="2" s="1"/>
  <c r="AF20" i="2" s="1"/>
  <c r="AB19" i="2"/>
  <c r="AC19" i="2" s="1"/>
  <c r="AD19" i="2" s="1"/>
  <c r="AG16" i="2"/>
  <c r="AG15" i="2"/>
  <c r="AB34" i="2"/>
  <c r="AI4" i="2"/>
  <c r="AH12" i="2"/>
  <c r="AC21" i="2"/>
  <c r="AD21" i="2" s="1"/>
  <c r="AE21" i="2" s="1"/>
  <c r="AF21" i="2" s="1"/>
  <c r="AG33" i="2"/>
  <c r="AB22" i="2" l="1"/>
  <c r="AB23" i="2" s="1"/>
  <c r="AB24" i="2" s="1"/>
  <c r="AB35" i="2" s="1"/>
  <c r="AH14" i="2"/>
  <c r="AH15" i="2"/>
  <c r="AG13" i="2"/>
  <c r="AF18" i="2"/>
  <c r="AH16" i="2"/>
  <c r="AI16" i="2" s="1"/>
  <c r="AH17" i="2"/>
  <c r="AI17" i="2" s="1"/>
  <c r="AE19" i="2"/>
  <c r="AD22" i="2"/>
  <c r="AC22" i="2"/>
  <c r="AC23" i="2" s="1"/>
  <c r="AC24" i="2" s="1"/>
  <c r="AC34" i="2"/>
  <c r="AJ4" i="2"/>
  <c r="AI12" i="2"/>
  <c r="AB25" i="2"/>
  <c r="AN39" i="2"/>
  <c r="AG20" i="2"/>
  <c r="AG21" i="2"/>
  <c r="AH13" i="2" l="1"/>
  <c r="AG18" i="2"/>
  <c r="AI15" i="2"/>
  <c r="AJ15" i="2" s="1"/>
  <c r="AK15" i="2" s="1"/>
  <c r="AI14" i="2"/>
  <c r="AJ14" i="2" s="1"/>
  <c r="AK14" i="2" s="1"/>
  <c r="AC35" i="2"/>
  <c r="AF19" i="2"/>
  <c r="AE22" i="2"/>
  <c r="AK4" i="2"/>
  <c r="AK12" i="2" s="1"/>
  <c r="AJ12" i="2"/>
  <c r="AC25" i="2"/>
  <c r="AN40" i="2"/>
  <c r="AD34" i="2"/>
  <c r="AD23" i="2"/>
  <c r="AD24" i="2" s="1"/>
  <c r="AH21" i="2"/>
  <c r="AH20" i="2"/>
  <c r="AH33" i="2"/>
  <c r="AD35" i="2" l="1"/>
  <c r="AI13" i="2"/>
  <c r="AH18" i="2"/>
  <c r="AJ17" i="2"/>
  <c r="AK17" i="2" s="1"/>
  <c r="AJ16" i="2"/>
  <c r="AK16" i="2" s="1"/>
  <c r="AF22" i="2"/>
  <c r="AG19" i="2"/>
  <c r="AE34" i="2"/>
  <c r="AE23" i="2"/>
  <c r="AE24" i="2" s="1"/>
  <c r="AI20" i="2"/>
  <c r="AI33" i="2"/>
  <c r="AI21" i="2"/>
  <c r="AD25" i="2"/>
  <c r="AJ13" i="2" l="1"/>
  <c r="AI18" i="2"/>
  <c r="AE35" i="2"/>
  <c r="AH19" i="2"/>
  <c r="AG22" i="2"/>
  <c r="AE25" i="2"/>
  <c r="AF34" i="2"/>
  <c r="AF23" i="2"/>
  <c r="AJ20" i="2"/>
  <c r="AK20" i="2" s="1"/>
  <c r="AJ21" i="2"/>
  <c r="AK21" i="2" s="1"/>
  <c r="AJ33" i="2"/>
  <c r="AK33" i="2"/>
  <c r="AK13" i="2" l="1"/>
  <c r="AK18" i="2" s="1"/>
  <c r="AJ18" i="2"/>
  <c r="AH22" i="2"/>
  <c r="AI19" i="2"/>
  <c r="AF24" i="2"/>
  <c r="AF25" i="2" s="1"/>
  <c r="AG34" i="2"/>
  <c r="AG23" i="2"/>
  <c r="AF35" i="2" l="1"/>
  <c r="AI22" i="2"/>
  <c r="AJ19" i="2"/>
  <c r="AH34" i="2"/>
  <c r="AH23" i="2"/>
  <c r="AG24" i="2"/>
  <c r="AG25" i="2" s="1"/>
  <c r="AG35" i="2" l="1"/>
  <c r="AK19" i="2"/>
  <c r="AK22" i="2" s="1"/>
  <c r="AJ22" i="2"/>
  <c r="AH24" i="2"/>
  <c r="AH25" i="2" s="1"/>
  <c r="AI34" i="2"/>
  <c r="AI23" i="2"/>
  <c r="AH35" i="2" l="1"/>
  <c r="AI24" i="2"/>
  <c r="AI25" i="2" s="1"/>
  <c r="AJ23" i="2"/>
  <c r="AI35" i="2" l="1"/>
  <c r="AK23" i="2"/>
  <c r="AK24" i="2" s="1"/>
  <c r="AL24" i="2" s="1"/>
  <c r="AM24" i="2" s="1"/>
  <c r="AJ24" i="2"/>
  <c r="AJ25" i="2" s="1"/>
  <c r="AJ35" i="2" l="1"/>
  <c r="AK35" i="2" s="1"/>
  <c r="AK25" i="2"/>
  <c r="AN24" i="2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 s="1"/>
  <c r="ES24" i="2" s="1"/>
  <c r="ET24" i="2" s="1"/>
  <c r="EU24" i="2" s="1"/>
  <c r="EV24" i="2" s="1"/>
  <c r="EW24" i="2" s="1"/>
  <c r="EX24" i="2" s="1"/>
  <c r="EY24" i="2" s="1"/>
  <c r="EZ24" i="2" s="1"/>
  <c r="FA24" i="2" s="1"/>
  <c r="FB24" i="2" s="1"/>
  <c r="FC24" i="2" s="1"/>
  <c r="FD24" i="2" s="1"/>
  <c r="FE24" i="2" s="1"/>
  <c r="FF24" i="2" s="1"/>
  <c r="FG24" i="2" s="1"/>
  <c r="FH24" i="2" s="1"/>
  <c r="FI24" i="2" s="1"/>
  <c r="FJ24" i="2" s="1"/>
  <c r="FK24" i="2" s="1"/>
  <c r="FL24" i="2" s="1"/>
  <c r="FM24" i="2" s="1"/>
  <c r="FN24" i="2" s="1"/>
  <c r="FO24" i="2" s="1"/>
  <c r="FP24" i="2" s="1"/>
  <c r="FQ24" i="2" s="1"/>
  <c r="FR24" i="2" s="1"/>
  <c r="FS24" i="2" s="1"/>
  <c r="FT24" i="2" s="1"/>
  <c r="FU24" i="2" s="1"/>
  <c r="FV24" i="2" s="1"/>
  <c r="FW24" i="2" s="1"/>
  <c r="FX24" i="2" s="1"/>
  <c r="FY24" i="2" s="1"/>
  <c r="FZ24" i="2" s="1"/>
  <c r="GA24" i="2" s="1"/>
  <c r="GB24" i="2" s="1"/>
  <c r="GC24" i="2" s="1"/>
  <c r="GD24" i="2" s="1"/>
  <c r="GE24" i="2" s="1"/>
  <c r="GF24" i="2" s="1"/>
  <c r="GG24" i="2" s="1"/>
  <c r="GH24" i="2" s="1"/>
  <c r="GI24" i="2" s="1"/>
  <c r="GJ24" i="2" s="1"/>
  <c r="GK24" i="2" s="1"/>
  <c r="GL24" i="2" s="1"/>
  <c r="GM24" i="2" s="1"/>
  <c r="GN24" i="2" s="1"/>
  <c r="GO24" i="2" s="1"/>
  <c r="GP24" i="2" s="1"/>
  <c r="GQ24" i="2" s="1"/>
  <c r="GR24" i="2" s="1"/>
  <c r="GS24" i="2" s="1"/>
  <c r="GT24" i="2" s="1"/>
  <c r="GU24" i="2" s="1"/>
  <c r="GV24" i="2" s="1"/>
  <c r="GW24" i="2" s="1"/>
  <c r="GX24" i="2" s="1"/>
  <c r="GY24" i="2" s="1"/>
  <c r="GZ24" i="2" s="1"/>
  <c r="HA24" i="2" s="1"/>
  <c r="HB24" i="2" s="1"/>
  <c r="HC24" i="2" s="1"/>
  <c r="HD24" i="2" s="1"/>
  <c r="HE24" i="2" s="1"/>
  <c r="HF24" i="2" s="1"/>
  <c r="HG24" i="2" s="1"/>
  <c r="HH24" i="2" s="1"/>
  <c r="HI24" i="2" s="1"/>
  <c r="HJ24" i="2" s="1"/>
  <c r="HK24" i="2" s="1"/>
  <c r="HL24" i="2" s="1"/>
  <c r="HM24" i="2" s="1"/>
  <c r="HN24" i="2" s="1"/>
  <c r="HO24" i="2" s="1"/>
  <c r="HP24" i="2" s="1"/>
  <c r="HQ24" i="2" s="1"/>
  <c r="HR24" i="2" s="1"/>
  <c r="HS24" i="2" s="1"/>
  <c r="AN30" i="2" l="1"/>
  <c r="AN32" i="2" s="1"/>
  <c r="AN34" i="2" s="1"/>
  <c r="AN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AB33" authorId="0" shapeId="0" xr:uid="{DFFFBDBA-3525-6F4C-844B-27195A285B44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growth guidance out until 2028
</t>
        </r>
      </text>
    </comment>
    <comment ref="AC33" authorId="0" shapeId="0" xr:uid="{0DEA9DF4-CEAE-9D4C-B260-B5D1C8E27947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growth guidance out until 2028
</t>
        </r>
      </text>
    </comment>
    <comment ref="AD33" authorId="0" shapeId="0" xr:uid="{D65CF1CB-B94E-0549-BFF1-4F49E320D090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growth guidance out until 2028
</t>
        </r>
      </text>
    </comment>
    <comment ref="AE33" authorId="0" shapeId="0" xr:uid="{C9FACD93-28B2-9B42-89F5-A6C08D8BEE40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growth guidance out until 2028
</t>
        </r>
      </text>
    </comment>
    <comment ref="AF33" authorId="0" shapeId="0" xr:uid="{0DC8EB60-DAC3-DC49-850D-633B913C2506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growth guidance out until 2028
</t>
        </r>
      </text>
    </comment>
  </commentList>
</comments>
</file>

<file path=xl/sharedStrings.xml><?xml version="1.0" encoding="utf-8"?>
<sst xmlns="http://schemas.openxmlformats.org/spreadsheetml/2006/main" count="98" uniqueCount="85">
  <si>
    <t>P</t>
  </si>
  <si>
    <t>S</t>
  </si>
  <si>
    <t>MC</t>
  </si>
  <si>
    <t>C</t>
  </si>
  <si>
    <t>D</t>
  </si>
  <si>
    <t>EV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</si>
  <si>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</si>
  <si>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</si>
  <si>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</si>
  <si>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</si>
  <si>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</si>
  <si>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</si>
  <si>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</si>
  <si>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</si>
  <si>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</si>
  <si>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Q323</t>
  </si>
  <si>
    <t>Q423</t>
  </si>
  <si>
    <t>Owned</t>
  </si>
  <si>
    <t>Franchised</t>
  </si>
  <si>
    <t>Supple chain</t>
  </si>
  <si>
    <t>Int'l royalties</t>
  </si>
  <si>
    <t>U.s. franchise ads</t>
  </si>
  <si>
    <t xml:space="preserve">Total Revenue </t>
  </si>
  <si>
    <t>Q223</t>
  </si>
  <si>
    <t>Co owned stores</t>
  </si>
  <si>
    <t xml:space="preserve">Supply chain </t>
  </si>
  <si>
    <t>G&amp;A</t>
  </si>
  <si>
    <t>Franchised ads</t>
  </si>
  <si>
    <t>Refranchising loss</t>
  </si>
  <si>
    <t>Operating Income</t>
  </si>
  <si>
    <t>Other income</t>
  </si>
  <si>
    <t>Interest income</t>
  </si>
  <si>
    <t>Interest expense</t>
  </si>
  <si>
    <t>EBT</t>
  </si>
  <si>
    <t>Taxes</t>
  </si>
  <si>
    <t xml:space="preserve">Net Income </t>
  </si>
  <si>
    <t>Diluted</t>
  </si>
  <si>
    <t>EPS</t>
  </si>
  <si>
    <t>UNITS</t>
  </si>
  <si>
    <t>RPU</t>
  </si>
  <si>
    <t xml:space="preserve">RUSSEL WEINER </t>
  </si>
  <si>
    <t xml:space="preserve">CEO </t>
  </si>
  <si>
    <t xml:space="preserve">TERMINAL </t>
  </si>
  <si>
    <t>DISCOUNT</t>
  </si>
  <si>
    <t>NPV</t>
  </si>
  <si>
    <t>SHARES</t>
  </si>
  <si>
    <t>ESTIMATE</t>
  </si>
  <si>
    <t>CURRENT</t>
  </si>
  <si>
    <t>UPSIDE</t>
  </si>
  <si>
    <t>NC</t>
  </si>
  <si>
    <t xml:space="preserve">TOTAL VALUE </t>
  </si>
  <si>
    <t>Q124</t>
  </si>
  <si>
    <t>SSS</t>
  </si>
  <si>
    <t>PRESS</t>
  </si>
  <si>
    <t>EV/24E</t>
  </si>
  <si>
    <t>EV/23E</t>
  </si>
  <si>
    <t>Q224</t>
  </si>
  <si>
    <t xml:space="preserve">Cash </t>
  </si>
  <si>
    <t>E</t>
  </si>
  <si>
    <t>TL + E</t>
  </si>
  <si>
    <t>TL</t>
  </si>
  <si>
    <t>A/P</t>
  </si>
  <si>
    <t>Debt</t>
  </si>
  <si>
    <t>Op Lease</t>
  </si>
  <si>
    <t>Ad Fund Liab</t>
  </si>
  <si>
    <t>Other accrued</t>
  </si>
  <si>
    <t>LTD</t>
  </si>
  <si>
    <t>Op Lease LT</t>
  </si>
  <si>
    <t>Other accrued LT</t>
  </si>
  <si>
    <t>Restricted cash</t>
  </si>
  <si>
    <t>A/R</t>
  </si>
  <si>
    <t>Inventories</t>
  </si>
  <si>
    <t>Prepaid Exp</t>
  </si>
  <si>
    <t>Ad fund assets</t>
  </si>
  <si>
    <t>PPE</t>
  </si>
  <si>
    <t>Investments in DPC</t>
  </si>
  <si>
    <t>OA</t>
  </si>
  <si>
    <t xml:space="preserve">Total Assets </t>
  </si>
  <si>
    <t>ER</t>
  </si>
  <si>
    <t xml:space="preserve">Net Cash </t>
  </si>
  <si>
    <t>CFFO</t>
  </si>
  <si>
    <t>Capex</t>
  </si>
  <si>
    <t xml:space="preserve">Free Cash Flow </t>
  </si>
  <si>
    <t>4Q FCF</t>
  </si>
  <si>
    <t xml:space="preserve">4Q 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</si>
</sst>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0\X"/>
  </numFmts>
  <fonts count="5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4" fontId="0" fillId="0" borderId="0" xfId="0" applyNumberFormat="1"/>
    <xf numFmtId="8" fontId="0" fillId="0" borderId="0" xfId="0" applyNumberFormat="1"/>
    <xf numFmtId="8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3" fontId="2" fillId="0" borderId="0" xfId="1" applyNumberFormat="1"/>
    <xf numFmtId="165" fontId="0" fillId="0" borderId="0" xfId="0" applyNumberFormat="1"/>
    <xf numFmtId="10" fontId="0" fillId="0" borderId="0" xfId="0" applyNumberFormat="1"/>
    <xf numFmtId="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16</xdr:col>
      <xdr:colOff>9737</xdr:colOff>
      <xdr:row>92</xdr:row>
      <xdr:rowOff>148167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1F036F-BB66-87D0-9EE9-8A02205D4389}"/>
            </a:ext>
          </a:extLst>
        </xdr:cNvPr>
        <xdr:cNvCxnSpPr/>
      </xdr:nvCxnSpPr>
      <xdr:spPr>
        <a:xfrm flipH="1">
          <a:off x="10107083" y="0"/>
          <a:ext cx="9737" cy="16065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686707</xdr:colOff>
      <xdr:row>0</xdr:row>
      <xdr:rowOff>0</xdr:rowOff>
    </xdr:from>
    <xdr:to>
      <xdr:col>26</xdr:col>
      <xdr:colOff>687917</xdr:colOff>
      <xdr:row>56</xdr:row>
      <xdr:rowOff>76199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F52334-0835-6344-81AE-D519DC2BD6A5}"/>
            </a:ext>
          </a:extLst>
        </xdr:cNvPr>
        <xdr:cNvCxnSpPr/>
      </xdr:nvCxnSpPr>
      <xdr:spPr>
        <a:xfrm>
          <a:off x="15919147" y="0"/>
          <a:ext cx="1210" cy="93895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dominos.com/static-files/5e541704-ddb7-43e6-babb-13f8b784104f" TargetMode="External"/><Relationship Id="rId2" Type="http://schemas.openxmlformats.org/officeDocument/2006/relationships/hyperlink" Target="https://ir.dominos.com/static-files/68ecdbfc-bd1c-486a-a574-d6f54b7e5132" TargetMode="External"/><Relationship Id="rId1" Type="http://schemas.openxmlformats.org/officeDocument/2006/relationships/hyperlink" Target="https://ir.dominos.com/static-files/5e541704-ddb7-43e6-babb-13f8b784104f" TargetMode="External"/><Relationship Id="rId4" Type="http://schemas.openxmlformats.org/officeDocument/2006/relationships/hyperlink" Target="https://ir.dominos.com/static-files/d91871d8-3c13-439f-bc86-b1efe79373d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CBAB-F294-D54D-8AF9-37466506C385}">
  <dimension ref="A2:H16"/>
  <sheetViews>
    <sheetView tabSelected="1" zoomScale="265" zoomScaleNormal="130" workbookViewId="0">
      <selection activeCell="B2" sqref="B2"/>
    </sheetView>
  </sheetViews>
  <sheetFormatPr baseColWidth="10" defaultRowHeight="13"/>
  <cols>
    <col min="1" max="2" width="10.83203125" style="1"/>
    <col min="3" max="3" width="3.6640625" style="1" bestFit="1" customWidth="1"/>
    <col min="4" max="4" width="6.6640625" style="1" bestFit="1" customWidth="1"/>
    <col min="5" max="5" width="5.5" style="1" bestFit="1" customWidth="1"/>
    <col min="6" max="6" width="10.83203125" style="1"/>
    <col min="7" max="7" width="5.33203125" style="1" bestFit="1" customWidth="1"/>
    <col min="8" max="16384" width="10.83203125" style="1"/>
  </cols>
  <sheetData>
    <row r="2" spans="1:8">
      <c r="C2" s="1" t="s">
        <v>0</v>
      </c>
      <c r="D2" s="1">
        <v>442.91</v>
      </c>
      <c r="G2" s="1" t="s">
        <v>41</v>
      </c>
      <c r="H2" s="1" t="s">
        <v>40</v>
      </c>
    </row>
    <row r="3" spans="1:8">
      <c r="C3" s="1" t="s">
        <v>1</v>
      </c>
      <c r="D3" s="1">
        <v>34.973165999999999</v>
      </c>
      <c r="E3" s="1" t="s">
        <v>56</v>
      </c>
    </row>
    <row r="4" spans="1:8">
      <c r="C4" s="1" t="s">
        <v>2</v>
      </c>
      <c r="D4" s="1">
        <f>+D2*D3</f>
        <v>15489.96495306</v>
      </c>
    </row>
    <row r="5" spans="1:8">
      <c r="C5" s="1" t="s">
        <v>3</v>
      </c>
      <c r="D5" s="1">
        <f>283.699+197.019</f>
        <v>480.71800000000002</v>
      </c>
      <c r="E5" s="1" t="str">
        <f>+E3</f>
        <v>Q224</v>
      </c>
    </row>
    <row r="6" spans="1:8">
      <c r="C6" s="1" t="s">
        <v>4</v>
      </c>
      <c r="D6" s="1">
        <f>4.938+4973.676</f>
        <v>4978.6140000000005</v>
      </c>
      <c r="E6" s="1" t="str">
        <f>+E5</f>
        <v>Q224</v>
      </c>
    </row>
    <row r="7" spans="1:8">
      <c r="C7" s="1" t="s">
        <v>5</v>
      </c>
      <c r="D7" s="1">
        <f>+D4-D5+D6</f>
        <v>19987.860953060001</v>
      </c>
    </row>
    <row r="9" spans="1:8">
      <c r="B9" s="1" t="s">
        <v>53</v>
      </c>
    </row>
    <row r="10" spans="1:8">
      <c r="B10" s="11" t="s">
        <v>51</v>
      </c>
    </row>
    <row r="13" spans="1:8">
      <c r="A13" s="1" t="s">
        <v>78</v>
      </c>
    </row>
    <row r="14" spans="1:8">
      <c r="A14" s="11" t="s">
        <v>56</v>
      </c>
    </row>
    <row r="15" spans="1:8">
      <c r="A15" s="11" t="s">
        <v>51</v>
      </c>
    </row>
    <row r="16" spans="1:8">
      <c r="A16" s="11" t="s">
        <v>16</v>
      </c>
    </row>
  </sheetData>
  <hyperlinks>
    <hyperlink ref="B10" r:id="rId1" xr:uid="{A39FCE35-60F5-A844-99CA-AD1AA6BF31B5}"/>
    <hyperlink ref="A14" r:id="rId2" xr:uid="{F4AA76B2-BE80-514B-8B9D-5464547D39A3}"/>
    <hyperlink ref="A15" r:id="rId3" xr:uid="{3202434E-F138-EB46-AD44-FF3750BAF0F3}"/>
    <hyperlink ref="A16" r:id="rId4" display="q423" xr:uid="{0A743720-F44A-704A-A00F-68D8C39B2E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DEE2-A022-054A-9DE5-05FAFFE1B300}">
  <dimension ref="B1:HS69"/>
  <sheetViews>
    <sheetView zoomScale="130" zoomScaleNormal="13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AA33" sqref="AA33"/>
    </sheetView>
  </sheetViews>
  <sheetFormatPr baseColWidth="10" defaultRowHeight="13"/>
  <cols>
    <col min="1" max="1" width="1.33203125" style="1" customWidth="1"/>
    <col min="2" max="2" width="15.6640625" style="1" bestFit="1" customWidth="1"/>
    <col min="3" max="5" width="5.5" style="1" bestFit="1" customWidth="1"/>
    <col min="6" max="6" width="6.6640625" style="1" bestFit="1" customWidth="1"/>
    <col min="7" max="13" width="9.1640625" style="1" bestFit="1" customWidth="1"/>
    <col min="14" max="14" width="9.6640625" style="1" bestFit="1" customWidth="1"/>
    <col min="15" max="16" width="9.1640625" style="1" customWidth="1"/>
    <col min="17" max="17" width="4.1640625" style="1" bestFit="1" customWidth="1"/>
    <col min="18" max="18" width="10.83203125" style="1"/>
    <col min="19" max="24" width="5.1640625" style="1" bestFit="1" customWidth="1"/>
    <col min="25" max="26" width="9.1640625" style="1" bestFit="1" customWidth="1"/>
    <col min="27" max="28" width="9.6640625" style="1" bestFit="1" customWidth="1"/>
    <col min="29" max="38" width="9.1640625" style="1" bestFit="1" customWidth="1"/>
    <col min="39" max="39" width="13.33203125" style="1" bestFit="1" customWidth="1"/>
    <col min="40" max="40" width="15.1640625" style="1" bestFit="1" customWidth="1"/>
    <col min="41" max="46" width="9.1640625" style="1" bestFit="1" customWidth="1"/>
    <col min="47" max="227" width="10.1640625" style="1" bestFit="1" customWidth="1"/>
    <col min="228" max="16384" width="10.83203125" style="1"/>
  </cols>
  <sheetData>
    <row r="1" spans="2:227">
      <c r="AC1" s="1">
        <v>275</v>
      </c>
      <c r="AL1" s="1">
        <v>11</v>
      </c>
      <c r="AM1" s="1">
        <f>+AL1+1</f>
        <v>12</v>
      </c>
      <c r="AN1" s="1">
        <f>+AM1+1</f>
        <v>13</v>
      </c>
      <c r="AO1" s="1">
        <f t="shared" ref="AO1:CZ1" si="0">+AN1+1</f>
        <v>14</v>
      </c>
      <c r="AP1" s="1">
        <f t="shared" si="0"/>
        <v>15</v>
      </c>
      <c r="AQ1" s="1">
        <f t="shared" si="0"/>
        <v>16</v>
      </c>
      <c r="AR1" s="1">
        <f t="shared" si="0"/>
        <v>17</v>
      </c>
      <c r="AS1" s="1">
        <f t="shared" si="0"/>
        <v>18</v>
      </c>
      <c r="AT1" s="1">
        <f t="shared" si="0"/>
        <v>19</v>
      </c>
      <c r="AU1" s="1">
        <f t="shared" si="0"/>
        <v>20</v>
      </c>
      <c r="AV1" s="1">
        <f t="shared" si="0"/>
        <v>21</v>
      </c>
      <c r="AW1" s="1">
        <f t="shared" si="0"/>
        <v>22</v>
      </c>
      <c r="AX1" s="1">
        <f t="shared" si="0"/>
        <v>23</v>
      </c>
      <c r="AY1" s="1">
        <f t="shared" si="0"/>
        <v>24</v>
      </c>
      <c r="AZ1" s="1">
        <f t="shared" si="0"/>
        <v>25</v>
      </c>
      <c r="BA1" s="1">
        <f t="shared" si="0"/>
        <v>26</v>
      </c>
      <c r="BB1" s="1">
        <f t="shared" si="0"/>
        <v>27</v>
      </c>
      <c r="BC1" s="1">
        <f t="shared" si="0"/>
        <v>28</v>
      </c>
      <c r="BD1" s="1">
        <f t="shared" si="0"/>
        <v>29</v>
      </c>
      <c r="BE1" s="1">
        <f t="shared" si="0"/>
        <v>30</v>
      </c>
      <c r="BF1" s="1">
        <f t="shared" si="0"/>
        <v>31</v>
      </c>
      <c r="BG1" s="1">
        <f t="shared" si="0"/>
        <v>32</v>
      </c>
      <c r="BH1" s="1">
        <f t="shared" si="0"/>
        <v>33</v>
      </c>
      <c r="BI1" s="1">
        <f t="shared" si="0"/>
        <v>34</v>
      </c>
      <c r="BJ1" s="1">
        <f t="shared" si="0"/>
        <v>35</v>
      </c>
      <c r="BK1" s="1">
        <f t="shared" si="0"/>
        <v>36</v>
      </c>
      <c r="BL1" s="1">
        <f t="shared" si="0"/>
        <v>37</v>
      </c>
      <c r="BM1" s="1">
        <f t="shared" si="0"/>
        <v>38</v>
      </c>
      <c r="BN1" s="1">
        <f t="shared" si="0"/>
        <v>39</v>
      </c>
      <c r="BO1" s="1">
        <f t="shared" si="0"/>
        <v>40</v>
      </c>
      <c r="BP1" s="1">
        <f t="shared" si="0"/>
        <v>41</v>
      </c>
      <c r="BQ1" s="1">
        <f t="shared" si="0"/>
        <v>42</v>
      </c>
      <c r="BR1" s="1">
        <f t="shared" si="0"/>
        <v>43</v>
      </c>
      <c r="BS1" s="1">
        <f t="shared" si="0"/>
        <v>44</v>
      </c>
      <c r="BT1" s="1">
        <f t="shared" si="0"/>
        <v>45</v>
      </c>
      <c r="BU1" s="1">
        <f t="shared" si="0"/>
        <v>46</v>
      </c>
      <c r="BV1" s="1">
        <f t="shared" si="0"/>
        <v>47</v>
      </c>
      <c r="BW1" s="1">
        <f t="shared" si="0"/>
        <v>48</v>
      </c>
      <c r="BX1" s="1">
        <f t="shared" si="0"/>
        <v>49</v>
      </c>
      <c r="BY1" s="1">
        <f t="shared" si="0"/>
        <v>50</v>
      </c>
      <c r="BZ1" s="1">
        <f t="shared" si="0"/>
        <v>51</v>
      </c>
      <c r="CA1" s="1">
        <f t="shared" si="0"/>
        <v>52</v>
      </c>
      <c r="CB1" s="1">
        <f t="shared" si="0"/>
        <v>53</v>
      </c>
      <c r="CC1" s="1">
        <f t="shared" si="0"/>
        <v>54</v>
      </c>
      <c r="CD1" s="1">
        <f t="shared" si="0"/>
        <v>55</v>
      </c>
      <c r="CE1" s="1">
        <f t="shared" si="0"/>
        <v>56</v>
      </c>
      <c r="CF1" s="1">
        <f t="shared" si="0"/>
        <v>57</v>
      </c>
      <c r="CG1" s="1">
        <f t="shared" si="0"/>
        <v>58</v>
      </c>
      <c r="CH1" s="1">
        <f t="shared" si="0"/>
        <v>59</v>
      </c>
      <c r="CI1" s="1">
        <f t="shared" si="0"/>
        <v>60</v>
      </c>
      <c r="CJ1" s="1">
        <f t="shared" si="0"/>
        <v>61</v>
      </c>
      <c r="CK1" s="1">
        <f t="shared" si="0"/>
        <v>62</v>
      </c>
      <c r="CL1" s="1">
        <f t="shared" si="0"/>
        <v>63</v>
      </c>
      <c r="CM1" s="1">
        <f t="shared" si="0"/>
        <v>64</v>
      </c>
      <c r="CN1" s="1">
        <f t="shared" si="0"/>
        <v>65</v>
      </c>
      <c r="CO1" s="1">
        <f t="shared" si="0"/>
        <v>66</v>
      </c>
      <c r="CP1" s="1">
        <f t="shared" si="0"/>
        <v>67</v>
      </c>
      <c r="CQ1" s="1">
        <f t="shared" si="0"/>
        <v>68</v>
      </c>
      <c r="CR1" s="1">
        <f t="shared" si="0"/>
        <v>69</v>
      </c>
      <c r="CS1" s="1">
        <f t="shared" si="0"/>
        <v>70</v>
      </c>
      <c r="CT1" s="1">
        <f t="shared" si="0"/>
        <v>71</v>
      </c>
      <c r="CU1" s="1">
        <f t="shared" si="0"/>
        <v>72</v>
      </c>
      <c r="CV1" s="1">
        <f t="shared" si="0"/>
        <v>73</v>
      </c>
      <c r="CW1" s="1">
        <f t="shared" si="0"/>
        <v>74</v>
      </c>
      <c r="CX1" s="1">
        <f t="shared" si="0"/>
        <v>75</v>
      </c>
      <c r="CY1" s="1">
        <f t="shared" si="0"/>
        <v>76</v>
      </c>
      <c r="CZ1" s="1">
        <f t="shared" si="0"/>
        <v>77</v>
      </c>
      <c r="DA1" s="1">
        <f t="shared" ref="DA1:FL1" si="1">+CZ1+1</f>
        <v>78</v>
      </c>
      <c r="DB1" s="1">
        <f t="shared" si="1"/>
        <v>79</v>
      </c>
      <c r="DC1" s="1">
        <f t="shared" si="1"/>
        <v>80</v>
      </c>
      <c r="DD1" s="1">
        <f t="shared" si="1"/>
        <v>81</v>
      </c>
      <c r="DE1" s="1">
        <f t="shared" si="1"/>
        <v>82</v>
      </c>
      <c r="DF1" s="1">
        <f t="shared" si="1"/>
        <v>83</v>
      </c>
      <c r="DG1" s="1">
        <f t="shared" si="1"/>
        <v>84</v>
      </c>
      <c r="DH1" s="1">
        <f t="shared" si="1"/>
        <v>85</v>
      </c>
      <c r="DI1" s="1">
        <f t="shared" si="1"/>
        <v>86</v>
      </c>
      <c r="DJ1" s="1">
        <f t="shared" si="1"/>
        <v>87</v>
      </c>
      <c r="DK1" s="1">
        <f t="shared" si="1"/>
        <v>88</v>
      </c>
      <c r="DL1" s="1">
        <f t="shared" si="1"/>
        <v>89</v>
      </c>
      <c r="DM1" s="1">
        <f t="shared" si="1"/>
        <v>90</v>
      </c>
      <c r="DN1" s="1">
        <f t="shared" si="1"/>
        <v>91</v>
      </c>
      <c r="DO1" s="1">
        <f t="shared" si="1"/>
        <v>92</v>
      </c>
      <c r="DP1" s="1">
        <f t="shared" si="1"/>
        <v>93</v>
      </c>
      <c r="DQ1" s="1">
        <f t="shared" si="1"/>
        <v>94</v>
      </c>
      <c r="DR1" s="1">
        <f t="shared" si="1"/>
        <v>95</v>
      </c>
      <c r="DS1" s="1">
        <f t="shared" si="1"/>
        <v>96</v>
      </c>
      <c r="DT1" s="1">
        <f t="shared" si="1"/>
        <v>97</v>
      </c>
      <c r="DU1" s="1">
        <f t="shared" si="1"/>
        <v>98</v>
      </c>
      <c r="DV1" s="1">
        <f t="shared" si="1"/>
        <v>99</v>
      </c>
      <c r="DW1" s="1">
        <f t="shared" si="1"/>
        <v>100</v>
      </c>
      <c r="DX1" s="1">
        <f t="shared" si="1"/>
        <v>101</v>
      </c>
      <c r="DY1" s="1">
        <f t="shared" si="1"/>
        <v>102</v>
      </c>
      <c r="DZ1" s="1">
        <f t="shared" si="1"/>
        <v>103</v>
      </c>
      <c r="EA1" s="1">
        <f t="shared" si="1"/>
        <v>104</v>
      </c>
      <c r="EB1" s="1">
        <f t="shared" si="1"/>
        <v>105</v>
      </c>
      <c r="EC1" s="1">
        <f t="shared" si="1"/>
        <v>106</v>
      </c>
      <c r="ED1" s="1">
        <f t="shared" si="1"/>
        <v>107</v>
      </c>
      <c r="EE1" s="1">
        <f t="shared" si="1"/>
        <v>108</v>
      </c>
      <c r="EF1" s="1">
        <f t="shared" si="1"/>
        <v>109</v>
      </c>
      <c r="EG1" s="1">
        <f t="shared" si="1"/>
        <v>110</v>
      </c>
      <c r="EH1" s="1">
        <f t="shared" si="1"/>
        <v>111</v>
      </c>
      <c r="EI1" s="1">
        <f t="shared" si="1"/>
        <v>112</v>
      </c>
      <c r="EJ1" s="1">
        <f t="shared" si="1"/>
        <v>113</v>
      </c>
      <c r="EK1" s="1">
        <f t="shared" si="1"/>
        <v>114</v>
      </c>
      <c r="EL1" s="1">
        <f t="shared" si="1"/>
        <v>115</v>
      </c>
      <c r="EM1" s="1">
        <f t="shared" si="1"/>
        <v>116</v>
      </c>
      <c r="EN1" s="1">
        <f t="shared" si="1"/>
        <v>117</v>
      </c>
      <c r="EO1" s="1">
        <f t="shared" si="1"/>
        <v>118</v>
      </c>
      <c r="EP1" s="1">
        <f t="shared" si="1"/>
        <v>119</v>
      </c>
      <c r="EQ1" s="1">
        <f t="shared" si="1"/>
        <v>120</v>
      </c>
      <c r="ER1" s="1">
        <f t="shared" si="1"/>
        <v>121</v>
      </c>
      <c r="ES1" s="1">
        <f t="shared" si="1"/>
        <v>122</v>
      </c>
      <c r="ET1" s="1">
        <f t="shared" si="1"/>
        <v>123</v>
      </c>
      <c r="EU1" s="1">
        <f t="shared" si="1"/>
        <v>124</v>
      </c>
      <c r="EV1" s="1">
        <f t="shared" si="1"/>
        <v>125</v>
      </c>
      <c r="EW1" s="1">
        <f t="shared" si="1"/>
        <v>126</v>
      </c>
      <c r="EX1" s="1">
        <f t="shared" si="1"/>
        <v>127</v>
      </c>
      <c r="EY1" s="1">
        <f t="shared" si="1"/>
        <v>128</v>
      </c>
      <c r="EZ1" s="1">
        <f t="shared" si="1"/>
        <v>129</v>
      </c>
      <c r="FA1" s="1">
        <f t="shared" si="1"/>
        <v>130</v>
      </c>
      <c r="FB1" s="1">
        <f t="shared" si="1"/>
        <v>131</v>
      </c>
      <c r="FC1" s="1">
        <f t="shared" si="1"/>
        <v>132</v>
      </c>
      <c r="FD1" s="1">
        <f t="shared" si="1"/>
        <v>133</v>
      </c>
      <c r="FE1" s="1">
        <f t="shared" si="1"/>
        <v>134</v>
      </c>
      <c r="FF1" s="1">
        <f t="shared" si="1"/>
        <v>135</v>
      </c>
      <c r="FG1" s="1">
        <f t="shared" si="1"/>
        <v>136</v>
      </c>
      <c r="FH1" s="1">
        <f t="shared" si="1"/>
        <v>137</v>
      </c>
      <c r="FI1" s="1">
        <f t="shared" si="1"/>
        <v>138</v>
      </c>
      <c r="FJ1" s="1">
        <f t="shared" si="1"/>
        <v>139</v>
      </c>
      <c r="FK1" s="1">
        <f t="shared" si="1"/>
        <v>140</v>
      </c>
      <c r="FL1" s="1">
        <f t="shared" si="1"/>
        <v>141</v>
      </c>
      <c r="FM1" s="1">
        <f t="shared" ref="FM1:HS1" si="2">+FL1+1</f>
        <v>142</v>
      </c>
      <c r="FN1" s="1">
        <f t="shared" si="2"/>
        <v>143</v>
      </c>
      <c r="FO1" s="1">
        <f t="shared" si="2"/>
        <v>144</v>
      </c>
      <c r="FP1" s="1">
        <f t="shared" si="2"/>
        <v>145</v>
      </c>
      <c r="FQ1" s="1">
        <f t="shared" si="2"/>
        <v>146</v>
      </c>
      <c r="FR1" s="1">
        <f t="shared" si="2"/>
        <v>147</v>
      </c>
      <c r="FS1" s="1">
        <f t="shared" si="2"/>
        <v>148</v>
      </c>
      <c r="FT1" s="1">
        <f t="shared" si="2"/>
        <v>149</v>
      </c>
      <c r="FU1" s="1">
        <f t="shared" si="2"/>
        <v>150</v>
      </c>
      <c r="FV1" s="1">
        <f t="shared" si="2"/>
        <v>151</v>
      </c>
      <c r="FW1" s="1">
        <f t="shared" si="2"/>
        <v>152</v>
      </c>
      <c r="FX1" s="1">
        <f t="shared" si="2"/>
        <v>153</v>
      </c>
      <c r="FY1" s="1">
        <f t="shared" si="2"/>
        <v>154</v>
      </c>
      <c r="FZ1" s="1">
        <f t="shared" si="2"/>
        <v>155</v>
      </c>
      <c r="GA1" s="1">
        <f t="shared" si="2"/>
        <v>156</v>
      </c>
      <c r="GB1" s="1">
        <f t="shared" si="2"/>
        <v>157</v>
      </c>
      <c r="GC1" s="1">
        <f t="shared" si="2"/>
        <v>158</v>
      </c>
      <c r="GD1" s="1">
        <f t="shared" si="2"/>
        <v>159</v>
      </c>
      <c r="GE1" s="1">
        <f t="shared" si="2"/>
        <v>160</v>
      </c>
      <c r="GF1" s="1">
        <f t="shared" si="2"/>
        <v>161</v>
      </c>
      <c r="GG1" s="1">
        <f t="shared" si="2"/>
        <v>162</v>
      </c>
      <c r="GH1" s="1">
        <f t="shared" si="2"/>
        <v>163</v>
      </c>
      <c r="GI1" s="1">
        <f t="shared" si="2"/>
        <v>164</v>
      </c>
      <c r="GJ1" s="1">
        <f t="shared" si="2"/>
        <v>165</v>
      </c>
      <c r="GK1" s="1">
        <f t="shared" si="2"/>
        <v>166</v>
      </c>
      <c r="GL1" s="1">
        <f t="shared" si="2"/>
        <v>167</v>
      </c>
      <c r="GM1" s="1">
        <f t="shared" si="2"/>
        <v>168</v>
      </c>
      <c r="GN1" s="1">
        <f t="shared" si="2"/>
        <v>169</v>
      </c>
      <c r="GO1" s="1">
        <f t="shared" si="2"/>
        <v>170</v>
      </c>
      <c r="GP1" s="1">
        <f t="shared" si="2"/>
        <v>171</v>
      </c>
      <c r="GQ1" s="1">
        <f t="shared" si="2"/>
        <v>172</v>
      </c>
      <c r="GR1" s="1">
        <f t="shared" si="2"/>
        <v>173</v>
      </c>
      <c r="GS1" s="1">
        <f t="shared" si="2"/>
        <v>174</v>
      </c>
      <c r="GT1" s="1">
        <f t="shared" si="2"/>
        <v>175</v>
      </c>
      <c r="GU1" s="1">
        <f t="shared" si="2"/>
        <v>176</v>
      </c>
      <c r="GV1" s="1">
        <f t="shared" si="2"/>
        <v>177</v>
      </c>
      <c r="GW1" s="1">
        <f t="shared" si="2"/>
        <v>178</v>
      </c>
      <c r="GX1" s="1">
        <f t="shared" si="2"/>
        <v>179</v>
      </c>
      <c r="GY1" s="1">
        <f t="shared" si="2"/>
        <v>180</v>
      </c>
      <c r="GZ1" s="1">
        <f t="shared" si="2"/>
        <v>181</v>
      </c>
      <c r="HA1" s="1">
        <f t="shared" si="2"/>
        <v>182</v>
      </c>
      <c r="HB1" s="1">
        <f t="shared" si="2"/>
        <v>183</v>
      </c>
      <c r="HC1" s="1">
        <f t="shared" si="2"/>
        <v>184</v>
      </c>
      <c r="HD1" s="1">
        <f t="shared" si="2"/>
        <v>185</v>
      </c>
      <c r="HE1" s="1">
        <f t="shared" si="2"/>
        <v>186</v>
      </c>
      <c r="HF1" s="1">
        <f t="shared" si="2"/>
        <v>187</v>
      </c>
      <c r="HG1" s="1">
        <f t="shared" si="2"/>
        <v>188</v>
      </c>
      <c r="HH1" s="1">
        <f t="shared" si="2"/>
        <v>189</v>
      </c>
      <c r="HI1" s="1">
        <f t="shared" si="2"/>
        <v>190</v>
      </c>
      <c r="HJ1" s="1">
        <f t="shared" si="2"/>
        <v>191</v>
      </c>
      <c r="HK1" s="1">
        <f t="shared" si="2"/>
        <v>192</v>
      </c>
      <c r="HL1" s="1">
        <f t="shared" si="2"/>
        <v>193</v>
      </c>
      <c r="HM1" s="1">
        <f t="shared" si="2"/>
        <v>194</v>
      </c>
      <c r="HN1" s="1">
        <f t="shared" si="2"/>
        <v>195</v>
      </c>
      <c r="HO1" s="1">
        <f t="shared" si="2"/>
        <v>196</v>
      </c>
      <c r="HP1" s="1">
        <f t="shared" si="2"/>
        <v>197</v>
      </c>
      <c r="HQ1" s="1">
        <f t="shared" si="2"/>
        <v>198</v>
      </c>
      <c r="HR1" s="1">
        <f t="shared" si="2"/>
        <v>199</v>
      </c>
      <c r="HS1" s="1">
        <f t="shared" si="2"/>
        <v>200</v>
      </c>
    </row>
    <row r="2" spans="2:227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23</v>
      </c>
      <c r="M2" s="1" t="s">
        <v>15</v>
      </c>
      <c r="N2" s="1" t="s">
        <v>16</v>
      </c>
      <c r="O2" s="1" t="s">
        <v>51</v>
      </c>
      <c r="P2" s="1" t="s">
        <v>56</v>
      </c>
      <c r="S2" s="2">
        <v>2015</v>
      </c>
      <c r="T2" s="2">
        <f>+S2+1</f>
        <v>2016</v>
      </c>
      <c r="U2" s="2">
        <f t="shared" ref="U2:AK2" si="3">+T2+1</f>
        <v>2017</v>
      </c>
      <c r="V2" s="2">
        <f t="shared" si="3"/>
        <v>2018</v>
      </c>
      <c r="W2" s="2">
        <f t="shared" si="3"/>
        <v>2019</v>
      </c>
      <c r="X2" s="2">
        <f t="shared" si="3"/>
        <v>2020</v>
      </c>
      <c r="Y2" s="2">
        <f t="shared" si="3"/>
        <v>2021</v>
      </c>
      <c r="Z2" s="2">
        <f t="shared" si="3"/>
        <v>2022</v>
      </c>
      <c r="AA2" s="2">
        <f t="shared" si="3"/>
        <v>2023</v>
      </c>
      <c r="AB2" s="2">
        <f t="shared" si="3"/>
        <v>2024</v>
      </c>
      <c r="AC2" s="2">
        <f t="shared" si="3"/>
        <v>2025</v>
      </c>
      <c r="AD2" s="2">
        <f t="shared" si="3"/>
        <v>2026</v>
      </c>
      <c r="AE2" s="2">
        <f t="shared" si="3"/>
        <v>2027</v>
      </c>
      <c r="AF2" s="2">
        <f t="shared" si="3"/>
        <v>2028</v>
      </c>
      <c r="AG2" s="2">
        <f t="shared" si="3"/>
        <v>2029</v>
      </c>
      <c r="AH2" s="2">
        <f t="shared" si="3"/>
        <v>2030</v>
      </c>
      <c r="AI2" s="2">
        <f t="shared" si="3"/>
        <v>2031</v>
      </c>
      <c r="AJ2" s="2">
        <f t="shared" si="3"/>
        <v>2032</v>
      </c>
      <c r="AK2" s="2">
        <f t="shared" si="3"/>
        <v>2033</v>
      </c>
    </row>
    <row r="3" spans="2:227">
      <c r="B3" s="1" t="s">
        <v>38</v>
      </c>
      <c r="F3" s="1">
        <v>18848</v>
      </c>
      <c r="G3" s="1">
        <v>19061</v>
      </c>
      <c r="H3" s="1">
        <v>19294</v>
      </c>
      <c r="I3" s="1">
        <v>19519</v>
      </c>
      <c r="J3" s="1">
        <v>19880</v>
      </c>
      <c r="K3" s="1">
        <v>20008</v>
      </c>
      <c r="L3" s="1">
        <v>20205</v>
      </c>
      <c r="M3" s="1">
        <v>20197</v>
      </c>
      <c r="N3" s="1">
        <v>20591</v>
      </c>
      <c r="O3" s="1">
        <v>20755</v>
      </c>
      <c r="P3" s="1">
        <v>20930</v>
      </c>
      <c r="Y3" s="1">
        <f>+F3</f>
        <v>18848</v>
      </c>
      <c r="Z3" s="1">
        <f>+J3</f>
        <v>19880</v>
      </c>
      <c r="AA3" s="1">
        <f>+N3</f>
        <v>20591</v>
      </c>
      <c r="AB3" s="1">
        <f>+AA3+700</f>
        <v>21291</v>
      </c>
      <c r="AC3" s="1">
        <f t="shared" ref="AC3:AF3" si="4">+AB3+700</f>
        <v>21991</v>
      </c>
      <c r="AD3" s="1">
        <f t="shared" si="4"/>
        <v>22691</v>
      </c>
      <c r="AE3" s="1">
        <f t="shared" si="4"/>
        <v>23391</v>
      </c>
      <c r="AF3" s="1">
        <f t="shared" si="4"/>
        <v>24091</v>
      </c>
      <c r="AG3" s="1">
        <f t="shared" ref="AG3:AK3" si="5">+AF3+275</f>
        <v>24366</v>
      </c>
      <c r="AH3" s="1">
        <f t="shared" si="5"/>
        <v>24641</v>
      </c>
      <c r="AI3" s="1">
        <f t="shared" si="5"/>
        <v>24916</v>
      </c>
      <c r="AJ3" s="1">
        <f t="shared" si="5"/>
        <v>25191</v>
      </c>
      <c r="AK3" s="1">
        <f t="shared" si="5"/>
        <v>25466</v>
      </c>
    </row>
    <row r="4" spans="2:227">
      <c r="B4" s="1" t="s">
        <v>39</v>
      </c>
      <c r="H4" s="1">
        <f t="shared" ref="H4:P4" si="6">+H12/H3</f>
        <v>55.207940292318852</v>
      </c>
      <c r="I4" s="1">
        <f t="shared" si="6"/>
        <v>54.746452174804034</v>
      </c>
      <c r="J4" s="1">
        <f t="shared" si="6"/>
        <v>70.031740442655931</v>
      </c>
      <c r="K4" s="1">
        <f t="shared" si="6"/>
        <v>51.19942023190724</v>
      </c>
      <c r="L4" s="1">
        <f t="shared" si="6"/>
        <v>50.71155654540955</v>
      </c>
      <c r="M4" s="1">
        <f t="shared" si="6"/>
        <v>50.867009951973067</v>
      </c>
      <c r="N4" s="1">
        <f t="shared" si="6"/>
        <v>68.135204701082998</v>
      </c>
      <c r="O4" s="1">
        <f t="shared" si="6"/>
        <v>52.259551915201158</v>
      </c>
      <c r="P4" s="1">
        <f t="shared" si="6"/>
        <v>52.447969421882462</v>
      </c>
      <c r="S4" s="2"/>
      <c r="T4" s="2"/>
      <c r="U4" s="2"/>
      <c r="V4" s="2"/>
      <c r="W4" s="2"/>
      <c r="X4" s="2"/>
      <c r="Y4" s="1">
        <f>+Y12/Y3</f>
        <v>231.18490025466892</v>
      </c>
      <c r="Z4" s="1">
        <f>+Z12/Z3</f>
        <v>228.22726358148893</v>
      </c>
      <c r="AA4" s="1">
        <f>+AA12/AA3</f>
        <v>217.53960468165704</v>
      </c>
      <c r="AB4" s="1">
        <f>+AA4*1.06</f>
        <v>230.59198096255648</v>
      </c>
      <c r="AC4" s="1">
        <f t="shared" ref="AC4:AK4" si="7">+AB4*1.06</f>
        <v>244.42749982030989</v>
      </c>
      <c r="AD4" s="1">
        <f t="shared" si="7"/>
        <v>259.09314980952848</v>
      </c>
      <c r="AE4" s="1">
        <f t="shared" si="7"/>
        <v>274.63873879810023</v>
      </c>
      <c r="AF4" s="1">
        <f t="shared" si="7"/>
        <v>291.11706312598625</v>
      </c>
      <c r="AG4" s="1">
        <f t="shared" si="7"/>
        <v>308.58408691354543</v>
      </c>
      <c r="AH4" s="1">
        <f t="shared" si="7"/>
        <v>327.09913212835818</v>
      </c>
      <c r="AI4" s="1">
        <f t="shared" si="7"/>
        <v>346.72508005605971</v>
      </c>
      <c r="AJ4" s="1">
        <f t="shared" si="7"/>
        <v>367.52858485942329</v>
      </c>
      <c r="AK4" s="1">
        <f t="shared" si="7"/>
        <v>389.58029995098872</v>
      </c>
    </row>
    <row r="5" spans="2:227">
      <c r="P5" s="1">
        <f>+P3-N3</f>
        <v>339</v>
      </c>
      <c r="Q5" s="1">
        <f>+P5*2</f>
        <v>678</v>
      </c>
      <c r="S5" s="2"/>
      <c r="T5" s="2"/>
      <c r="U5" s="2"/>
      <c r="V5" s="2"/>
      <c r="W5" s="2"/>
      <c r="X5" s="2"/>
      <c r="Z5" s="1">
        <f>+Z3-Y3</f>
        <v>1032</v>
      </c>
      <c r="AA5" s="1">
        <f>+AA3-Z3</f>
        <v>711</v>
      </c>
      <c r="AB5" s="1">
        <v>175</v>
      </c>
      <c r="AC5" s="1">
        <f>975-275</f>
        <v>700</v>
      </c>
    </row>
    <row r="6" spans="2:227" s="10" customFormat="1">
      <c r="B6" s="10" t="s">
        <v>52</v>
      </c>
      <c r="O6" s="10">
        <v>7.2999999999999995E-2</v>
      </c>
      <c r="P6" s="10">
        <v>4.8000000000000001E-2</v>
      </c>
    </row>
    <row r="7" spans="2:227">
      <c r="B7" s="1" t="s">
        <v>17</v>
      </c>
      <c r="G7" s="1">
        <v>103895</v>
      </c>
      <c r="H7" s="1">
        <v>112502</v>
      </c>
      <c r="I7" s="1">
        <v>112388</v>
      </c>
      <c r="J7" s="1">
        <f>+Z7-SUM(G7:I7)</f>
        <v>117025</v>
      </c>
      <c r="K7" s="1">
        <v>84911</v>
      </c>
      <c r="L7" s="1">
        <v>87694</v>
      </c>
      <c r="M7" s="1">
        <v>86277</v>
      </c>
      <c r="N7" s="1">
        <f>+AA7-SUM(K7:M7)</f>
        <v>117298</v>
      </c>
      <c r="O7" s="1">
        <v>92649</v>
      </c>
      <c r="P7" s="1">
        <v>92264</v>
      </c>
      <c r="Y7" s="1">
        <v>478976</v>
      </c>
      <c r="Z7" s="1">
        <v>445810</v>
      </c>
      <c r="AA7" s="1">
        <v>376180</v>
      </c>
    </row>
    <row r="8" spans="2:227">
      <c r="B8" s="1" t="s">
        <v>18</v>
      </c>
      <c r="G8" s="1">
        <v>122285</v>
      </c>
      <c r="H8" s="1">
        <v>128098</v>
      </c>
      <c r="I8" s="1">
        <v>128878</v>
      </c>
      <c r="J8" s="1">
        <f>+Z8-SUM(G8:I8)</f>
        <v>177008</v>
      </c>
      <c r="K8" s="1">
        <v>132864</v>
      </c>
      <c r="L8" s="1">
        <v>139268</v>
      </c>
      <c r="M8" s="1">
        <v>138322</v>
      </c>
      <c r="N8" s="1">
        <f>+AA8-SUM(K8:M8)</f>
        <v>194443</v>
      </c>
      <c r="O8" s="1">
        <v>150518</v>
      </c>
      <c r="P8" s="1">
        <v>147576</v>
      </c>
      <c r="Y8" s="1">
        <v>539883</v>
      </c>
      <c r="Z8" s="1">
        <v>556269</v>
      </c>
      <c r="AA8" s="1">
        <v>604897</v>
      </c>
    </row>
    <row r="9" spans="2:227">
      <c r="B9" s="1" t="s">
        <v>19</v>
      </c>
      <c r="G9" s="1">
        <v>609547</v>
      </c>
      <c r="H9" s="1">
        <v>646586</v>
      </c>
      <c r="I9" s="1">
        <v>646082</v>
      </c>
      <c r="J9" s="1">
        <f>+Z9-SUM(G9:I9)</f>
        <v>852527</v>
      </c>
      <c r="K9" s="1">
        <v>624226</v>
      </c>
      <c r="L9" s="1">
        <v>615711</v>
      </c>
      <c r="M9" s="1">
        <v>618086</v>
      </c>
      <c r="N9" s="1">
        <f>+AA9-SUM(K9:M9)</f>
        <v>856986</v>
      </c>
      <c r="O9" s="1">
        <v>659214</v>
      </c>
      <c r="P9" s="1">
        <v>659244</v>
      </c>
      <c r="Y9" s="1">
        <v>2560977</v>
      </c>
      <c r="Z9" s="1">
        <v>2754742</v>
      </c>
      <c r="AA9" s="1">
        <v>2715009</v>
      </c>
    </row>
    <row r="10" spans="2:227">
      <c r="B10" s="1" t="s">
        <v>20</v>
      </c>
      <c r="G10" s="1">
        <v>68833</v>
      </c>
      <c r="H10" s="1">
        <v>66915</v>
      </c>
      <c r="I10" s="1">
        <v>67055</v>
      </c>
      <c r="J10" s="1">
        <f>+Z10-SUM(G10:I10)</f>
        <v>92204</v>
      </c>
      <c r="K10" s="1">
        <v>69671</v>
      </c>
      <c r="L10" s="1">
        <v>70495</v>
      </c>
      <c r="M10" s="1">
        <v>73142</v>
      </c>
      <c r="N10" s="1">
        <f>+AA10-SUM(K10:M10)</f>
        <v>96769</v>
      </c>
      <c r="O10" s="1">
        <v>71966</v>
      </c>
      <c r="P10" s="1">
        <v>73696</v>
      </c>
      <c r="Y10" s="1">
        <v>298036</v>
      </c>
      <c r="Z10" s="1">
        <v>295007</v>
      </c>
      <c r="AA10" s="1">
        <v>310077</v>
      </c>
    </row>
    <row r="11" spans="2:227">
      <c r="B11" s="1" t="s">
        <v>21</v>
      </c>
      <c r="G11" s="1">
        <v>106589</v>
      </c>
      <c r="H11" s="1">
        <v>111081</v>
      </c>
      <c r="I11" s="1">
        <v>114193</v>
      </c>
      <c r="J11" s="1">
        <f>+Z11-SUM(G11:I11)</f>
        <v>153467</v>
      </c>
      <c r="K11" s="1">
        <v>112726</v>
      </c>
      <c r="L11" s="1">
        <v>111459</v>
      </c>
      <c r="M11" s="1">
        <v>111534</v>
      </c>
      <c r="N11" s="1">
        <f>+AA11-SUM(K11:M11)</f>
        <v>137476</v>
      </c>
      <c r="O11" s="1">
        <v>110300</v>
      </c>
      <c r="P11" s="1">
        <v>124956</v>
      </c>
      <c r="Y11" s="1">
        <v>479501</v>
      </c>
      <c r="Z11" s="1">
        <v>485330</v>
      </c>
      <c r="AA11" s="1">
        <v>473195</v>
      </c>
    </row>
    <row r="12" spans="2:227" s="3" customFormat="1">
      <c r="B12" s="3" t="s">
        <v>22</v>
      </c>
      <c r="G12" s="3">
        <f t="shared" ref="G12:N12" si="8">+SUM(G7:G11)</f>
        <v>1011149</v>
      </c>
      <c r="H12" s="3">
        <f t="shared" si="8"/>
        <v>1065182</v>
      </c>
      <c r="I12" s="3">
        <f t="shared" si="8"/>
        <v>1068596</v>
      </c>
      <c r="J12" s="3">
        <f t="shared" si="8"/>
        <v>1392231</v>
      </c>
      <c r="K12" s="3">
        <f t="shared" si="8"/>
        <v>1024398</v>
      </c>
      <c r="L12" s="3">
        <f t="shared" si="8"/>
        <v>1024627</v>
      </c>
      <c r="M12" s="3">
        <f t="shared" si="8"/>
        <v>1027361</v>
      </c>
      <c r="N12" s="3">
        <f t="shared" si="8"/>
        <v>1402972</v>
      </c>
      <c r="O12" s="3">
        <f t="shared" ref="O12" si="9">+SUM(O7:O11)</f>
        <v>1084647</v>
      </c>
      <c r="P12" s="3">
        <f t="shared" ref="P12" si="10">+SUM(P7:P11)</f>
        <v>1097736</v>
      </c>
      <c r="Y12" s="3">
        <f>+SUM(Y7:Y11)</f>
        <v>4357373</v>
      </c>
      <c r="Z12" s="3">
        <f>+SUM(Z7:Z11)</f>
        <v>4537158</v>
      </c>
      <c r="AA12" s="3">
        <f>+SUM(AA7:AA11)</f>
        <v>4479358</v>
      </c>
      <c r="AB12" s="3">
        <f>+AA12*1.07</f>
        <v>4792913.0600000005</v>
      </c>
      <c r="AC12" s="3">
        <f>+AB12*1.07</f>
        <v>5128416.974200001</v>
      </c>
      <c r="AD12" s="3">
        <f>+AC12*1.07</f>
        <v>5487406.1623940011</v>
      </c>
      <c r="AE12" s="3">
        <f>+AD12*1.07</f>
        <v>5871524.5937615819</v>
      </c>
      <c r="AF12" s="3">
        <f>+AE12*1.07</f>
        <v>6282531.3153248932</v>
      </c>
      <c r="AG12" s="3">
        <f>+AG3*AG4</f>
        <v>7518959.8617354482</v>
      </c>
      <c r="AH12" s="3">
        <f>+AH3*AH4</f>
        <v>8060049.714774874</v>
      </c>
      <c r="AI12" s="3">
        <f>+AI3*AI4</f>
        <v>8639002.0946767833</v>
      </c>
      <c r="AJ12" s="3">
        <f>+AJ3*AJ4</f>
        <v>9258412.5811937321</v>
      </c>
      <c r="AK12" s="3">
        <f>+AK3*AK4</f>
        <v>9921051.918551879</v>
      </c>
    </row>
    <row r="13" spans="2:227">
      <c r="B13" s="1" t="s">
        <v>24</v>
      </c>
      <c r="G13" s="1">
        <v>87375</v>
      </c>
      <c r="H13" s="1">
        <v>94065</v>
      </c>
      <c r="I13" s="1">
        <v>98589</v>
      </c>
      <c r="J13" s="1">
        <f>+Z13-SUM(G13:I13)</f>
        <v>97989</v>
      </c>
      <c r="K13" s="1">
        <v>70572</v>
      </c>
      <c r="L13" s="1">
        <v>71423</v>
      </c>
      <c r="M13" s="1">
        <v>72614</v>
      </c>
      <c r="N13" s="1">
        <f>+AA13-SUM(K13:M13)</f>
        <v>100064</v>
      </c>
      <c r="O13" s="1">
        <v>76458</v>
      </c>
      <c r="P13" s="1">
        <v>76059</v>
      </c>
      <c r="Y13" s="1">
        <v>374104</v>
      </c>
      <c r="Z13" s="1">
        <v>378018</v>
      </c>
      <c r="AA13" s="1">
        <v>314673</v>
      </c>
      <c r="AB13" s="1">
        <f>+AB$12*(AA13/AA$12)</f>
        <v>336700.11000000004</v>
      </c>
      <c r="AC13" s="1">
        <f t="shared" ref="AC13:AK13" si="11">+AC$12*(AB13/AB$12)</f>
        <v>360269.11770000006</v>
      </c>
      <c r="AD13" s="1">
        <f t="shared" si="11"/>
        <v>385487.95593900012</v>
      </c>
      <c r="AE13" s="1">
        <f t="shared" si="11"/>
        <v>412472.11285473016</v>
      </c>
      <c r="AF13" s="1">
        <f t="shared" si="11"/>
        <v>441345.16075456131</v>
      </c>
      <c r="AG13" s="1">
        <f t="shared" si="11"/>
        <v>528203.74182458268</v>
      </c>
      <c r="AH13" s="1">
        <f t="shared" si="11"/>
        <v>566215.07454803889</v>
      </c>
      <c r="AI13" s="1">
        <f t="shared" si="11"/>
        <v>606886.2337277414</v>
      </c>
      <c r="AJ13" s="1">
        <f t="shared" si="11"/>
        <v>650399.55774063512</v>
      </c>
      <c r="AK13" s="1">
        <f t="shared" si="11"/>
        <v>696949.69019365637</v>
      </c>
    </row>
    <row r="14" spans="2:227">
      <c r="B14" s="1" t="s">
        <v>25</v>
      </c>
      <c r="G14" s="1">
        <v>555150</v>
      </c>
      <c r="H14" s="1">
        <v>584582</v>
      </c>
      <c r="I14" s="1">
        <v>588157</v>
      </c>
      <c r="J14" s="1">
        <f>+Z14-SUM(G14:I14)</f>
        <v>782645</v>
      </c>
      <c r="K14" s="1">
        <v>568279</v>
      </c>
      <c r="L14" s="1">
        <v>548548</v>
      </c>
      <c r="M14" s="1">
        <v>556578</v>
      </c>
      <c r="N14" s="1">
        <f>+AA14-SUM(K14:M14)</f>
        <v>763863</v>
      </c>
      <c r="O14" s="1">
        <v>586319</v>
      </c>
      <c r="P14" s="1">
        <v>584646</v>
      </c>
      <c r="Y14" s="1">
        <v>2295027</v>
      </c>
      <c r="Z14" s="1">
        <v>2510534</v>
      </c>
      <c r="AA14" s="1">
        <v>2437268</v>
      </c>
      <c r="AB14" s="1">
        <f t="shared" ref="AB14:AK17" si="12">+AB$12*(AA14/AA$12)</f>
        <v>2607876.7600000002</v>
      </c>
      <c r="AC14" s="1">
        <f t="shared" si="12"/>
        <v>2790428.1332000005</v>
      </c>
      <c r="AD14" s="1">
        <f t="shared" si="12"/>
        <v>2985758.1025240007</v>
      </c>
      <c r="AE14" s="1">
        <f t="shared" si="12"/>
        <v>3194761.1697006808</v>
      </c>
      <c r="AF14" s="1">
        <f t="shared" si="12"/>
        <v>3418394.4515797286</v>
      </c>
      <c r="AG14" s="1">
        <f t="shared" si="12"/>
        <v>4091148.8352331365</v>
      </c>
      <c r="AH14" s="1">
        <f t="shared" si="12"/>
        <v>4385561.781002976</v>
      </c>
      <c r="AI14" s="1">
        <f t="shared" si="12"/>
        <v>4700576.1444583563</v>
      </c>
      <c r="AJ14" s="1">
        <f t="shared" si="12"/>
        <v>5037604.2091167718</v>
      </c>
      <c r="AK14" s="1">
        <f t="shared" si="12"/>
        <v>5398153.5674141468</v>
      </c>
    </row>
    <row r="15" spans="2:227">
      <c r="B15" s="1" t="s">
        <v>26</v>
      </c>
      <c r="G15" s="1">
        <v>97494</v>
      </c>
      <c r="H15" s="1">
        <v>97070</v>
      </c>
      <c r="I15" s="1">
        <v>91205</v>
      </c>
      <c r="J15" s="1">
        <f>+Z15-SUM(G15:I15)</f>
        <v>130755</v>
      </c>
      <c r="K15" s="1">
        <v>95189</v>
      </c>
      <c r="L15" s="1">
        <v>97794</v>
      </c>
      <c r="M15" s="1">
        <v>97203</v>
      </c>
      <c r="N15" s="1">
        <f>+AA15-SUM(K15:M15)</f>
        <v>144368</v>
      </c>
      <c r="O15" s="1">
        <v>101024</v>
      </c>
      <c r="P15" s="1">
        <v>115947</v>
      </c>
      <c r="Y15" s="1">
        <v>428333</v>
      </c>
      <c r="Z15" s="1">
        <v>416524</v>
      </c>
      <c r="AA15" s="1">
        <v>434554</v>
      </c>
      <c r="AB15" s="1">
        <f t="shared" si="12"/>
        <v>464972.78000000009</v>
      </c>
      <c r="AC15" s="1">
        <f t="shared" si="12"/>
        <v>497520.8746000001</v>
      </c>
      <c r="AD15" s="1">
        <f t="shared" si="12"/>
        <v>532347.33582200017</v>
      </c>
      <c r="AE15" s="1">
        <f t="shared" si="12"/>
        <v>569611.6493295402</v>
      </c>
      <c r="AF15" s="1">
        <f t="shared" si="12"/>
        <v>609484.46478260809</v>
      </c>
      <c r="AG15" s="1">
        <f t="shared" si="12"/>
        <v>729433.56698807864</v>
      </c>
      <c r="AH15" s="1">
        <f t="shared" si="12"/>
        <v>781926.08042364125</v>
      </c>
      <c r="AI15" s="1">
        <f t="shared" si="12"/>
        <v>838091.73463031417</v>
      </c>
      <c r="AJ15" s="1">
        <f t="shared" si="12"/>
        <v>898182.3334522628</v>
      </c>
      <c r="AK15" s="1">
        <f t="shared" si="12"/>
        <v>962466.67388817621</v>
      </c>
    </row>
    <row r="16" spans="2:227">
      <c r="B16" s="1" t="s">
        <v>27</v>
      </c>
      <c r="G16" s="1">
        <v>106589</v>
      </c>
      <c r="H16" s="1">
        <v>111081</v>
      </c>
      <c r="I16" s="1">
        <v>114193</v>
      </c>
      <c r="J16" s="1">
        <f>+Z16-SUM(G16:I16)</f>
        <v>153467</v>
      </c>
      <c r="K16" s="1">
        <v>112726</v>
      </c>
      <c r="L16" s="1">
        <v>111459</v>
      </c>
      <c r="M16" s="1">
        <v>111534</v>
      </c>
      <c r="N16" s="1">
        <f>+AA16-SUM(K16:M16)</f>
        <v>137476</v>
      </c>
      <c r="O16" s="1">
        <v>110300</v>
      </c>
      <c r="P16" s="1">
        <v>124956</v>
      </c>
      <c r="Y16" s="1">
        <v>479501</v>
      </c>
      <c r="Z16" s="1">
        <v>485330</v>
      </c>
      <c r="AA16" s="1">
        <v>473195</v>
      </c>
      <c r="AB16" s="1">
        <f t="shared" si="12"/>
        <v>506318.65</v>
      </c>
      <c r="AC16" s="1">
        <f t="shared" si="12"/>
        <v>541760.95550000004</v>
      </c>
      <c r="AD16" s="1">
        <f t="shared" si="12"/>
        <v>579684.22238500009</v>
      </c>
      <c r="AE16" s="1">
        <f t="shared" si="12"/>
        <v>620262.11795195017</v>
      </c>
      <c r="AF16" s="1">
        <f t="shared" si="12"/>
        <v>663680.4662085867</v>
      </c>
      <c r="AG16" s="1">
        <f t="shared" si="12"/>
        <v>794295.5690913531</v>
      </c>
      <c r="AH16" s="1">
        <f t="shared" si="12"/>
        <v>851455.77218496404</v>
      </c>
      <c r="AI16" s="1">
        <f t="shared" si="12"/>
        <v>912615.73560107953</v>
      </c>
      <c r="AJ16" s="1">
        <f t="shared" si="12"/>
        <v>978049.65384726285</v>
      </c>
      <c r="AK16" s="1">
        <f t="shared" si="12"/>
        <v>1048050.2256348245</v>
      </c>
    </row>
    <row r="17" spans="2:227">
      <c r="B17" s="1" t="s">
        <v>28</v>
      </c>
      <c r="G17" s="1">
        <v>0</v>
      </c>
      <c r="H17" s="1">
        <v>0</v>
      </c>
      <c r="I17" s="1">
        <v>0</v>
      </c>
      <c r="J17" s="1">
        <f>+Z17-SUM(G17:I17)</f>
        <v>-21173</v>
      </c>
      <c r="K17" s="1">
        <v>0</v>
      </c>
      <c r="L17" s="1">
        <v>0</v>
      </c>
      <c r="M17" s="1">
        <v>0</v>
      </c>
      <c r="N17" s="1">
        <f>+AA17-SUM(K17:M17)</f>
        <v>149</v>
      </c>
      <c r="O17" s="1">
        <v>133</v>
      </c>
      <c r="P17" s="1">
        <v>25</v>
      </c>
      <c r="Y17" s="1">
        <v>0</v>
      </c>
      <c r="Z17" s="1">
        <v>-21173</v>
      </c>
      <c r="AA17" s="1">
        <v>149</v>
      </c>
      <c r="AB17" s="1">
        <f t="shared" si="12"/>
        <v>159.43000000000004</v>
      </c>
      <c r="AC17" s="1">
        <f t="shared" si="12"/>
        <v>170.59010000000004</v>
      </c>
      <c r="AD17" s="1">
        <f t="shared" si="12"/>
        <v>182.53140700000006</v>
      </c>
      <c r="AE17" s="1">
        <f t="shared" si="12"/>
        <v>195.30860549000008</v>
      </c>
      <c r="AF17" s="1">
        <f t="shared" si="12"/>
        <v>208.98020787430011</v>
      </c>
      <c r="AG17" s="1">
        <f t="shared" si="12"/>
        <v>250.10839039848608</v>
      </c>
      <c r="AH17" s="1">
        <f t="shared" si="12"/>
        <v>268.10703844199463</v>
      </c>
      <c r="AI17" s="1">
        <f t="shared" si="12"/>
        <v>287.36513404528972</v>
      </c>
      <c r="AJ17" s="1">
        <f t="shared" si="12"/>
        <v>307.96901578258894</v>
      </c>
      <c r="AK17" s="1">
        <f t="shared" si="12"/>
        <v>330.01084884580115</v>
      </c>
    </row>
    <row r="18" spans="2:227" s="3" customFormat="1">
      <c r="B18" s="3" t="s">
        <v>29</v>
      </c>
      <c r="G18" s="3">
        <f t="shared" ref="G18:O18" si="13">+G12-SUM(G13:G17)</f>
        <v>164541</v>
      </c>
      <c r="H18" s="3">
        <f t="shared" si="13"/>
        <v>178384</v>
      </c>
      <c r="I18" s="3">
        <f t="shared" si="13"/>
        <v>176452</v>
      </c>
      <c r="J18" s="3">
        <f t="shared" si="13"/>
        <v>248548</v>
      </c>
      <c r="K18" s="3">
        <f t="shared" si="13"/>
        <v>177632</v>
      </c>
      <c r="L18" s="3">
        <f t="shared" si="13"/>
        <v>195403</v>
      </c>
      <c r="M18" s="3">
        <f t="shared" si="13"/>
        <v>189432</v>
      </c>
      <c r="N18" s="3">
        <f t="shared" si="13"/>
        <v>257052</v>
      </c>
      <c r="O18" s="3">
        <f t="shared" si="13"/>
        <v>210413</v>
      </c>
      <c r="P18" s="3">
        <f>+P12-SUM(P13:P17)</f>
        <v>196103</v>
      </c>
      <c r="Y18" s="3">
        <f>+Y12-SUM(Y15:Y17)</f>
        <v>3449539</v>
      </c>
      <c r="Z18" s="3">
        <f>+Z12-SUM(Z15:Z17)</f>
        <v>3656477</v>
      </c>
      <c r="AA18" s="3">
        <f>+AA12-SUM(AA15:AA17)</f>
        <v>3571460</v>
      </c>
      <c r="AB18" s="3">
        <f>+AB12-SUM(AB13:AB17)</f>
        <v>876885.33000000007</v>
      </c>
      <c r="AC18" s="3">
        <f t="shared" ref="AC18:AK18" si="14">+AC12-SUM(AC13:AC17)</f>
        <v>938267.30310000014</v>
      </c>
      <c r="AD18" s="3">
        <f t="shared" si="14"/>
        <v>1003946.0143170003</v>
      </c>
      <c r="AE18" s="3">
        <f t="shared" si="14"/>
        <v>1074222.2353191897</v>
      </c>
      <c r="AF18" s="3">
        <f t="shared" si="14"/>
        <v>1149417.7917915341</v>
      </c>
      <c r="AG18" s="3">
        <f t="shared" si="14"/>
        <v>1375628.0402078982</v>
      </c>
      <c r="AH18" s="3">
        <f t="shared" si="14"/>
        <v>1474622.8995768121</v>
      </c>
      <c r="AI18" s="3">
        <f t="shared" si="14"/>
        <v>1580544.8811252462</v>
      </c>
      <c r="AJ18" s="3">
        <f t="shared" si="14"/>
        <v>1693868.8580210162</v>
      </c>
      <c r="AK18" s="3">
        <f t="shared" si="14"/>
        <v>1815101.7505722297</v>
      </c>
    </row>
    <row r="19" spans="2:227">
      <c r="B19" s="1" t="s">
        <v>30</v>
      </c>
      <c r="G19" s="1">
        <v>49</v>
      </c>
      <c r="H19" s="1">
        <v>0</v>
      </c>
      <c r="I19" s="1">
        <v>0</v>
      </c>
      <c r="J19" s="1">
        <f>+Z19-SUM(G19:I19)</f>
        <v>-49</v>
      </c>
      <c r="K19" s="1">
        <v>-14964</v>
      </c>
      <c r="L19" s="1">
        <v>-14964</v>
      </c>
      <c r="M19" s="1">
        <v>28231</v>
      </c>
      <c r="N19" s="1">
        <f>+AA19-SUM(K19:M19)</f>
        <v>19410</v>
      </c>
      <c r="O19" s="1">
        <v>-18699</v>
      </c>
      <c r="P19" s="1">
        <v>11398</v>
      </c>
      <c r="Y19" s="1">
        <v>36758</v>
      </c>
      <c r="Z19" s="1">
        <v>0</v>
      </c>
      <c r="AA19" s="1">
        <v>17713</v>
      </c>
      <c r="AB19" s="1">
        <f>+AB$18*(AA19/AA$18)</f>
        <v>4348.9972869050762</v>
      </c>
      <c r="AC19" s="1">
        <f t="shared" ref="AC19:AK21" si="15">+AC$12*(AB19/AB$12)</f>
        <v>4653.4270969884319</v>
      </c>
      <c r="AD19" s="1">
        <f t="shared" si="15"/>
        <v>4979.1669937776223</v>
      </c>
      <c r="AE19" s="1">
        <f t="shared" si="15"/>
        <v>5327.7086833420562</v>
      </c>
      <c r="AF19" s="1">
        <f t="shared" si="15"/>
        <v>5700.6482911760013</v>
      </c>
      <c r="AG19" s="1">
        <f t="shared" si="15"/>
        <v>6822.5598148103336</v>
      </c>
      <c r="AH19" s="1">
        <f t="shared" si="15"/>
        <v>7313.5343585547862</v>
      </c>
      <c r="AI19" s="1">
        <f t="shared" si="15"/>
        <v>7838.8646322152563</v>
      </c>
      <c r="AJ19" s="1">
        <f t="shared" si="15"/>
        <v>8400.9058150241854</v>
      </c>
      <c r="AK19" s="1">
        <f t="shared" si="15"/>
        <v>9002.1720270942114</v>
      </c>
    </row>
    <row r="20" spans="2:227">
      <c r="B20" s="1" t="s">
        <v>31</v>
      </c>
      <c r="G20" s="1">
        <v>0</v>
      </c>
      <c r="H20" s="1">
        <v>219</v>
      </c>
      <c r="I20" s="1">
        <v>833</v>
      </c>
      <c r="J20" s="1">
        <f>+Z20-SUM(G20:I20)</f>
        <v>2110</v>
      </c>
      <c r="K20" s="1">
        <v>2537</v>
      </c>
      <c r="L20" s="1">
        <v>2537</v>
      </c>
      <c r="M20" s="1">
        <v>2707</v>
      </c>
      <c r="N20" s="1">
        <f>+AA20-SUM(K20:M20)</f>
        <v>3902</v>
      </c>
      <c r="O20" s="1">
        <v>3739</v>
      </c>
      <c r="P20" s="1">
        <v>4219</v>
      </c>
      <c r="Y20" s="1">
        <v>345</v>
      </c>
      <c r="Z20" s="1">
        <v>3162</v>
      </c>
      <c r="AA20" s="1">
        <v>11683</v>
      </c>
      <c r="AB20" s="1">
        <f t="shared" ref="AB20:AB21" si="16">+AB$18*(AA20/AA$18)</f>
        <v>2868.477124310506</v>
      </c>
      <c r="AC20" s="1">
        <f t="shared" si="15"/>
        <v>3069.2705230122419</v>
      </c>
      <c r="AD20" s="1">
        <f t="shared" si="15"/>
        <v>3284.1194596230989</v>
      </c>
      <c r="AE20" s="1">
        <f t="shared" si="15"/>
        <v>3514.0078217967161</v>
      </c>
      <c r="AF20" s="1">
        <f t="shared" si="15"/>
        <v>3759.988369322487</v>
      </c>
      <c r="AG20" s="1">
        <f t="shared" si="15"/>
        <v>4499.9698705148257</v>
      </c>
      <c r="AH20" s="1">
        <f t="shared" si="15"/>
        <v>4823.8029645455626</v>
      </c>
      <c r="AI20" s="1">
        <f t="shared" si="15"/>
        <v>5170.2961383261345</v>
      </c>
      <c r="AJ20" s="1">
        <f t="shared" si="15"/>
        <v>5541.0028022880106</v>
      </c>
      <c r="AK20" s="1">
        <f t="shared" si="15"/>
        <v>5937.5811998273384</v>
      </c>
    </row>
    <row r="21" spans="2:227">
      <c r="B21" s="1" t="s">
        <v>32</v>
      </c>
      <c r="G21" s="1">
        <v>-46872</v>
      </c>
      <c r="H21" s="1">
        <v>-44851</v>
      </c>
      <c r="I21" s="1">
        <v>-45437</v>
      </c>
      <c r="J21" s="1">
        <f>+Z21-SUM(G21:I21)</f>
        <v>-61094</v>
      </c>
      <c r="K21" s="1">
        <v>-44932</v>
      </c>
      <c r="L21" s="1">
        <v>-44932</v>
      </c>
      <c r="M21" s="1">
        <v>-44796</v>
      </c>
      <c r="N21" s="1">
        <f>+AA21-SUM(K21:M21)</f>
        <v>-61815</v>
      </c>
      <c r="O21" s="1">
        <v>-45846</v>
      </c>
      <c r="P21" s="1">
        <v>-44721</v>
      </c>
      <c r="Y21" s="1">
        <v>-191806</v>
      </c>
      <c r="Z21" s="1">
        <v>-198254</v>
      </c>
      <c r="AA21" s="1">
        <v>-196475</v>
      </c>
      <c r="AB21" s="1">
        <f t="shared" si="16"/>
        <v>-48239.66815021028</v>
      </c>
      <c r="AC21" s="1">
        <f t="shared" si="15"/>
        <v>-51616.444920725007</v>
      </c>
      <c r="AD21" s="1">
        <f t="shared" si="15"/>
        <v>-55229.596065175756</v>
      </c>
      <c r="AE21" s="1">
        <f t="shared" si="15"/>
        <v>-59095.667789738072</v>
      </c>
      <c r="AF21" s="1">
        <f t="shared" si="15"/>
        <v>-63232.36453501974</v>
      </c>
      <c r="AG21" s="1">
        <f t="shared" si="15"/>
        <v>-75676.759420474235</v>
      </c>
      <c r="AH21" s="1">
        <f t="shared" si="15"/>
        <v>-81122.715694521059</v>
      </c>
      <c r="AI21" s="1">
        <f t="shared" si="15"/>
        <v>-86949.750387539782</v>
      </c>
      <c r="AJ21" s="1">
        <f t="shared" si="15"/>
        <v>-93183.98746722049</v>
      </c>
      <c r="AK21" s="1">
        <f t="shared" si="15"/>
        <v>-99853.313895067738</v>
      </c>
    </row>
    <row r="22" spans="2:227">
      <c r="B22" s="1" t="s">
        <v>33</v>
      </c>
      <c r="G22" s="1">
        <f t="shared" ref="G22:O22" si="17">+SUM(G18:G21)</f>
        <v>117718</v>
      </c>
      <c r="H22" s="1">
        <f t="shared" si="17"/>
        <v>133752</v>
      </c>
      <c r="I22" s="1">
        <f t="shared" si="17"/>
        <v>131848</v>
      </c>
      <c r="J22" s="1">
        <f t="shared" si="17"/>
        <v>189515</v>
      </c>
      <c r="K22" s="1">
        <f t="shared" si="17"/>
        <v>120273</v>
      </c>
      <c r="L22" s="1">
        <f t="shared" si="17"/>
        <v>138044</v>
      </c>
      <c r="M22" s="1">
        <f t="shared" si="17"/>
        <v>175574</v>
      </c>
      <c r="N22" s="1">
        <f t="shared" si="17"/>
        <v>218549</v>
      </c>
      <c r="O22" s="1">
        <f t="shared" si="17"/>
        <v>149607</v>
      </c>
      <c r="P22" s="1">
        <f>+SUM(P18:P21)</f>
        <v>166999</v>
      </c>
      <c r="Y22" s="1">
        <f>+SUM(Y18:Y21)</f>
        <v>3294836</v>
      </c>
      <c r="Z22" s="1">
        <f>+SUM(Z18:Z21)</f>
        <v>3461385</v>
      </c>
      <c r="AA22" s="1">
        <f>+SUM(AA18:AA21)</f>
        <v>3404381</v>
      </c>
      <c r="AB22" s="1">
        <f>+SUM(AB18:AB21)</f>
        <v>835863.13626100542</v>
      </c>
      <c r="AC22" s="1">
        <f t="shared" ref="AC22:AK22" si="18">+SUM(AC18:AC21)</f>
        <v>894373.55579927587</v>
      </c>
      <c r="AD22" s="1">
        <f t="shared" si="18"/>
        <v>956979.7047052253</v>
      </c>
      <c r="AE22" s="1">
        <f t="shared" si="18"/>
        <v>1023968.2840345904</v>
      </c>
      <c r="AF22" s="1">
        <f t="shared" si="18"/>
        <v>1095646.0639170127</v>
      </c>
      <c r="AG22" s="1">
        <f t="shared" si="18"/>
        <v>1311273.8104727492</v>
      </c>
      <c r="AH22" s="1">
        <f t="shared" si="18"/>
        <v>1405637.5212053913</v>
      </c>
      <c r="AI22" s="1">
        <f t="shared" si="18"/>
        <v>1506604.2915082478</v>
      </c>
      <c r="AJ22" s="1">
        <f t="shared" si="18"/>
        <v>1614626.7791711078</v>
      </c>
      <c r="AK22" s="1">
        <f t="shared" si="18"/>
        <v>1730188.1899040837</v>
      </c>
    </row>
    <row r="23" spans="2:227">
      <c r="B23" s="1" t="s">
        <v>34</v>
      </c>
      <c r="G23" s="1">
        <v>26754</v>
      </c>
      <c r="H23" s="1">
        <v>30989</v>
      </c>
      <c r="I23" s="1">
        <v>31344</v>
      </c>
      <c r="J23" s="1">
        <f>+Z23-SUM(G23:I23)</f>
        <v>31483</v>
      </c>
      <c r="K23" s="1">
        <v>28664</v>
      </c>
      <c r="L23" s="1">
        <v>28664</v>
      </c>
      <c r="M23" s="1">
        <v>27898</v>
      </c>
      <c r="N23" s="1">
        <f>+AA23-SUM(K23:M23)</f>
        <v>48096</v>
      </c>
      <c r="O23" s="1">
        <v>23783</v>
      </c>
      <c r="P23" s="1">
        <v>25021</v>
      </c>
      <c r="Y23" s="1">
        <v>115238</v>
      </c>
      <c r="Z23" s="1">
        <v>120570</v>
      </c>
      <c r="AA23" s="1">
        <v>133322</v>
      </c>
      <c r="AB23" s="1">
        <f>+AB22*(AA23/AA22)</f>
        <v>32733.981611514624</v>
      </c>
      <c r="AC23" s="1">
        <f t="shared" ref="AC23:AK23" si="19">+AC22*(AB23/AB22)</f>
        <v>35025.360324320653</v>
      </c>
      <c r="AD23" s="1">
        <f t="shared" si="19"/>
        <v>37477.135547023099</v>
      </c>
      <c r="AE23" s="1">
        <f t="shared" si="19"/>
        <v>40100.535035314686</v>
      </c>
      <c r="AF23" s="1">
        <f t="shared" si="19"/>
        <v>42907.572487786747</v>
      </c>
      <c r="AG23" s="1">
        <f t="shared" si="19"/>
        <v>51351.962944173363</v>
      </c>
      <c r="AH23" s="1">
        <f t="shared" si="19"/>
        <v>55047.424363531922</v>
      </c>
      <c r="AI23" s="1">
        <f t="shared" si="19"/>
        <v>59001.474086614449</v>
      </c>
      <c r="AJ23" s="1">
        <f t="shared" si="19"/>
        <v>63231.839048758178</v>
      </c>
      <c r="AK23" s="1">
        <f t="shared" si="19"/>
        <v>67757.442499647426</v>
      </c>
    </row>
    <row r="24" spans="2:227" s="3" customFormat="1">
      <c r="B24" s="3" t="s">
        <v>35</v>
      </c>
      <c r="G24" s="3">
        <f t="shared" ref="G24:O24" si="20">+G22-G23</f>
        <v>90964</v>
      </c>
      <c r="H24" s="3">
        <f t="shared" si="20"/>
        <v>102763</v>
      </c>
      <c r="I24" s="3">
        <f t="shared" si="20"/>
        <v>100504</v>
      </c>
      <c r="J24" s="3">
        <f t="shared" si="20"/>
        <v>158032</v>
      </c>
      <c r="K24" s="3">
        <f t="shared" si="20"/>
        <v>91609</v>
      </c>
      <c r="L24" s="3">
        <f t="shared" si="20"/>
        <v>109380</v>
      </c>
      <c r="M24" s="3">
        <f t="shared" si="20"/>
        <v>147676</v>
      </c>
      <c r="N24" s="3">
        <f t="shared" si="20"/>
        <v>170453</v>
      </c>
      <c r="O24" s="3">
        <f t="shared" si="20"/>
        <v>125824</v>
      </c>
      <c r="P24" s="3">
        <f>+P22-P23</f>
        <v>141978</v>
      </c>
      <c r="Y24" s="3">
        <f t="shared" ref="Y24:Z24" si="21">+Y22-Y23</f>
        <v>3179598</v>
      </c>
      <c r="Z24" s="3">
        <f t="shared" si="21"/>
        <v>3340815</v>
      </c>
      <c r="AA24" s="3">
        <f>+AA22-AA23</f>
        <v>3271059</v>
      </c>
      <c r="AB24" s="3">
        <f>+AB22-AB23</f>
        <v>803129.15464949084</v>
      </c>
      <c r="AC24" s="3">
        <f t="shared" ref="AC24:AK24" si="22">+AC22-AC23</f>
        <v>859348.19547495525</v>
      </c>
      <c r="AD24" s="3">
        <f t="shared" si="22"/>
        <v>919502.56915820215</v>
      </c>
      <c r="AE24" s="3">
        <f t="shared" si="22"/>
        <v>983867.74899927562</v>
      </c>
      <c r="AF24" s="3">
        <f t="shared" si="22"/>
        <v>1052738.491429226</v>
      </c>
      <c r="AG24" s="3">
        <f t="shared" si="22"/>
        <v>1259921.8475285759</v>
      </c>
      <c r="AH24" s="3">
        <f t="shared" si="22"/>
        <v>1350590.0968418594</v>
      </c>
      <c r="AI24" s="3">
        <f t="shared" si="22"/>
        <v>1447602.8174216333</v>
      </c>
      <c r="AJ24" s="3">
        <f t="shared" si="22"/>
        <v>1551394.9401223497</v>
      </c>
      <c r="AK24" s="3">
        <f t="shared" si="22"/>
        <v>1662430.7474044363</v>
      </c>
      <c r="AL24" s="3">
        <f>+AK24*(1+$AN$28)</f>
        <v>1645806.439930392</v>
      </c>
      <c r="AM24" s="3">
        <f t="shared" ref="AM24:CX24" si="23">+AL24*(1+$AN$28)</f>
        <v>1629348.3755310881</v>
      </c>
      <c r="AN24" s="3">
        <f t="shared" ref="AN24" si="24">+AM24*(1+$AN$28)</f>
        <v>1613054.8917757771</v>
      </c>
      <c r="AO24" s="3">
        <f t="shared" si="23"/>
        <v>1596924.3428580193</v>
      </c>
      <c r="AP24" s="3">
        <f t="shared" si="23"/>
        <v>1580955.0994294391</v>
      </c>
      <c r="AQ24" s="3">
        <f t="shared" si="23"/>
        <v>1565145.5484351446</v>
      </c>
      <c r="AR24" s="3">
        <f t="shared" si="23"/>
        <v>1549494.0929507932</v>
      </c>
      <c r="AS24" s="3">
        <f t="shared" si="23"/>
        <v>1533999.1520212854</v>
      </c>
      <c r="AT24" s="3">
        <f t="shared" si="23"/>
        <v>1518659.1605010724</v>
      </c>
      <c r="AU24" s="3">
        <f t="shared" si="23"/>
        <v>1503472.5688960617</v>
      </c>
      <c r="AV24" s="3">
        <f t="shared" si="23"/>
        <v>1488437.8432071011</v>
      </c>
      <c r="AW24" s="3">
        <f t="shared" si="23"/>
        <v>1473553.46477503</v>
      </c>
      <c r="AX24" s="3">
        <f t="shared" si="23"/>
        <v>1458817.9301272798</v>
      </c>
      <c r="AY24" s="3">
        <f t="shared" si="23"/>
        <v>1444229.750826007</v>
      </c>
      <c r="AZ24" s="3">
        <f t="shared" si="23"/>
        <v>1429787.453317747</v>
      </c>
      <c r="BA24" s="3">
        <f t="shared" si="23"/>
        <v>1415489.5787845694</v>
      </c>
      <c r="BB24" s="3">
        <f t="shared" si="23"/>
        <v>1401334.6829967238</v>
      </c>
      <c r="BC24" s="3">
        <f t="shared" si="23"/>
        <v>1387321.3361667565</v>
      </c>
      <c r="BD24" s="3">
        <f t="shared" si="23"/>
        <v>1373448.122805089</v>
      </c>
      <c r="BE24" s="3">
        <f t="shared" si="23"/>
        <v>1359713.641577038</v>
      </c>
      <c r="BF24" s="3">
        <f t="shared" si="23"/>
        <v>1346116.5051612677</v>
      </c>
      <c r="BG24" s="3">
        <f t="shared" si="23"/>
        <v>1332655.3401096549</v>
      </c>
      <c r="BH24" s="3">
        <f t="shared" si="23"/>
        <v>1319328.7867085584</v>
      </c>
      <c r="BI24" s="3">
        <f t="shared" si="23"/>
        <v>1306135.4988414729</v>
      </c>
      <c r="BJ24" s="3">
        <f t="shared" si="23"/>
        <v>1293074.1438530581</v>
      </c>
      <c r="BK24" s="3">
        <f t="shared" si="23"/>
        <v>1280143.4024145275</v>
      </c>
      <c r="BL24" s="3">
        <f t="shared" si="23"/>
        <v>1267341.9683903821</v>
      </c>
      <c r="BM24" s="3">
        <f t="shared" si="23"/>
        <v>1254668.5487064782</v>
      </c>
      <c r="BN24" s="3">
        <f t="shared" si="23"/>
        <v>1242121.8632194134</v>
      </c>
      <c r="BO24" s="3">
        <f t="shared" si="23"/>
        <v>1229700.6445872192</v>
      </c>
      <c r="BP24" s="3">
        <f t="shared" si="23"/>
        <v>1217403.6381413471</v>
      </c>
      <c r="BQ24" s="3">
        <f t="shared" si="23"/>
        <v>1205229.6017599336</v>
      </c>
      <c r="BR24" s="3">
        <f t="shared" si="23"/>
        <v>1193177.3057423343</v>
      </c>
      <c r="BS24" s="3">
        <f t="shared" si="23"/>
        <v>1181245.532684911</v>
      </c>
      <c r="BT24" s="3">
        <f t="shared" si="23"/>
        <v>1169433.0773580619</v>
      </c>
      <c r="BU24" s="3">
        <f t="shared" si="23"/>
        <v>1157738.7465844813</v>
      </c>
      <c r="BV24" s="3">
        <f t="shared" si="23"/>
        <v>1146161.3591186365</v>
      </c>
      <c r="BW24" s="3">
        <f t="shared" si="23"/>
        <v>1134699.74552745</v>
      </c>
      <c r="BX24" s="3">
        <f t="shared" si="23"/>
        <v>1123352.7480721755</v>
      </c>
      <c r="BY24" s="3">
        <f t="shared" si="23"/>
        <v>1112119.2205914538</v>
      </c>
      <c r="BZ24" s="3">
        <f t="shared" si="23"/>
        <v>1100998.0283855393</v>
      </c>
      <c r="CA24" s="3">
        <f t="shared" si="23"/>
        <v>1089988.0481016838</v>
      </c>
      <c r="CB24" s="3">
        <f t="shared" si="23"/>
        <v>1079088.167620667</v>
      </c>
      <c r="CC24" s="3">
        <f t="shared" si="23"/>
        <v>1068297.2859444604</v>
      </c>
      <c r="CD24" s="3">
        <f t="shared" si="23"/>
        <v>1057614.3130850159</v>
      </c>
      <c r="CE24" s="3">
        <f t="shared" si="23"/>
        <v>1047038.1699541657</v>
      </c>
      <c r="CF24" s="3">
        <f t="shared" si="23"/>
        <v>1036567.788254624</v>
      </c>
      <c r="CG24" s="3">
        <f t="shared" si="23"/>
        <v>1026202.1103720778</v>
      </c>
      <c r="CH24" s="3">
        <f t="shared" si="23"/>
        <v>1015940.089268357</v>
      </c>
      <c r="CI24" s="3">
        <f t="shared" si="23"/>
        <v>1005780.6883756735</v>
      </c>
      <c r="CJ24" s="3">
        <f t="shared" si="23"/>
        <v>995722.88149191672</v>
      </c>
      <c r="CK24" s="3">
        <f t="shared" si="23"/>
        <v>985765.65267699759</v>
      </c>
      <c r="CL24" s="3">
        <f t="shared" si="23"/>
        <v>975907.99615022761</v>
      </c>
      <c r="CM24" s="3">
        <f t="shared" si="23"/>
        <v>966148.91618872527</v>
      </c>
      <c r="CN24" s="3">
        <f t="shared" si="23"/>
        <v>956487.42702683806</v>
      </c>
      <c r="CO24" s="3">
        <f t="shared" si="23"/>
        <v>946922.5527565697</v>
      </c>
      <c r="CP24" s="3">
        <f t="shared" si="23"/>
        <v>937453.327229004</v>
      </c>
      <c r="CQ24" s="3">
        <f t="shared" si="23"/>
        <v>928078.79395671398</v>
      </c>
      <c r="CR24" s="3">
        <f t="shared" si="23"/>
        <v>918798.00601714686</v>
      </c>
      <c r="CS24" s="3">
        <f t="shared" si="23"/>
        <v>909610.02595697541</v>
      </c>
      <c r="CT24" s="3">
        <f t="shared" si="23"/>
        <v>900513.92569740571</v>
      </c>
      <c r="CU24" s="3">
        <f t="shared" si="23"/>
        <v>891508.78644043161</v>
      </c>
      <c r="CV24" s="3">
        <f t="shared" si="23"/>
        <v>882593.69857602729</v>
      </c>
      <c r="CW24" s="3">
        <f t="shared" si="23"/>
        <v>873767.76159026707</v>
      </c>
      <c r="CX24" s="3">
        <f t="shared" si="23"/>
        <v>865030.08397436433</v>
      </c>
      <c r="CY24" s="3">
        <f t="shared" ref="CY24:FJ24" si="25">+CX24*(1+$AN$28)</f>
        <v>856379.78313462064</v>
      </c>
      <c r="CZ24" s="3">
        <f t="shared" si="25"/>
        <v>847815.98530327447</v>
      </c>
      <c r="DA24" s="3">
        <f t="shared" si="25"/>
        <v>839337.82545024168</v>
      </c>
      <c r="DB24" s="3">
        <f t="shared" si="25"/>
        <v>830944.44719573925</v>
      </c>
      <c r="DC24" s="3">
        <f t="shared" si="25"/>
        <v>822635.00272378186</v>
      </c>
      <c r="DD24" s="3">
        <f t="shared" si="25"/>
        <v>814408.65269654407</v>
      </c>
      <c r="DE24" s="3">
        <f t="shared" si="25"/>
        <v>806264.56616957858</v>
      </c>
      <c r="DF24" s="3">
        <f t="shared" si="25"/>
        <v>798201.92050788284</v>
      </c>
      <c r="DG24" s="3">
        <f t="shared" si="25"/>
        <v>790219.90130280401</v>
      </c>
      <c r="DH24" s="3">
        <f t="shared" si="25"/>
        <v>782317.70228977595</v>
      </c>
      <c r="DI24" s="3">
        <f t="shared" si="25"/>
        <v>774494.52526687819</v>
      </c>
      <c r="DJ24" s="3">
        <f t="shared" si="25"/>
        <v>766749.58001420938</v>
      </c>
      <c r="DK24" s="3">
        <f t="shared" si="25"/>
        <v>759082.08421406732</v>
      </c>
      <c r="DL24" s="3">
        <f t="shared" si="25"/>
        <v>751491.26337192662</v>
      </c>
      <c r="DM24" s="3">
        <f t="shared" si="25"/>
        <v>743976.35073820734</v>
      </c>
      <c r="DN24" s="3">
        <f t="shared" si="25"/>
        <v>736536.58723082521</v>
      </c>
      <c r="DO24" s="3">
        <f t="shared" si="25"/>
        <v>729171.22135851695</v>
      </c>
      <c r="DP24" s="3">
        <f t="shared" si="25"/>
        <v>721879.5091449318</v>
      </c>
      <c r="DQ24" s="3">
        <f t="shared" si="25"/>
        <v>714660.71405348252</v>
      </c>
      <c r="DR24" s="3">
        <f t="shared" si="25"/>
        <v>707514.10691294773</v>
      </c>
      <c r="DS24" s="3">
        <f t="shared" si="25"/>
        <v>700438.96584381827</v>
      </c>
      <c r="DT24" s="3">
        <f t="shared" si="25"/>
        <v>693434.57618538011</v>
      </c>
      <c r="DU24" s="3">
        <f t="shared" si="25"/>
        <v>686500.23042352626</v>
      </c>
      <c r="DV24" s="3">
        <f t="shared" si="25"/>
        <v>679635.22811929102</v>
      </c>
      <c r="DW24" s="3">
        <f t="shared" si="25"/>
        <v>672838.87583809812</v>
      </c>
      <c r="DX24" s="3">
        <f t="shared" si="25"/>
        <v>666110.4870797171</v>
      </c>
      <c r="DY24" s="3">
        <f t="shared" si="25"/>
        <v>659449.38220891997</v>
      </c>
      <c r="DZ24" s="3">
        <f t="shared" si="25"/>
        <v>652854.8883868308</v>
      </c>
      <c r="EA24" s="3">
        <f t="shared" si="25"/>
        <v>646326.33950296254</v>
      </c>
      <c r="EB24" s="3">
        <f t="shared" si="25"/>
        <v>639863.07610793295</v>
      </c>
      <c r="EC24" s="3">
        <f t="shared" si="25"/>
        <v>633464.44534685358</v>
      </c>
      <c r="ED24" s="3">
        <f t="shared" si="25"/>
        <v>627129.80089338508</v>
      </c>
      <c r="EE24" s="3">
        <f t="shared" si="25"/>
        <v>620858.50288445118</v>
      </c>
      <c r="EF24" s="3">
        <f t="shared" si="25"/>
        <v>614649.91785560665</v>
      </c>
      <c r="EG24" s="3">
        <f t="shared" si="25"/>
        <v>608503.41867705062</v>
      </c>
      <c r="EH24" s="3">
        <f t="shared" si="25"/>
        <v>602418.38449028006</v>
      </c>
      <c r="EI24" s="3">
        <f t="shared" si="25"/>
        <v>596394.20064537728</v>
      </c>
      <c r="EJ24" s="3">
        <f t="shared" si="25"/>
        <v>590430.25863892352</v>
      </c>
      <c r="EK24" s="3">
        <f t="shared" si="25"/>
        <v>584525.95605253428</v>
      </c>
      <c r="EL24" s="3">
        <f t="shared" si="25"/>
        <v>578680.69649200898</v>
      </c>
      <c r="EM24" s="3">
        <f t="shared" si="25"/>
        <v>572893.88952708885</v>
      </c>
      <c r="EN24" s="3">
        <f t="shared" si="25"/>
        <v>567164.95063181792</v>
      </c>
      <c r="EO24" s="3">
        <f t="shared" si="25"/>
        <v>561493.30112549977</v>
      </c>
      <c r="EP24" s="3">
        <f t="shared" si="25"/>
        <v>555878.36811424477</v>
      </c>
      <c r="EQ24" s="3">
        <f t="shared" si="25"/>
        <v>550319.58443310228</v>
      </c>
      <c r="ER24" s="3">
        <f t="shared" si="25"/>
        <v>544816.38858877122</v>
      </c>
      <c r="ES24" s="3">
        <f t="shared" si="25"/>
        <v>539368.22470288351</v>
      </c>
      <c r="ET24" s="3">
        <f t="shared" si="25"/>
        <v>533974.54245585471</v>
      </c>
      <c r="EU24" s="3">
        <f t="shared" si="25"/>
        <v>528634.79703129618</v>
      </c>
      <c r="EV24" s="3">
        <f t="shared" si="25"/>
        <v>523348.4490609832</v>
      </c>
      <c r="EW24" s="3">
        <f t="shared" si="25"/>
        <v>518114.96457037335</v>
      </c>
      <c r="EX24" s="3">
        <f t="shared" si="25"/>
        <v>512933.81492466963</v>
      </c>
      <c r="EY24" s="3">
        <f t="shared" si="25"/>
        <v>507804.47677542293</v>
      </c>
      <c r="EZ24" s="3">
        <f t="shared" si="25"/>
        <v>502726.43200766871</v>
      </c>
      <c r="FA24" s="3">
        <f t="shared" si="25"/>
        <v>497699.16768759204</v>
      </c>
      <c r="FB24" s="3">
        <f t="shared" si="25"/>
        <v>492722.17601071612</v>
      </c>
      <c r="FC24" s="3">
        <f t="shared" si="25"/>
        <v>487794.95425060898</v>
      </c>
      <c r="FD24" s="3">
        <f t="shared" si="25"/>
        <v>482917.0047081029</v>
      </c>
      <c r="FE24" s="3">
        <f t="shared" si="25"/>
        <v>478087.83466102189</v>
      </c>
      <c r="FF24" s="3">
        <f t="shared" si="25"/>
        <v>473306.95631441165</v>
      </c>
      <c r="FG24" s="3">
        <f t="shared" si="25"/>
        <v>468573.88675126754</v>
      </c>
      <c r="FH24" s="3">
        <f t="shared" si="25"/>
        <v>463888.14788375486</v>
      </c>
      <c r="FI24" s="3">
        <f t="shared" si="25"/>
        <v>459249.26640491729</v>
      </c>
      <c r="FJ24" s="3">
        <f t="shared" si="25"/>
        <v>454656.77374086808</v>
      </c>
      <c r="FK24" s="3">
        <f t="shared" ref="FK24:HS24" si="26">+FJ24*(1+$AN$28)</f>
        <v>450110.2060034594</v>
      </c>
      <c r="FL24" s="3">
        <f t="shared" si="26"/>
        <v>445609.10394342482</v>
      </c>
      <c r="FM24" s="3">
        <f t="shared" si="26"/>
        <v>441153.01290399057</v>
      </c>
      <c r="FN24" s="3">
        <f t="shared" si="26"/>
        <v>436741.48277495068</v>
      </c>
      <c r="FO24" s="3">
        <f t="shared" si="26"/>
        <v>432374.0679472012</v>
      </c>
      <c r="FP24" s="3">
        <f t="shared" si="26"/>
        <v>428050.32726772915</v>
      </c>
      <c r="FQ24" s="3">
        <f t="shared" si="26"/>
        <v>423769.82399505185</v>
      </c>
      <c r="FR24" s="3">
        <f t="shared" si="26"/>
        <v>419532.12575510133</v>
      </c>
      <c r="FS24" s="3">
        <f t="shared" si="26"/>
        <v>415336.8044975503</v>
      </c>
      <c r="FT24" s="3">
        <f t="shared" si="26"/>
        <v>411183.4364525748</v>
      </c>
      <c r="FU24" s="3">
        <f t="shared" si="26"/>
        <v>407071.60208804905</v>
      </c>
      <c r="FV24" s="3">
        <f t="shared" si="26"/>
        <v>403000.88606716855</v>
      </c>
      <c r="FW24" s="3">
        <f t="shared" si="26"/>
        <v>398970.87720649684</v>
      </c>
      <c r="FX24" s="3">
        <f t="shared" si="26"/>
        <v>394981.16843443189</v>
      </c>
      <c r="FY24" s="3">
        <f t="shared" si="26"/>
        <v>391031.35675008758</v>
      </c>
      <c r="FZ24" s="3">
        <f t="shared" si="26"/>
        <v>387121.04318258673</v>
      </c>
      <c r="GA24" s="3">
        <f t="shared" si="26"/>
        <v>383249.83275076083</v>
      </c>
      <c r="GB24" s="3">
        <f t="shared" si="26"/>
        <v>379417.3344232532</v>
      </c>
      <c r="GC24" s="3">
        <f t="shared" si="26"/>
        <v>375623.16107902065</v>
      </c>
      <c r="GD24" s="3">
        <f t="shared" si="26"/>
        <v>371866.92946823046</v>
      </c>
      <c r="GE24" s="3">
        <f t="shared" si="26"/>
        <v>368148.26017354813</v>
      </c>
      <c r="GF24" s="3">
        <f t="shared" si="26"/>
        <v>364466.77757181262</v>
      </c>
      <c r="GG24" s="3">
        <f t="shared" si="26"/>
        <v>360822.10979609448</v>
      </c>
      <c r="GH24" s="3">
        <f t="shared" si="26"/>
        <v>357213.88869813352</v>
      </c>
      <c r="GI24" s="3">
        <f t="shared" si="26"/>
        <v>353641.74981115217</v>
      </c>
      <c r="GJ24" s="3">
        <f t="shared" si="26"/>
        <v>350105.33231304062</v>
      </c>
      <c r="GK24" s="3">
        <f t="shared" si="26"/>
        <v>346604.27898991021</v>
      </c>
      <c r="GL24" s="3">
        <f t="shared" si="26"/>
        <v>343138.2362000111</v>
      </c>
      <c r="GM24" s="3">
        <f t="shared" si="26"/>
        <v>339706.85383801098</v>
      </c>
      <c r="GN24" s="3">
        <f t="shared" si="26"/>
        <v>336309.78529963089</v>
      </c>
      <c r="GO24" s="3">
        <f t="shared" si="26"/>
        <v>332946.68744663458</v>
      </c>
      <c r="GP24" s="3">
        <f t="shared" si="26"/>
        <v>329617.22057216824</v>
      </c>
      <c r="GQ24" s="3">
        <f t="shared" si="26"/>
        <v>326321.04836644657</v>
      </c>
      <c r="GR24" s="3">
        <f t="shared" si="26"/>
        <v>323057.8378827821</v>
      </c>
      <c r="GS24" s="3">
        <f t="shared" si="26"/>
        <v>319827.25950395426</v>
      </c>
      <c r="GT24" s="3">
        <f t="shared" si="26"/>
        <v>316628.9869089147</v>
      </c>
      <c r="GU24" s="3">
        <f t="shared" si="26"/>
        <v>313462.69703982555</v>
      </c>
      <c r="GV24" s="3">
        <f t="shared" si="26"/>
        <v>310328.07006942731</v>
      </c>
      <c r="GW24" s="3">
        <f t="shared" si="26"/>
        <v>307224.78936873301</v>
      </c>
      <c r="GX24" s="3">
        <f t="shared" si="26"/>
        <v>304152.54147504567</v>
      </c>
      <c r="GY24" s="3">
        <f t="shared" si="26"/>
        <v>301111.01606029522</v>
      </c>
      <c r="GZ24" s="3">
        <f t="shared" si="26"/>
        <v>298099.90589969227</v>
      </c>
      <c r="HA24" s="3">
        <f t="shared" si="26"/>
        <v>295118.90684069536</v>
      </c>
      <c r="HB24" s="3">
        <f t="shared" si="26"/>
        <v>292167.71777228842</v>
      </c>
      <c r="HC24" s="3">
        <f t="shared" si="26"/>
        <v>289246.04059456551</v>
      </c>
      <c r="HD24" s="3">
        <f t="shared" si="26"/>
        <v>286353.58018861985</v>
      </c>
      <c r="HE24" s="3">
        <f t="shared" si="26"/>
        <v>283490.04438673367</v>
      </c>
      <c r="HF24" s="3">
        <f t="shared" si="26"/>
        <v>280655.14394286636</v>
      </c>
      <c r="HG24" s="3">
        <f t="shared" si="26"/>
        <v>277848.59250343771</v>
      </c>
      <c r="HH24" s="3">
        <f t="shared" si="26"/>
        <v>275070.10657840333</v>
      </c>
      <c r="HI24" s="3">
        <f t="shared" si="26"/>
        <v>272319.4055126193</v>
      </c>
      <c r="HJ24" s="3">
        <f t="shared" si="26"/>
        <v>269596.21145749307</v>
      </c>
      <c r="HK24" s="3">
        <f t="shared" si="26"/>
        <v>266900.24934291816</v>
      </c>
      <c r="HL24" s="3">
        <f t="shared" si="26"/>
        <v>264231.24684948899</v>
      </c>
      <c r="HM24" s="3">
        <f t="shared" si="26"/>
        <v>261588.93438099409</v>
      </c>
      <c r="HN24" s="3">
        <f t="shared" si="26"/>
        <v>258973.04503718414</v>
      </c>
      <c r="HO24" s="3">
        <f t="shared" si="26"/>
        <v>256383.31458681231</v>
      </c>
      <c r="HP24" s="3">
        <f t="shared" si="26"/>
        <v>253819.48144094419</v>
      </c>
      <c r="HQ24" s="3">
        <f t="shared" si="26"/>
        <v>251281.28662653474</v>
      </c>
      <c r="HR24" s="3">
        <f t="shared" si="26"/>
        <v>248768.47376026938</v>
      </c>
      <c r="HS24" s="3">
        <f t="shared" si="26"/>
        <v>246280.78902266669</v>
      </c>
    </row>
    <row r="25" spans="2:227" s="6" customFormat="1">
      <c r="B25" s="6" t="s">
        <v>37</v>
      </c>
      <c r="G25" s="6">
        <v>2.5</v>
      </c>
      <c r="H25" s="6">
        <v>2.82</v>
      </c>
      <c r="I25" s="6">
        <v>2.79</v>
      </c>
      <c r="J25" s="6">
        <f>+Z25-SUM(G25:I25)</f>
        <v>4.42</v>
      </c>
      <c r="K25" s="6">
        <v>3.08</v>
      </c>
      <c r="L25" s="6">
        <v>3.08</v>
      </c>
      <c r="M25" s="6">
        <v>4.18</v>
      </c>
      <c r="N25" s="6">
        <f>+AA25-SUM(K25:M25)</f>
        <v>3.1999999999999993</v>
      </c>
      <c r="O25" s="6">
        <v>3.58</v>
      </c>
      <c r="P25" s="6">
        <v>4.03</v>
      </c>
      <c r="Y25" s="6">
        <v>14.66</v>
      </c>
      <c r="Z25" s="6">
        <v>12.53</v>
      </c>
      <c r="AA25" s="6">
        <v>13.54</v>
      </c>
      <c r="AB25" s="6">
        <f>+AB24/AB26</f>
        <v>3.324418408214008</v>
      </c>
      <c r="AC25" s="6">
        <f t="shared" ref="AC25:AK25" si="27">+AC24/AC26</f>
        <v>3.5571276967889891</v>
      </c>
      <c r="AD25" s="6">
        <f t="shared" si="27"/>
        <v>3.806126635564218</v>
      </c>
      <c r="AE25" s="6">
        <f t="shared" si="27"/>
        <v>4.0725555000537108</v>
      </c>
      <c r="AF25" s="6">
        <f t="shared" si="27"/>
        <v>4.3576343850574748</v>
      </c>
      <c r="AG25" s="6">
        <f t="shared" si="27"/>
        <v>5.215235131967022</v>
      </c>
      <c r="AH25" s="6">
        <f t="shared" si="27"/>
        <v>5.5905411401135767</v>
      </c>
      <c r="AI25" s="6">
        <f t="shared" si="27"/>
        <v>5.9921090227626319</v>
      </c>
      <c r="AJ25" s="6">
        <f t="shared" si="27"/>
        <v>6.4217391032251676</v>
      </c>
      <c r="AK25" s="6">
        <f t="shared" si="27"/>
        <v>6.8813532008612706</v>
      </c>
    </row>
    <row r="26" spans="2:227">
      <c r="B26" s="1" t="s">
        <v>36</v>
      </c>
      <c r="G26" s="1">
        <f t="shared" ref="G26:O26" si="28">+G24/G25</f>
        <v>36385.599999999999</v>
      </c>
      <c r="H26" s="1">
        <f t="shared" si="28"/>
        <v>36440.78014184397</v>
      </c>
      <c r="I26" s="1">
        <f t="shared" si="28"/>
        <v>36022.939068100357</v>
      </c>
      <c r="J26" s="1">
        <f t="shared" si="28"/>
        <v>35753.846153846156</v>
      </c>
      <c r="K26" s="1">
        <f t="shared" si="28"/>
        <v>29743.181818181816</v>
      </c>
      <c r="L26" s="1">
        <f t="shared" si="28"/>
        <v>35512.987012987011</v>
      </c>
      <c r="M26" s="1">
        <f t="shared" si="28"/>
        <v>35329.186602870817</v>
      </c>
      <c r="N26" s="1">
        <f t="shared" si="28"/>
        <v>53266.562500000015</v>
      </c>
      <c r="O26" s="1">
        <f t="shared" si="28"/>
        <v>35146.368715083801</v>
      </c>
      <c r="P26" s="1">
        <f>+P24/P25</f>
        <v>35230.272952853593</v>
      </c>
      <c r="Y26" s="1">
        <f>+Y24/Y25</f>
        <v>216889.35879945429</v>
      </c>
      <c r="Z26" s="1">
        <f t="shared" ref="Z26:AA26" si="29">+Z24/Z25</f>
        <v>266625.29928172386</v>
      </c>
      <c r="AA26" s="1">
        <f t="shared" si="29"/>
        <v>241584.85967503695</v>
      </c>
      <c r="AB26" s="1">
        <f>+AA26</f>
        <v>241584.85967503695</v>
      </c>
      <c r="AC26" s="1">
        <f t="shared" ref="AC26:AK26" si="30">+AB26</f>
        <v>241584.85967503695</v>
      </c>
      <c r="AD26" s="1">
        <f t="shared" si="30"/>
        <v>241584.85967503695</v>
      </c>
      <c r="AE26" s="1">
        <f t="shared" si="30"/>
        <v>241584.85967503695</v>
      </c>
      <c r="AF26" s="1">
        <f t="shared" si="30"/>
        <v>241584.85967503695</v>
      </c>
      <c r="AG26" s="1">
        <f t="shared" si="30"/>
        <v>241584.85967503695</v>
      </c>
      <c r="AH26" s="1">
        <f t="shared" si="30"/>
        <v>241584.85967503695</v>
      </c>
      <c r="AI26" s="1">
        <f t="shared" si="30"/>
        <v>241584.85967503695</v>
      </c>
      <c r="AJ26" s="1">
        <f t="shared" si="30"/>
        <v>241584.85967503695</v>
      </c>
      <c r="AK26" s="1">
        <f t="shared" si="30"/>
        <v>241584.85967503695</v>
      </c>
    </row>
    <row r="28" spans="2:227" s="4" customFormat="1">
      <c r="B28" s="4" t="s">
        <v>17</v>
      </c>
      <c r="K28" s="4">
        <f t="shared" ref="K28:P33" si="31">+K7/G7-1</f>
        <v>-0.18272294143125267</v>
      </c>
      <c r="L28" s="4">
        <f t="shared" si="31"/>
        <v>-0.22051163534870488</v>
      </c>
      <c r="M28" s="4">
        <f t="shared" si="31"/>
        <v>-0.23232907427839267</v>
      </c>
      <c r="N28" s="4">
        <f t="shared" si="31"/>
        <v>2.3328348643452124E-3</v>
      </c>
      <c r="O28" s="4">
        <f t="shared" si="31"/>
        <v>9.1130713335139113E-2</v>
      </c>
      <c r="P28" s="4">
        <f t="shared" si="31"/>
        <v>5.2113029397678368E-2</v>
      </c>
      <c r="Z28" s="4">
        <f t="shared" ref="Z28:AA33" si="32">+Z7/Y7-1</f>
        <v>-6.9243552912880757E-2</v>
      </c>
      <c r="AA28" s="4">
        <f t="shared" si="32"/>
        <v>-0.15618761355734501</v>
      </c>
      <c r="AM28" s="4" t="s">
        <v>42</v>
      </c>
      <c r="AN28" s="4">
        <v>-0.01</v>
      </c>
    </row>
    <row r="29" spans="2:227" s="4" customFormat="1">
      <c r="B29" s="4" t="s">
        <v>18</v>
      </c>
      <c r="K29" s="4">
        <f t="shared" si="31"/>
        <v>8.651101934006622E-2</v>
      </c>
      <c r="L29" s="4">
        <f t="shared" si="31"/>
        <v>8.7198863370232083E-2</v>
      </c>
      <c r="M29" s="4">
        <f t="shared" si="31"/>
        <v>7.3278604571765493E-2</v>
      </c>
      <c r="N29" s="4">
        <f t="shared" si="31"/>
        <v>9.849837295489472E-2</v>
      </c>
      <c r="O29" s="4">
        <f t="shared" si="31"/>
        <v>0.13287271194604999</v>
      </c>
      <c r="P29" s="4">
        <f t="shared" si="31"/>
        <v>5.9654766349771737E-2</v>
      </c>
      <c r="Z29" s="4">
        <f t="shared" si="32"/>
        <v>3.0351020498885939E-2</v>
      </c>
      <c r="AA29" s="4">
        <f t="shared" si="32"/>
        <v>8.7418137627658599E-2</v>
      </c>
      <c r="AM29" s="4" t="s">
        <v>43</v>
      </c>
      <c r="AN29" s="13">
        <v>7.0000000000000007E-2</v>
      </c>
    </row>
    <row r="30" spans="2:227" s="4" customFormat="1">
      <c r="B30" s="4" t="s">
        <v>19</v>
      </c>
      <c r="K30" s="4">
        <f t="shared" si="31"/>
        <v>2.4081818137075661E-2</v>
      </c>
      <c r="L30" s="4">
        <f t="shared" si="31"/>
        <v>-4.7750801904155038E-2</v>
      </c>
      <c r="M30" s="4">
        <f t="shared" si="31"/>
        <v>-4.3331960958516103E-2</v>
      </c>
      <c r="N30" s="4">
        <f t="shared" si="31"/>
        <v>5.2303328809526484E-3</v>
      </c>
      <c r="O30" s="4">
        <f t="shared" si="31"/>
        <v>5.6050212583263148E-2</v>
      </c>
      <c r="P30" s="4">
        <f t="shared" si="31"/>
        <v>7.0703625564591199E-2</v>
      </c>
      <c r="Z30" s="4">
        <f t="shared" si="32"/>
        <v>7.5660577974733911E-2</v>
      </c>
      <c r="AA30" s="4">
        <f t="shared" si="32"/>
        <v>-1.442349229074813E-2</v>
      </c>
      <c r="AM30" s="4" t="s">
        <v>44</v>
      </c>
      <c r="AN30" s="7">
        <f>NPV(AN29,AB24:HS24)</f>
        <v>18423080.990427606</v>
      </c>
    </row>
    <row r="31" spans="2:227" s="4" customFormat="1">
      <c r="B31" s="4" t="s">
        <v>20</v>
      </c>
      <c r="K31" s="4">
        <f t="shared" si="31"/>
        <v>1.2174393096334502E-2</v>
      </c>
      <c r="L31" s="4">
        <f t="shared" si="31"/>
        <v>5.3500709855787143E-2</v>
      </c>
      <c r="M31" s="4">
        <f t="shared" si="31"/>
        <v>9.0776228469167108E-2</v>
      </c>
      <c r="N31" s="4">
        <f t="shared" si="31"/>
        <v>4.9509782655850154E-2</v>
      </c>
      <c r="O31" s="4">
        <f t="shared" si="31"/>
        <v>3.2940534799270837E-2</v>
      </c>
      <c r="P31" s="4">
        <f t="shared" si="31"/>
        <v>4.5407475707496925E-2</v>
      </c>
      <c r="Z31" s="4">
        <f t="shared" si="32"/>
        <v>-1.0163201760861051E-2</v>
      </c>
      <c r="AA31" s="4">
        <f t="shared" si="32"/>
        <v>5.1083533611066878E-2</v>
      </c>
      <c r="AM31" s="4" t="s">
        <v>49</v>
      </c>
      <c r="AN31" s="1">
        <f>+(Main!D5-Main!D6)*1000</f>
        <v>-4497896.0000000009</v>
      </c>
    </row>
    <row r="32" spans="2:227" s="4" customFormat="1">
      <c r="B32" s="4" t="s">
        <v>21</v>
      </c>
      <c r="K32" s="4">
        <f t="shared" si="31"/>
        <v>5.7576297741793292E-2</v>
      </c>
      <c r="L32" s="4">
        <f t="shared" si="31"/>
        <v>3.4029221919140706E-3</v>
      </c>
      <c r="M32" s="4">
        <f t="shared" si="31"/>
        <v>-2.3285140069881693E-2</v>
      </c>
      <c r="N32" s="4">
        <f t="shared" si="31"/>
        <v>-0.10419829670222258</v>
      </c>
      <c r="O32" s="4">
        <f t="shared" si="31"/>
        <v>-2.1521210723346895E-2</v>
      </c>
      <c r="P32" s="4">
        <f t="shared" si="31"/>
        <v>0.12109385513955795</v>
      </c>
      <c r="Z32" s="4">
        <f t="shared" si="32"/>
        <v>1.2156387577919592E-2</v>
      </c>
      <c r="AA32" s="4">
        <f t="shared" si="32"/>
        <v>-2.5003605793995853E-2</v>
      </c>
      <c r="AM32" s="5" t="s">
        <v>50</v>
      </c>
      <c r="AN32" s="8">
        <f>SUM(AN30:AN31)</f>
        <v>13925184.990427606</v>
      </c>
    </row>
    <row r="33" spans="2:40" s="4" customFormat="1">
      <c r="B33" s="5" t="s">
        <v>22</v>
      </c>
      <c r="K33" s="4">
        <f t="shared" si="31"/>
        <v>1.3102915594042086E-2</v>
      </c>
      <c r="L33" s="4">
        <f t="shared" si="31"/>
        <v>-3.8073305782486022E-2</v>
      </c>
      <c r="M33" s="4">
        <f t="shared" si="31"/>
        <v>-3.858801642529075E-2</v>
      </c>
      <c r="N33" s="4">
        <f t="shared" si="31"/>
        <v>7.7149553486455247E-3</v>
      </c>
      <c r="O33" s="4">
        <f t="shared" si="31"/>
        <v>5.8814054693585804E-2</v>
      </c>
      <c r="P33" s="4">
        <f t="shared" si="31"/>
        <v>7.1351818759411989E-2</v>
      </c>
      <c r="Z33" s="4">
        <f t="shared" si="32"/>
        <v>4.1259951810414197E-2</v>
      </c>
      <c r="AA33" s="4">
        <f t="shared" si="32"/>
        <v>-1.2739252192672135E-2</v>
      </c>
      <c r="AB33" s="9">
        <f>+AB12/AA12-1</f>
        <v>7.0000000000000062E-2</v>
      </c>
      <c r="AC33" s="9">
        <f t="shared" ref="AC33:AF33" si="33">+AC12/AB12-1</f>
        <v>7.0000000000000062E-2</v>
      </c>
      <c r="AD33" s="9">
        <f t="shared" si="33"/>
        <v>7.0000000000000062E-2</v>
      </c>
      <c r="AE33" s="9">
        <f t="shared" si="33"/>
        <v>7.0000000000000062E-2</v>
      </c>
      <c r="AF33" s="9">
        <f t="shared" si="33"/>
        <v>7.0000000000000062E-2</v>
      </c>
      <c r="AG33" s="9">
        <f>+AG12/AF12-1</f>
        <v>0.19680419951024386</v>
      </c>
      <c r="AH33" s="9">
        <f>+AH12/AG12-1</f>
        <v>7.196339161126164E-2</v>
      </c>
      <c r="AI33" s="9">
        <f>+AI12/AH12-1</f>
        <v>7.1829877034211398E-2</v>
      </c>
      <c r="AJ33" s="9">
        <f>+AJ12/AI12-1</f>
        <v>7.1699309680526513E-2</v>
      </c>
      <c r="AK33" s="9">
        <f>+AK12/AJ12-1</f>
        <v>7.1571593029256642E-2</v>
      </c>
      <c r="AM33" s="4" t="s">
        <v>45</v>
      </c>
      <c r="AN33" s="1">
        <f>+Main!D3*1000</f>
        <v>34973.165999999997</v>
      </c>
    </row>
    <row r="34" spans="2:40">
      <c r="AB34" s="4">
        <f>+AB18/AA18-1</f>
        <v>-0.75447426822643959</v>
      </c>
      <c r="AC34" s="4">
        <f t="shared" ref="AC34:AI34" si="34">+AC18/AB18-1</f>
        <v>7.0000000000000062E-2</v>
      </c>
      <c r="AD34" s="4">
        <f t="shared" si="34"/>
        <v>7.0000000000000062E-2</v>
      </c>
      <c r="AE34" s="4">
        <f t="shared" si="34"/>
        <v>6.9999999999999396E-2</v>
      </c>
      <c r="AF34" s="4">
        <f t="shared" si="34"/>
        <v>7.000000000000095E-2</v>
      </c>
      <c r="AG34" s="4">
        <f t="shared" si="34"/>
        <v>0.19680419951024319</v>
      </c>
      <c r="AH34" s="4">
        <f t="shared" si="34"/>
        <v>7.1963391611261862E-2</v>
      </c>
      <c r="AI34" s="4">
        <f t="shared" si="34"/>
        <v>7.1829877034210954E-2</v>
      </c>
      <c r="AM34" s="4" t="s">
        <v>46</v>
      </c>
      <c r="AN34" s="1">
        <f>+AN32/AN33</f>
        <v>398.16769778371241</v>
      </c>
    </row>
    <row r="35" spans="2:40" s="3" customFormat="1">
      <c r="B35" s="3" t="s">
        <v>79</v>
      </c>
      <c r="N35" s="3">
        <f>SUM(N36:N37,N44)-N48-N53</f>
        <v>-4531907</v>
      </c>
      <c r="O35" s="3">
        <f>SUM(O36:O37,O44)-O48-O53</f>
        <v>-4440178</v>
      </c>
      <c r="P35" s="3">
        <f>SUM(P36:P37,P44)-P48-P53</f>
        <v>-4358644</v>
      </c>
      <c r="AA35" s="3">
        <f>+P35</f>
        <v>-4358644</v>
      </c>
      <c r="AB35" s="3">
        <f>+AA35+AB24</f>
        <v>-3555514.845350509</v>
      </c>
      <c r="AC35" s="3">
        <f t="shared" ref="AC35:AK35" si="35">+AB35+AC24</f>
        <v>-2696166.6498755538</v>
      </c>
      <c r="AD35" s="3">
        <f t="shared" si="35"/>
        <v>-1776664.0807173518</v>
      </c>
      <c r="AE35" s="3">
        <f t="shared" si="35"/>
        <v>-792796.33171807614</v>
      </c>
      <c r="AF35" s="3">
        <f t="shared" si="35"/>
        <v>259942.15971114987</v>
      </c>
      <c r="AG35" s="3">
        <f t="shared" si="35"/>
        <v>1519864.0072397259</v>
      </c>
      <c r="AH35" s="3">
        <f t="shared" si="35"/>
        <v>2870454.1040815851</v>
      </c>
      <c r="AI35" s="3">
        <f t="shared" si="35"/>
        <v>4318056.9215032179</v>
      </c>
      <c r="AJ35" s="3">
        <f t="shared" si="35"/>
        <v>5869451.8616255671</v>
      </c>
      <c r="AK35" s="3">
        <f t="shared" si="35"/>
        <v>7531882.6090300037</v>
      </c>
      <c r="AM35" s="5" t="s">
        <v>47</v>
      </c>
      <c r="AN35" s="14">
        <f>+Main!D2</f>
        <v>442.91</v>
      </c>
    </row>
    <row r="36" spans="2:40">
      <c r="B36" s="1" t="s">
        <v>57</v>
      </c>
      <c r="N36" s="1">
        <v>114098</v>
      </c>
      <c r="O36" s="1">
        <v>203894</v>
      </c>
      <c r="P36" s="1">
        <v>286699</v>
      </c>
      <c r="AM36" s="1" t="s">
        <v>48</v>
      </c>
      <c r="AN36" s="4">
        <f>+AN34/AN35-1</f>
        <v>-0.10101894790428667</v>
      </c>
    </row>
    <row r="37" spans="2:40">
      <c r="B37" s="1" t="s">
        <v>69</v>
      </c>
      <c r="N37" s="1">
        <v>200870</v>
      </c>
      <c r="O37" s="1">
        <v>209752</v>
      </c>
      <c r="P37" s="1">
        <v>197019</v>
      </c>
    </row>
    <row r="38" spans="2:40">
      <c r="B38" s="1" t="s">
        <v>70</v>
      </c>
      <c r="N38" s="1">
        <v>282809</v>
      </c>
      <c r="O38" s="1">
        <v>285609</v>
      </c>
      <c r="P38" s="1">
        <v>285961</v>
      </c>
    </row>
    <row r="39" spans="2:40">
      <c r="B39" s="1" t="s">
        <v>71</v>
      </c>
      <c r="N39" s="1">
        <v>82964</v>
      </c>
      <c r="O39" s="1">
        <v>76086</v>
      </c>
      <c r="P39" s="1">
        <v>69279</v>
      </c>
      <c r="AM39" s="1" t="s">
        <v>54</v>
      </c>
      <c r="AN39" s="12">
        <f>+Main!$D$7*1000/Model!AB24</f>
        <v>24.88748022325661</v>
      </c>
    </row>
    <row r="40" spans="2:40">
      <c r="B40" s="1" t="s">
        <v>72</v>
      </c>
      <c r="N40" s="1">
        <v>30215</v>
      </c>
      <c r="O40" s="1">
        <v>42143</v>
      </c>
      <c r="P40" s="1">
        <v>50291</v>
      </c>
      <c r="AM40" s="1" t="s">
        <v>55</v>
      </c>
      <c r="AN40" s="12">
        <f>+Main!$D$7*1000/Model!AC24</f>
        <v>23.259327311454772</v>
      </c>
    </row>
    <row r="41" spans="2:40">
      <c r="B41" s="1" t="s">
        <v>73</v>
      </c>
      <c r="N41" s="1">
        <v>106335</v>
      </c>
      <c r="O41" s="1">
        <v>76982</v>
      </c>
      <c r="P41" s="1">
        <v>99849</v>
      </c>
    </row>
    <row r="42" spans="2:40">
      <c r="B42" s="1" t="s">
        <v>74</v>
      </c>
      <c r="N42" s="1">
        <v>304365</v>
      </c>
      <c r="O42" s="1">
        <v>297238</v>
      </c>
      <c r="P42" s="1">
        <v>296403</v>
      </c>
    </row>
    <row r="43" spans="2:40">
      <c r="B43" s="1" t="s">
        <v>63</v>
      </c>
      <c r="N43" s="1">
        <v>207323</v>
      </c>
      <c r="O43" s="1">
        <v>212251</v>
      </c>
      <c r="P43" s="1">
        <v>210919</v>
      </c>
    </row>
    <row r="44" spans="2:40">
      <c r="B44" s="1" t="s">
        <v>75</v>
      </c>
      <c r="N44" s="1">
        <v>143553</v>
      </c>
      <c r="O44" s="1">
        <v>124854</v>
      </c>
      <c r="P44" s="1">
        <v>136252</v>
      </c>
    </row>
    <row r="45" spans="2:40">
      <c r="B45" s="1" t="s">
        <v>76</v>
      </c>
      <c r="N45" s="1">
        <v>202367</v>
      </c>
      <c r="O45" s="1">
        <v>215933</v>
      </c>
      <c r="P45" s="1">
        <v>226334</v>
      </c>
    </row>
    <row r="46" spans="2:40" s="3" customFormat="1">
      <c r="B46" s="3" t="s">
        <v>77</v>
      </c>
      <c r="N46" s="3">
        <f>+SUM(N36:N45)</f>
        <v>1674899</v>
      </c>
      <c r="O46" s="3">
        <f>+SUM(O36:O45)</f>
        <v>1744742</v>
      </c>
      <c r="P46" s="3">
        <f>+SUM(P36:P45)</f>
        <v>1859006</v>
      </c>
    </row>
    <row r="48" spans="2:40">
      <c r="B48" s="1" t="s">
        <v>62</v>
      </c>
      <c r="N48" s="1">
        <v>56366</v>
      </c>
      <c r="O48" s="1">
        <v>4866</v>
      </c>
      <c r="P48" s="1">
        <v>4938</v>
      </c>
    </row>
    <row r="49" spans="2:16">
      <c r="B49" s="1" t="s">
        <v>61</v>
      </c>
      <c r="N49" s="1">
        <v>106267</v>
      </c>
      <c r="O49" s="1">
        <v>111678</v>
      </c>
      <c r="P49" s="1">
        <v>110556</v>
      </c>
    </row>
    <row r="50" spans="2:16">
      <c r="B50" s="1" t="s">
        <v>63</v>
      </c>
      <c r="N50" s="1">
        <v>39330</v>
      </c>
      <c r="O50" s="1">
        <v>39942</v>
      </c>
      <c r="P50" s="1">
        <v>39955</v>
      </c>
    </row>
    <row r="51" spans="2:16">
      <c r="B51" s="1" t="s">
        <v>64</v>
      </c>
      <c r="N51" s="1">
        <v>104246</v>
      </c>
      <c r="O51" s="1">
        <v>75134</v>
      </c>
      <c r="P51" s="1">
        <v>97845</v>
      </c>
    </row>
    <row r="52" spans="2:16">
      <c r="B52" s="1" t="s">
        <v>65</v>
      </c>
      <c r="N52" s="1">
        <v>241141</v>
      </c>
      <c r="O52" s="1">
        <v>277973</v>
      </c>
      <c r="P52" s="1">
        <v>254534</v>
      </c>
    </row>
    <row r="53" spans="2:16">
      <c r="B53" s="1" t="s">
        <v>66</v>
      </c>
      <c r="N53" s="1">
        <v>4934062</v>
      </c>
      <c r="O53" s="1">
        <v>4973812</v>
      </c>
      <c r="P53" s="1">
        <v>4973676</v>
      </c>
    </row>
    <row r="54" spans="2:16">
      <c r="B54" s="1" t="s">
        <v>67</v>
      </c>
      <c r="N54" s="1">
        <v>179548</v>
      </c>
      <c r="O54" s="1">
        <v>184691</v>
      </c>
      <c r="P54" s="1">
        <v>183429</v>
      </c>
    </row>
    <row r="55" spans="2:16">
      <c r="B55" s="1" t="s">
        <v>68</v>
      </c>
      <c r="N55" s="1">
        <v>84306</v>
      </c>
      <c r="O55" s="1">
        <v>84976</v>
      </c>
      <c r="P55" s="1">
        <v>82198</v>
      </c>
    </row>
    <row r="56" spans="2:16">
      <c r="B56" s="1" t="s">
        <v>60</v>
      </c>
      <c r="N56" s="1">
        <f>+SUM(N48:N55)</f>
        <v>5745266</v>
      </c>
      <c r="O56" s="1">
        <f>+SUM(O48:O55)</f>
        <v>5753072</v>
      </c>
      <c r="P56" s="1">
        <f>+SUM(P48:P55)</f>
        <v>5747131</v>
      </c>
    </row>
    <row r="57" spans="2:16">
      <c r="B57" s="1" t="s">
        <v>58</v>
      </c>
      <c r="N57" s="1">
        <v>-4070367</v>
      </c>
      <c r="O57" s="1">
        <v>-4008330</v>
      </c>
      <c r="P57" s="1">
        <v>-3891125</v>
      </c>
    </row>
    <row r="58" spans="2:16" s="3" customFormat="1">
      <c r="B58" s="3" t="s">
        <v>59</v>
      </c>
      <c r="N58" s="3">
        <f>+SUM(N56:N57)</f>
        <v>1674899</v>
      </c>
      <c r="O58" s="3">
        <f>+SUM(O56:O57)</f>
        <v>1744742</v>
      </c>
      <c r="P58" s="3">
        <f>+SUM(P56:P57)</f>
        <v>1856006</v>
      </c>
    </row>
    <row r="61" spans="2:16">
      <c r="B61" s="1" t="s">
        <v>80</v>
      </c>
      <c r="G61" s="1">
        <v>78789</v>
      </c>
      <c r="H61" s="1">
        <f>153415-G61</f>
        <v>74626</v>
      </c>
      <c r="I61" s="1">
        <f>330154-SUM(G61:H61)</f>
        <v>176739</v>
      </c>
      <c r="J61" s="1">
        <f>475317-SUM(G61:I61)</f>
        <v>145163</v>
      </c>
      <c r="K61" s="1">
        <v>114682</v>
      </c>
      <c r="L61" s="1">
        <f>242291-K61</f>
        <v>127609</v>
      </c>
      <c r="M61" s="1">
        <f>422130-SUM(K61:L61)</f>
        <v>179839</v>
      </c>
      <c r="N61" s="1">
        <f>590864-SUM(K61:M61)</f>
        <v>168734</v>
      </c>
      <c r="O61" s="1">
        <v>123464</v>
      </c>
      <c r="P61" s="1">
        <f>274150-O61</f>
        <v>150686</v>
      </c>
    </row>
    <row r="62" spans="2:16">
      <c r="B62" s="1" t="s">
        <v>81</v>
      </c>
      <c r="G62" s="1">
        <v>-12454</v>
      </c>
      <c r="H62" s="1">
        <f>+-32664-G62</f>
        <v>-20210</v>
      </c>
      <c r="I62" s="1">
        <f>+-20508-SUM(G62:H62)</f>
        <v>12156</v>
      </c>
      <c r="J62" s="1">
        <f>+-87234-SUM(G62:I62)</f>
        <v>-66726</v>
      </c>
      <c r="K62" s="1">
        <v>-19031</v>
      </c>
      <c r="L62" s="1">
        <f>+-37980-K62</f>
        <v>-18949</v>
      </c>
      <c r="M62" s="1">
        <f>-59271-SUM(K62:L62)</f>
        <v>-21291</v>
      </c>
      <c r="N62" s="1">
        <f>+-105396-SUM(K62:M62)</f>
        <v>-46125</v>
      </c>
      <c r="O62" s="1">
        <v>-20181</v>
      </c>
      <c r="P62" s="1">
        <f>+-43683-O62</f>
        <v>-23502</v>
      </c>
    </row>
    <row r="63" spans="2:16" s="3" customFormat="1">
      <c r="B63" s="3" t="s">
        <v>82</v>
      </c>
      <c r="G63" s="3">
        <f t="shared" ref="G63:P63" si="36">+SUM(G61:G62)</f>
        <v>66335</v>
      </c>
      <c r="H63" s="3">
        <f t="shared" si="36"/>
        <v>54416</v>
      </c>
      <c r="I63" s="3">
        <f t="shared" si="36"/>
        <v>188895</v>
      </c>
      <c r="J63" s="3">
        <f t="shared" si="36"/>
        <v>78437</v>
      </c>
      <c r="K63" s="3">
        <f t="shared" si="36"/>
        <v>95651</v>
      </c>
      <c r="L63" s="3">
        <f t="shared" si="36"/>
        <v>108660</v>
      </c>
      <c r="M63" s="3">
        <f t="shared" si="36"/>
        <v>158548</v>
      </c>
      <c r="N63" s="3">
        <f t="shared" si="36"/>
        <v>122609</v>
      </c>
      <c r="O63" s="3">
        <f t="shared" si="36"/>
        <v>103283</v>
      </c>
      <c r="P63" s="3">
        <f t="shared" si="36"/>
        <v>127184</v>
      </c>
    </row>
    <row r="64" spans="2:16">
      <c r="B64" s="1" t="s">
        <v>35</v>
      </c>
      <c r="G64" s="1">
        <f t="shared" ref="G64:P64" si="37">+G24</f>
        <v>90964</v>
      </c>
      <c r="H64" s="1">
        <f t="shared" si="37"/>
        <v>102763</v>
      </c>
      <c r="I64" s="1">
        <f t="shared" si="37"/>
        <v>100504</v>
      </c>
      <c r="J64" s="1">
        <f t="shared" si="37"/>
        <v>158032</v>
      </c>
      <c r="K64" s="1">
        <f t="shared" si="37"/>
        <v>91609</v>
      </c>
      <c r="L64" s="1">
        <f t="shared" si="37"/>
        <v>109380</v>
      </c>
      <c r="M64" s="1">
        <f t="shared" si="37"/>
        <v>147676</v>
      </c>
      <c r="N64" s="1">
        <f t="shared" si="37"/>
        <v>170453</v>
      </c>
      <c r="O64" s="1">
        <f t="shared" si="37"/>
        <v>125824</v>
      </c>
      <c r="P64" s="1">
        <f t="shared" si="37"/>
        <v>141978</v>
      </c>
    </row>
    <row r="66" spans="2:16">
      <c r="B66" s="1" t="s">
        <v>83</v>
      </c>
      <c r="D66" s="1">
        <f t="shared" ref="D66:O66" si="38">SUM(A63:D63)</f>
        <v>0</v>
      </c>
      <c r="E66" s="1">
        <f t="shared" si="38"/>
        <v>0</v>
      </c>
      <c r="F66" s="1">
        <f t="shared" si="38"/>
        <v>0</v>
      </c>
      <c r="G66" s="1">
        <f t="shared" si="38"/>
        <v>66335</v>
      </c>
      <c r="H66" s="1">
        <f t="shared" si="38"/>
        <v>120751</v>
      </c>
      <c r="I66" s="1">
        <f t="shared" si="38"/>
        <v>309646</v>
      </c>
      <c r="J66" s="1">
        <f t="shared" si="38"/>
        <v>388083</v>
      </c>
      <c r="K66" s="1">
        <f t="shared" si="38"/>
        <v>417399</v>
      </c>
      <c r="L66" s="1">
        <f t="shared" si="38"/>
        <v>471643</v>
      </c>
      <c r="M66" s="1">
        <f t="shared" si="38"/>
        <v>441296</v>
      </c>
      <c r="N66" s="1">
        <f t="shared" si="38"/>
        <v>485468</v>
      </c>
      <c r="O66" s="1">
        <f t="shared" si="38"/>
        <v>493100</v>
      </c>
      <c r="P66" s="1">
        <f>SUM(M63:P63)</f>
        <v>511624</v>
      </c>
    </row>
    <row r="67" spans="2:16">
      <c r="B67" s="1" t="s">
        <v>84</v>
      </c>
      <c r="D67" s="1">
        <f t="shared" ref="D67:O67" si="39">SUM(A64:D64)</f>
        <v>0</v>
      </c>
      <c r="E67" s="1">
        <f t="shared" si="39"/>
        <v>0</v>
      </c>
      <c r="F67" s="1">
        <f t="shared" si="39"/>
        <v>0</v>
      </c>
      <c r="G67" s="1">
        <f t="shared" si="39"/>
        <v>90964</v>
      </c>
      <c r="H67" s="1">
        <f t="shared" si="39"/>
        <v>193727</v>
      </c>
      <c r="I67" s="1">
        <f t="shared" si="39"/>
        <v>294231</v>
      </c>
      <c r="J67" s="1">
        <f t="shared" si="39"/>
        <v>452263</v>
      </c>
      <c r="K67" s="1">
        <f t="shared" si="39"/>
        <v>452908</v>
      </c>
      <c r="L67" s="1">
        <f t="shared" si="39"/>
        <v>459525</v>
      </c>
      <c r="M67" s="1">
        <f t="shared" si="39"/>
        <v>506697</v>
      </c>
      <c r="N67" s="1">
        <f t="shared" si="39"/>
        <v>519118</v>
      </c>
      <c r="O67" s="1">
        <f t="shared" si="39"/>
        <v>553333</v>
      </c>
      <c r="P67" s="1">
        <f>SUM(M64:P64)</f>
        <v>585931</v>
      </c>
    </row>
    <row r="69" spans="2:16">
      <c r="G69" s="1">
        <f t="shared" ref="G69:O69" si="40">+G66-G67</f>
        <v>-24629</v>
      </c>
      <c r="H69" s="1">
        <f t="shared" si="40"/>
        <v>-72976</v>
      </c>
      <c r="I69" s="1">
        <f t="shared" si="40"/>
        <v>15415</v>
      </c>
      <c r="J69" s="1">
        <f t="shared" si="40"/>
        <v>-64180</v>
      </c>
      <c r="K69" s="1">
        <f t="shared" si="40"/>
        <v>-35509</v>
      </c>
      <c r="L69" s="1">
        <f t="shared" si="40"/>
        <v>12118</v>
      </c>
      <c r="M69" s="1">
        <f t="shared" si="40"/>
        <v>-65401</v>
      </c>
      <c r="N69" s="1">
        <f t="shared" si="40"/>
        <v>-33650</v>
      </c>
      <c r="O69" s="1">
        <f t="shared" si="40"/>
        <v>-60233</v>
      </c>
      <c r="P69" s="1">
        <f>+P66-P67</f>
        <v>-74307</v>
      </c>
    </row>
  </sheetData>
  <pageMargins left="0.7" right="0.7" top="0.75" bottom="0.75" header="0.3" footer="0.3"/>
  <ignoredErrors>
    <ignoredError sqref="J12:J14 N12:N14 M25:O25 M12:M14 O13:O14 J15:J16 N15:N16 M15:M16 O15:O17 O19:O21 O23 J25 M27:O27 M23 N23 J23 M19:M21 N19:N21 J19:J21 M17 N17 J17 H18:N18 H17:I17 K17:L17 H22:N22 H19:I21 K19:L21 H24:N24 H23:I23 K23:L23 AC18:AK24" formula="1"/>
    <ignoredError sqref="O12" formula="1" formulaRange="1"/>
    <ignoredError sqref="K12 Y18:AA18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2024-04-09T20:55:47Z</dcterms:created>
  <dcterms:modified xsi:type="dcterms:W3CDTF">2024-08-18T18:46:04Z</dcterms:modified>
</cp:coreProperties>
</file>