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"/>
    </mc:Choice>
  </mc:AlternateContent>
  <xr:revisionPtr revIDLastSave="0" documentId="13_ncr:1_{2F0A8102-D64C-3F40-A37F-E0CC8BD550CC}" xr6:coauthVersionLast="47" xr6:coauthVersionMax="47" xr10:uidLastSave="{00000000-0000-0000-0000-000000000000}"/>
  <bookViews>
    <workbookView xWindow="160" yWindow="660" windowWidth="50880" windowHeight="28000" xr2:uid="{07D78FF2-81C0-6544-ACE5-40433F70B1C2}"/>
  </bookViews>
  <sheets>
    <sheet name="Main" sheetId="1" r:id="rId1"/>
    <sheet name="Portfo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T104" i="1"/>
  <c r="T90" i="1"/>
  <c r="T89" i="1"/>
  <c r="T71" i="1"/>
  <c r="T69" i="1"/>
  <c r="T57" i="1"/>
  <c r="G1" i="1"/>
  <c r="G82" i="1"/>
  <c r="J82" i="1" s="1"/>
  <c r="G81" i="1"/>
  <c r="J81" i="1" s="1"/>
  <c r="E8" i="2" l="1"/>
  <c r="E6" i="2"/>
  <c r="P49" i="1"/>
  <c r="C5" i="2"/>
  <c r="C9" i="2" l="1"/>
  <c r="C19" i="2" s="1"/>
  <c r="C8" i="2"/>
  <c r="C11" i="2" s="1"/>
  <c r="C13" i="2" s="1"/>
  <c r="C12" i="2" l="1"/>
  <c r="C20" i="2"/>
  <c r="Q48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5" i="1"/>
  <c r="G5" i="1"/>
  <c r="J5" i="1" s="1"/>
  <c r="K4" i="1" l="1"/>
  <c r="K3" i="1"/>
  <c r="K22" i="1" l="1"/>
  <c r="G22" i="1"/>
  <c r="J22" i="1" s="1"/>
  <c r="K64" i="1"/>
  <c r="G64" i="1"/>
  <c r="J64" i="1" s="1"/>
  <c r="K42" i="1" l="1"/>
  <c r="G42" i="1"/>
  <c r="J42" i="1" s="1"/>
  <c r="K41" i="1"/>
  <c r="G41" i="1"/>
  <c r="J41" i="1" s="1"/>
  <c r="K40" i="1"/>
  <c r="G40" i="1"/>
  <c r="J40" i="1" s="1"/>
  <c r="K39" i="1"/>
  <c r="G39" i="1"/>
  <c r="J39" i="1" s="1"/>
  <c r="K38" i="1"/>
  <c r="G38" i="1"/>
  <c r="J38" i="1" s="1"/>
  <c r="K46" i="1" l="1"/>
  <c r="G46" i="1"/>
  <c r="J46" i="1" s="1"/>
  <c r="K45" i="1"/>
  <c r="G45" i="1"/>
  <c r="J45" i="1" s="1"/>
  <c r="K75" i="1"/>
  <c r="G75" i="1"/>
  <c r="J75" i="1" s="1"/>
  <c r="P23" i="1"/>
  <c r="P22" i="1"/>
  <c r="P21" i="1"/>
  <c r="P20" i="1"/>
  <c r="P19" i="1"/>
  <c r="P18" i="1"/>
  <c r="P17" i="1"/>
  <c r="P16" i="1"/>
  <c r="P15" i="1"/>
  <c r="P14" i="1"/>
  <c r="P13" i="1"/>
  <c r="P12" i="1"/>
  <c r="K44" i="1"/>
  <c r="G44" i="1"/>
  <c r="J44" i="1" s="1"/>
  <c r="K55" i="1" l="1"/>
  <c r="K54" i="1"/>
  <c r="K53" i="1"/>
  <c r="K51" i="1"/>
  <c r="G51" i="1"/>
  <c r="L50" i="1"/>
  <c r="L49" i="1"/>
  <c r="L48" i="1"/>
  <c r="K50" i="1"/>
  <c r="G50" i="1"/>
  <c r="K49" i="1"/>
  <c r="G49" i="1"/>
  <c r="K56" i="1"/>
  <c r="G56" i="1"/>
  <c r="K48" i="1"/>
  <c r="G48" i="1"/>
  <c r="K47" i="1"/>
  <c r="J51" i="1" l="1"/>
  <c r="J50" i="1"/>
  <c r="J56" i="1"/>
  <c r="J49" i="1"/>
  <c r="J48" i="1"/>
  <c r="G47" i="1"/>
  <c r="J47" i="1" l="1"/>
  <c r="K61" i="1"/>
  <c r="G61" i="1"/>
  <c r="G12" i="1"/>
  <c r="G4" i="1"/>
  <c r="G3" i="1"/>
  <c r="G53" i="1"/>
  <c r="G54" i="1"/>
  <c r="J53" i="1" l="1"/>
  <c r="J4" i="1"/>
  <c r="J12" i="1"/>
  <c r="J61" i="1"/>
  <c r="J54" i="1"/>
  <c r="J3" i="1"/>
  <c r="G55" i="1"/>
  <c r="J55" i="1" l="1"/>
  <c r="K60" i="1"/>
  <c r="K59" i="1"/>
  <c r="K58" i="1"/>
  <c r="K57" i="1"/>
  <c r="G59" i="1"/>
  <c r="J59" i="1" l="1"/>
  <c r="G57" i="1"/>
  <c r="J57" i="1" l="1"/>
  <c r="G58" i="1"/>
  <c r="G60" i="1"/>
  <c r="R109" i="1" l="1"/>
  <c r="S109" i="1" s="1"/>
  <c r="J60" i="1"/>
  <c r="J58" i="1"/>
  <c r="R12" i="1" l="1"/>
  <c r="S12" i="1" s="1"/>
  <c r="R56" i="1"/>
  <c r="S56" i="1" s="1"/>
  <c r="R6" i="1"/>
  <c r="S6" i="1" s="1"/>
  <c r="R20" i="1"/>
  <c r="S20" i="1" s="1"/>
  <c r="R110" i="1"/>
  <c r="S110" i="1" s="1"/>
  <c r="R103" i="1"/>
  <c r="S103" i="1" s="1"/>
  <c r="R25" i="1"/>
  <c r="S25" i="1" s="1"/>
  <c r="R123" i="1"/>
  <c r="S123" i="1" s="1"/>
  <c r="R81" i="1"/>
  <c r="S81" i="1" s="1"/>
  <c r="R132" i="1"/>
  <c r="S132" i="1" s="1"/>
  <c r="R4" i="1"/>
  <c r="S4" i="1" s="1"/>
  <c r="R50" i="1"/>
  <c r="S50" i="1" s="1"/>
  <c r="R38" i="1"/>
  <c r="S38" i="1" s="1"/>
  <c r="R28" i="1"/>
  <c r="S28" i="1" s="1"/>
  <c r="R118" i="1"/>
  <c r="S118" i="1" s="1"/>
  <c r="R30" i="1"/>
  <c r="S30" i="1" s="1"/>
  <c r="R33" i="1"/>
  <c r="S33" i="1" s="1"/>
  <c r="R139" i="1"/>
  <c r="S139" i="1" s="1"/>
  <c r="R105" i="1"/>
  <c r="S105" i="1" s="1"/>
  <c r="R37" i="1"/>
  <c r="S37" i="1" s="1"/>
  <c r="R54" i="1"/>
  <c r="S54" i="1" s="1"/>
  <c r="R72" i="1"/>
  <c r="S72" i="1" s="1"/>
  <c r="R126" i="1"/>
  <c r="S126" i="1" s="1"/>
  <c r="R96" i="1"/>
  <c r="S96" i="1" s="1"/>
  <c r="R41" i="1"/>
  <c r="S41" i="1" s="1"/>
  <c r="R129" i="1"/>
  <c r="S129" i="1" s="1"/>
  <c r="R120" i="1"/>
  <c r="S120" i="1" s="1"/>
  <c r="R51" i="1"/>
  <c r="S51" i="1" s="1"/>
  <c r="R52" i="1"/>
  <c r="S52" i="1" s="1"/>
  <c r="R128" i="1"/>
  <c r="S128" i="1" s="1"/>
  <c r="R119" i="1"/>
  <c r="S119" i="1" s="1"/>
  <c r="R8" i="1"/>
  <c r="S8" i="1" s="1"/>
  <c r="R44" i="1"/>
  <c r="S44" i="1" s="1"/>
  <c r="R78" i="1"/>
  <c r="S78" i="1" s="1"/>
  <c r="R137" i="1"/>
  <c r="S137" i="1" s="1"/>
  <c r="R22" i="1"/>
  <c r="S22" i="1" s="1"/>
  <c r="R32" i="1"/>
  <c r="S32" i="1" s="1"/>
  <c r="R57" i="1"/>
  <c r="S57" i="1" s="1"/>
  <c r="R5" i="1"/>
  <c r="S5" i="1" s="1"/>
  <c r="R86" i="1"/>
  <c r="S86" i="1" s="1"/>
  <c r="R16" i="1"/>
  <c r="S16" i="1" s="1"/>
  <c r="R98" i="1"/>
  <c r="S98" i="1" s="1"/>
  <c r="R48" i="1"/>
  <c r="S48" i="1" s="1"/>
  <c r="R36" i="1"/>
  <c r="S36" i="1" s="1"/>
  <c r="R45" i="1"/>
  <c r="S45" i="1" s="1"/>
  <c r="R3" i="1"/>
  <c r="S3" i="1" s="1"/>
  <c r="R112" i="1"/>
  <c r="S112" i="1" s="1"/>
  <c r="R135" i="1"/>
  <c r="S135" i="1" s="1"/>
  <c r="R75" i="1"/>
  <c r="S75" i="1" s="1"/>
  <c r="R93" i="1"/>
  <c r="S93" i="1" s="1"/>
  <c r="R53" i="1"/>
  <c r="S53" i="1" s="1"/>
  <c r="R7" i="1"/>
  <c r="S7" i="1" s="1"/>
  <c r="R136" i="1"/>
  <c r="S136" i="1" s="1"/>
  <c r="R83" i="1"/>
  <c r="S83" i="1" s="1"/>
  <c r="R125" i="1"/>
  <c r="S125" i="1" s="1"/>
  <c r="R61" i="1"/>
  <c r="S61" i="1" s="1"/>
  <c r="R73" i="1"/>
  <c r="S73" i="1" s="1"/>
  <c r="R138" i="1"/>
  <c r="S138" i="1" s="1"/>
  <c r="R91" i="1"/>
  <c r="S91" i="1" s="1"/>
  <c r="R80" i="1"/>
  <c r="S80" i="1" s="1"/>
  <c r="R82" i="1"/>
  <c r="S82" i="1" s="1"/>
  <c r="R141" i="1"/>
  <c r="S141" i="1" s="1"/>
  <c r="R59" i="1"/>
  <c r="S59" i="1" s="1"/>
  <c r="R47" i="1"/>
  <c r="S47" i="1" s="1"/>
  <c r="R87" i="1"/>
  <c r="S87" i="1" s="1"/>
  <c r="R113" i="1"/>
  <c r="S113" i="1" s="1"/>
  <c r="R94" i="1"/>
  <c r="S94" i="1" s="1"/>
  <c r="R13" i="1"/>
  <c r="S13" i="1" s="1"/>
  <c r="R74" i="1"/>
  <c r="S74" i="1" s="1"/>
  <c r="R107" i="1"/>
  <c r="S107" i="1" s="1"/>
  <c r="R104" i="1"/>
  <c r="S104" i="1" s="1"/>
  <c r="R55" i="1"/>
  <c r="S55" i="1" s="1"/>
  <c r="R49" i="1"/>
  <c r="S49" i="1" s="1"/>
  <c r="R111" i="1"/>
  <c r="S111" i="1" s="1"/>
  <c r="R40" i="1"/>
  <c r="S40" i="1" s="1"/>
  <c r="R102" i="1"/>
  <c r="S102" i="1" s="1"/>
  <c r="R95" i="1"/>
  <c r="S95" i="1" s="1"/>
  <c r="R9" i="1"/>
  <c r="S9" i="1" s="1"/>
  <c r="R115" i="1"/>
  <c r="S115" i="1" s="1"/>
  <c r="R65" i="1"/>
  <c r="S65" i="1" s="1"/>
  <c r="R106" i="1"/>
  <c r="S106" i="1" s="1"/>
  <c r="R15" i="1"/>
  <c r="S15" i="1" s="1"/>
  <c r="R67" i="1"/>
  <c r="S67" i="1" s="1"/>
  <c r="R21" i="1"/>
  <c r="S21" i="1" s="1"/>
  <c r="R97" i="1"/>
  <c r="S97" i="1" s="1"/>
  <c r="R114" i="1"/>
  <c r="S114" i="1" s="1"/>
  <c r="R130" i="1"/>
  <c r="S130" i="1" s="1"/>
  <c r="R18" i="1"/>
  <c r="S18" i="1" s="1"/>
  <c r="R10" i="1"/>
  <c r="S10" i="1" s="1"/>
  <c r="R42" i="1"/>
  <c r="S42" i="1" s="1"/>
  <c r="R68" i="1"/>
  <c r="S68" i="1" s="1"/>
  <c r="R76" i="1"/>
  <c r="S76" i="1" s="1"/>
  <c r="R84" i="1"/>
  <c r="S84" i="1" s="1"/>
  <c r="R100" i="1"/>
  <c r="S100" i="1" s="1"/>
  <c r="R92" i="1"/>
  <c r="S92" i="1" s="1"/>
  <c r="R108" i="1"/>
  <c r="S108" i="1" s="1"/>
  <c r="R131" i="1"/>
  <c r="S131" i="1" s="1"/>
  <c r="R31" i="1"/>
  <c r="S31" i="1" s="1"/>
  <c r="R66" i="1"/>
  <c r="S66" i="1" s="1"/>
  <c r="R26" i="1"/>
  <c r="S26" i="1" s="1"/>
  <c r="R124" i="1"/>
  <c r="S124" i="1" s="1"/>
  <c r="R88" i="1"/>
  <c r="S88" i="1" s="1"/>
  <c r="R140" i="1"/>
  <c r="S140" i="1" s="1"/>
  <c r="R58" i="1"/>
  <c r="S58" i="1" s="1"/>
  <c r="R79" i="1"/>
  <c r="S79" i="1" s="1"/>
  <c r="R127" i="1"/>
  <c r="S127" i="1" s="1"/>
  <c r="R117" i="1"/>
  <c r="S117" i="1" s="1"/>
  <c r="R133" i="1"/>
  <c r="S133" i="1" s="1"/>
  <c r="R23" i="1"/>
  <c r="S23" i="1" s="1"/>
  <c r="R121" i="1"/>
  <c r="S121" i="1" s="1"/>
  <c r="R24" i="1"/>
  <c r="S24" i="1" s="1"/>
  <c r="R122" i="1"/>
  <c r="S122" i="1" s="1"/>
  <c r="R14" i="1"/>
  <c r="S14" i="1" s="1"/>
  <c r="R11" i="1"/>
  <c r="S11" i="1" s="1"/>
  <c r="R29" i="1"/>
  <c r="S29" i="1" s="1"/>
  <c r="R39" i="1"/>
  <c r="S39" i="1" s="1"/>
  <c r="R70" i="1"/>
  <c r="S70" i="1" s="1"/>
  <c r="R134" i="1"/>
  <c r="S134" i="1" s="1"/>
  <c r="R64" i="1"/>
  <c r="S64" i="1" s="1"/>
  <c r="R17" i="1"/>
  <c r="S17" i="1" s="1"/>
  <c r="R99" i="1"/>
  <c r="S99" i="1" s="1"/>
  <c r="R71" i="1"/>
  <c r="S71" i="1" s="1"/>
  <c r="R89" i="1"/>
  <c r="S89" i="1" s="1"/>
  <c r="R90" i="1"/>
  <c r="S90" i="1" s="1"/>
  <c r="R34" i="1"/>
  <c r="S34" i="1" s="1"/>
  <c r="R116" i="1"/>
  <c r="S116" i="1" s="1"/>
  <c r="R46" i="1"/>
  <c r="S46" i="1" s="1"/>
  <c r="R27" i="1"/>
  <c r="S27" i="1" s="1"/>
  <c r="R35" i="1"/>
  <c r="S35" i="1" s="1"/>
  <c r="R43" i="1"/>
  <c r="S43" i="1" s="1"/>
  <c r="R69" i="1"/>
  <c r="S69" i="1" s="1"/>
  <c r="R77" i="1"/>
  <c r="S77" i="1" s="1"/>
  <c r="R85" i="1"/>
  <c r="S85" i="1" s="1"/>
  <c r="R60" i="1"/>
  <c r="S60" i="1" s="1"/>
  <c r="R19" i="1"/>
  <c r="S19" i="1" s="1"/>
  <c r="R101" i="1"/>
  <c r="S101" i="1" s="1"/>
</calcChain>
</file>

<file path=xl/sharedStrings.xml><?xml version="1.0" encoding="utf-8"?>
<sst xmlns="http://schemas.openxmlformats.org/spreadsheetml/2006/main" count="595" uniqueCount="467">
  <si>
    <t>Ticker</t>
  </si>
  <si>
    <t>Company</t>
  </si>
  <si>
    <t>Price</t>
  </si>
  <si>
    <t>NEM</t>
  </si>
  <si>
    <t>Newmont Corp</t>
  </si>
  <si>
    <t>RGLD</t>
  </si>
  <si>
    <t>Royal Gold, Inc</t>
  </si>
  <si>
    <t>CDE</t>
  </si>
  <si>
    <t>Coeur Mining Inc</t>
  </si>
  <si>
    <t>SSRM</t>
  </si>
  <si>
    <t>SSR Mining Inc</t>
  </si>
  <si>
    <t>NG</t>
  </si>
  <si>
    <t>Novagold Resources Inc</t>
  </si>
  <si>
    <t>IAUX</t>
  </si>
  <si>
    <t>i-80 Gold Corp</t>
  </si>
  <si>
    <t>DC</t>
  </si>
  <si>
    <t>Dakota Gold Corp</t>
  </si>
  <si>
    <t>IDR</t>
  </si>
  <si>
    <t>Idaho Strategic Resources Inc</t>
  </si>
  <si>
    <t>CTGO</t>
  </si>
  <si>
    <t>Contango Ore Inc</t>
  </si>
  <si>
    <t>USAU</t>
  </si>
  <si>
    <t>U.S. Gold Corp</t>
  </si>
  <si>
    <t>VGZ</t>
  </si>
  <si>
    <t>Vista Gold Corp</t>
  </si>
  <si>
    <t>HYMC</t>
  </si>
  <si>
    <t>Hycroft Mining Holding Corporation</t>
  </si>
  <si>
    <t>PZG</t>
  </si>
  <si>
    <t>Paramount Gold Nevada Corp</t>
  </si>
  <si>
    <t>GORO</t>
  </si>
  <si>
    <t>Gold Resource Corp</t>
  </si>
  <si>
    <t>Shares</t>
  </si>
  <si>
    <t>Cash</t>
  </si>
  <si>
    <t>Debt</t>
  </si>
  <si>
    <t>EV</t>
  </si>
  <si>
    <t>MC</t>
  </si>
  <si>
    <t>notes</t>
  </si>
  <si>
    <t>Gold</t>
  </si>
  <si>
    <t xml:space="preserve">Agricultural Inputs </t>
  </si>
  <si>
    <t>CTVA</t>
  </si>
  <si>
    <t>Corteva Inc</t>
  </si>
  <si>
    <t>CF</t>
  </si>
  <si>
    <t>CF Industries Holdings Inc</t>
  </si>
  <si>
    <t>MOS</t>
  </si>
  <si>
    <t>Mosaic Company</t>
  </si>
  <si>
    <t>FMC</t>
  </si>
  <si>
    <t>FMC Corp</t>
  </si>
  <si>
    <t>SMG</t>
  </si>
  <si>
    <t>Scotts Miracle-Gro Company</t>
  </si>
  <si>
    <t>UAN</t>
  </si>
  <si>
    <t>CVR Partners LP</t>
  </si>
  <si>
    <t>IPI</t>
  </si>
  <si>
    <t>Intrepid Potash Inc</t>
  </si>
  <si>
    <t>AVD</t>
  </si>
  <si>
    <t>American Vanguard Corp</t>
  </si>
  <si>
    <t>BHIL</t>
  </si>
  <si>
    <t>Benson Hill Inc</t>
  </si>
  <si>
    <t xml:space="preserve">Aluminum </t>
  </si>
  <si>
    <t xml:space="preserve">Alcoa Corp </t>
  </si>
  <si>
    <t>Century Aluminum</t>
  </si>
  <si>
    <t xml:space="preserve">Kaiser Aluminum Corp </t>
  </si>
  <si>
    <t xml:space="preserve">Building Materials </t>
  </si>
  <si>
    <t>CRH Plc</t>
  </si>
  <si>
    <t>Vulcan Materials Co</t>
  </si>
  <si>
    <t>Martin Marietta Materials, Inc</t>
  </si>
  <si>
    <t>EXP</t>
  </si>
  <si>
    <t>Eagle Materials Inc</t>
  </si>
  <si>
    <t>SUM</t>
  </si>
  <si>
    <t>Summit Materials Inc</t>
  </si>
  <si>
    <t>KNF</t>
  </si>
  <si>
    <t>Knife River Corp</t>
  </si>
  <si>
    <t>BCC</t>
  </si>
  <si>
    <t>Boise Cascade Co</t>
  </si>
  <si>
    <t>USLM</t>
  </si>
  <si>
    <t>United States Lime &amp; Minerals Inc</t>
  </si>
  <si>
    <t>SMID</t>
  </si>
  <si>
    <t>Smith-Midland Corp</t>
  </si>
  <si>
    <t>Chemicals</t>
  </si>
  <si>
    <t>DOW</t>
  </si>
  <si>
    <t>Dow Inc</t>
  </si>
  <si>
    <t>CE</t>
  </si>
  <si>
    <t>Celanese Corp</t>
  </si>
  <si>
    <t>OLN</t>
  </si>
  <si>
    <t>Olin Corp</t>
  </si>
  <si>
    <t>HUN</t>
  </si>
  <si>
    <t>Huntsman Corp</t>
  </si>
  <si>
    <t>TROX</t>
  </si>
  <si>
    <t>Tronox Holdings plc</t>
  </si>
  <si>
    <t>WLKP</t>
  </si>
  <si>
    <t>Westlake Chemical Partners LP</t>
  </si>
  <si>
    <t>ASIX</t>
  </si>
  <si>
    <t>AdvanSix Inc</t>
  </si>
  <si>
    <t>REX</t>
  </si>
  <si>
    <t>REX American Resources Corp</t>
  </si>
  <si>
    <t>GPRE</t>
  </si>
  <si>
    <t>Green Plains Inc</t>
  </si>
  <si>
    <t>VHI</t>
  </si>
  <si>
    <t>Valhi, Inc</t>
  </si>
  <si>
    <t>LXU</t>
  </si>
  <si>
    <t>LSB Industries, Inc</t>
  </si>
  <si>
    <t>RYAM</t>
  </si>
  <si>
    <t>Rayonier Advanced Materials Inc</t>
  </si>
  <si>
    <t>ASPI</t>
  </si>
  <si>
    <t>ASP Isotopes Inc</t>
  </si>
  <si>
    <t>ORGN</t>
  </si>
  <si>
    <t>Origin Materials Inc</t>
  </si>
  <si>
    <t xml:space="preserve">Coking Coal </t>
  </si>
  <si>
    <t>HCC</t>
  </si>
  <si>
    <t>Warrior Met Coal Inc</t>
  </si>
  <si>
    <t>AMR</t>
  </si>
  <si>
    <t>Alpha Metallurgical Resources Inc</t>
  </si>
  <si>
    <t>ARCH</t>
  </si>
  <si>
    <t>Arch Resources Inc</t>
  </si>
  <si>
    <t>SXC</t>
  </si>
  <si>
    <t>SunCoke Energy Inc</t>
  </si>
  <si>
    <t>METC</t>
  </si>
  <si>
    <t>Ramaco Resources Inc</t>
  </si>
  <si>
    <t>AREC</t>
  </si>
  <si>
    <t>American Resources Corporation</t>
  </si>
  <si>
    <t>Copper</t>
  </si>
  <si>
    <t>Southern Copper Corp</t>
  </si>
  <si>
    <t>Freeport-McMoRan</t>
  </si>
  <si>
    <t>Ivanhoe Electric</t>
  </si>
  <si>
    <t>SCCO</t>
  </si>
  <si>
    <t>FCX</t>
  </si>
  <si>
    <t>IE</t>
  </si>
  <si>
    <t>Lumber &amp; Wood Production</t>
  </si>
  <si>
    <t>UFP Industries</t>
  </si>
  <si>
    <t>Simpson Manufacturing</t>
  </si>
  <si>
    <t>Jewest-Cameron Trading</t>
  </si>
  <si>
    <t>Other</t>
  </si>
  <si>
    <t>MP</t>
  </si>
  <si>
    <t>MP Materials Corporation</t>
  </si>
  <si>
    <t>MTRN</t>
  </si>
  <si>
    <t>Materion Corp</t>
  </si>
  <si>
    <t>IPX</t>
  </si>
  <si>
    <t>IperionX Ltd ADR</t>
  </si>
  <si>
    <t>CRML</t>
  </si>
  <si>
    <t>Critical Metals Corp</t>
  </si>
  <si>
    <t>CMP</t>
  </si>
  <si>
    <t>Compass Minerals International Inc</t>
  </si>
  <si>
    <t>PLL</t>
  </si>
  <si>
    <t>Piedmont Lithium Inc</t>
  </si>
  <si>
    <t>UAMY</t>
  </si>
  <si>
    <t>United States Antimony Corp</t>
  </si>
  <si>
    <t>ABAT</t>
  </si>
  <si>
    <t>American Battery Technology Company</t>
  </si>
  <si>
    <t>NB</t>
  </si>
  <si>
    <t>NioCorp Developments Ltd</t>
  </si>
  <si>
    <t>XPL</t>
  </si>
  <si>
    <t>Solitario Resources Corp</t>
  </si>
  <si>
    <t>WWR</t>
  </si>
  <si>
    <t>Westwater Resources Inc</t>
  </si>
  <si>
    <t>OMEX</t>
  </si>
  <si>
    <t>Odyssey Marine Exploration, Inc</t>
  </si>
  <si>
    <t>HL</t>
  </si>
  <si>
    <t>Hecla Mining Co</t>
  </si>
  <si>
    <t>PPTA</t>
  </si>
  <si>
    <t>Perpetua Resources Corp</t>
  </si>
  <si>
    <t>LODE</t>
  </si>
  <si>
    <t>Comstock Inc</t>
  </si>
  <si>
    <t>AUMN</t>
  </si>
  <si>
    <t>Golden Minerals Co</t>
  </si>
  <si>
    <t xml:space="preserve">Paper  &amp; Paper </t>
  </si>
  <si>
    <t>Sylvam Corp</t>
  </si>
  <si>
    <t>Magnera Corp</t>
  </si>
  <si>
    <t xml:space="preserve">Clearwater Paper Corp </t>
  </si>
  <si>
    <t xml:space="preserve">Specialty Chemicals </t>
  </si>
  <si>
    <t>AA</t>
  </si>
  <si>
    <t>ALB</t>
  </si>
  <si>
    <t>Albemarle Corp</t>
  </si>
  <si>
    <t>ALTO</t>
  </si>
  <si>
    <t>Alto Ingredients Inc</t>
  </si>
  <si>
    <t>APD</t>
  </si>
  <si>
    <t>Air Products &amp; Chemicals Inc</t>
  </si>
  <si>
    <t>ASH</t>
  </si>
  <si>
    <t>Ashland Inc</t>
  </si>
  <si>
    <t>AVNT</t>
  </si>
  <si>
    <t>Avient Corp</t>
  </si>
  <si>
    <t>AXTA</t>
  </si>
  <si>
    <t>Axalta Coating Systems Ltd</t>
  </si>
  <si>
    <t>BCPC</t>
  </si>
  <si>
    <t>Balchem Corp</t>
  </si>
  <si>
    <t>CBT</t>
  </si>
  <si>
    <t>Cabot Corp</t>
  </si>
  <si>
    <t>CC</t>
  </si>
  <si>
    <t>Chemours Company</t>
  </si>
  <si>
    <t>CMT</t>
  </si>
  <si>
    <t>Core Molding Technologies</t>
  </si>
  <si>
    <t>CRKN</t>
  </si>
  <si>
    <t>Crown ElectroKinetics Corp</t>
  </si>
  <si>
    <t>DD</t>
  </si>
  <si>
    <t>DuPont de Nemours Inc</t>
  </si>
  <si>
    <t>DNMR</t>
  </si>
  <si>
    <t>Danimer Scientific Inc</t>
  </si>
  <si>
    <t>ECL</t>
  </si>
  <si>
    <t>Ecolab, Inc</t>
  </si>
  <si>
    <t>ECVT</t>
  </si>
  <si>
    <t>Ecovyst Inc</t>
  </si>
  <si>
    <t>EMN</t>
  </si>
  <si>
    <t>Eastman Chemical Co</t>
  </si>
  <si>
    <t>ESI</t>
  </si>
  <si>
    <t>Element Solutions Inc</t>
  </si>
  <si>
    <t>FEAM</t>
  </si>
  <si>
    <t>5E Advanced Materials Inc</t>
  </si>
  <si>
    <t>FF</t>
  </si>
  <si>
    <t>Futurefuel Corp</t>
  </si>
  <si>
    <t>FUL</t>
  </si>
  <si>
    <t>H.B. Fuller Company</t>
  </si>
  <si>
    <t>GEVO</t>
  </si>
  <si>
    <t>Gevo Inc</t>
  </si>
  <si>
    <t>HDSN</t>
  </si>
  <si>
    <t>Hudson Technologies, Inc</t>
  </si>
  <si>
    <t>HWKN</t>
  </si>
  <si>
    <t>Hawkins Inc</t>
  </si>
  <si>
    <t>IFF</t>
  </si>
  <si>
    <t>International Flavors &amp; Fragrances Inc</t>
  </si>
  <si>
    <t>IOSP</t>
  </si>
  <si>
    <t>Innospec Inc</t>
  </si>
  <si>
    <t>KOP</t>
  </si>
  <si>
    <t>Koppers Holdings Inc</t>
  </si>
  <si>
    <t>KRO</t>
  </si>
  <si>
    <t>Kronos Worldwide, Inc</t>
  </si>
  <si>
    <t>KWR</t>
  </si>
  <si>
    <t>Quaker Houghton</t>
  </si>
  <si>
    <t>LWLG</t>
  </si>
  <si>
    <t>Lightwave Logic Inc</t>
  </si>
  <si>
    <t>MATV</t>
  </si>
  <si>
    <t>Mativ Holdings Inc</t>
  </si>
  <si>
    <t>MTX</t>
  </si>
  <si>
    <t>Minerals Technologies, Inc</t>
  </si>
  <si>
    <t>NEU</t>
  </si>
  <si>
    <t>NewMarket Corp</t>
  </si>
  <si>
    <t>NGVT</t>
  </si>
  <si>
    <t>Ingevity Corp</t>
  </si>
  <si>
    <t>NTIC</t>
  </si>
  <si>
    <t>Northern Technologies International Corp</t>
  </si>
  <si>
    <t>ODC</t>
  </si>
  <si>
    <t>Oil-Dri Corp. Of America</t>
  </si>
  <si>
    <t>PPG</t>
  </si>
  <si>
    <t>PPG Industries, Inc</t>
  </si>
  <si>
    <t>RPM</t>
  </si>
  <si>
    <t>RPM International, Inc</t>
  </si>
  <si>
    <t>SCL</t>
  </si>
  <si>
    <t>Stepan Co</t>
  </si>
  <si>
    <t>SHW</t>
  </si>
  <si>
    <t>Sherwin-Williams Co</t>
  </si>
  <si>
    <t>SNES</t>
  </si>
  <si>
    <t>SenesTech Inc</t>
  </si>
  <si>
    <t>SXT</t>
  </si>
  <si>
    <t>Sensient Technologies Corp</t>
  </si>
  <si>
    <t>TSE</t>
  </si>
  <si>
    <t>Trinseo PLC</t>
  </si>
  <si>
    <t>WDFC</t>
  </si>
  <si>
    <t>WD-40 Co</t>
  </si>
  <si>
    <t>WLK</t>
  </si>
  <si>
    <t>Westlake Corporation</t>
  </si>
  <si>
    <t xml:space="preserve">Steel </t>
  </si>
  <si>
    <t>ACNT</t>
  </si>
  <si>
    <t>Ascent Industries Co</t>
  </si>
  <si>
    <t>CLF</t>
  </si>
  <si>
    <t>Cleveland-Cliffs Inc</t>
  </si>
  <si>
    <t>CMC</t>
  </si>
  <si>
    <t>Commercial Metals Co</t>
  </si>
  <si>
    <t>FRD</t>
  </si>
  <si>
    <t>Friedman Industries, Inc</t>
  </si>
  <si>
    <t>INHD</t>
  </si>
  <si>
    <t>Inno Holdings Inc</t>
  </si>
  <si>
    <t>MSB</t>
  </si>
  <si>
    <t>Mesabi Trust</t>
  </si>
  <si>
    <t>MTUS</t>
  </si>
  <si>
    <t>Metallus Inc</t>
  </si>
  <si>
    <t>NUE</t>
  </si>
  <si>
    <t>Nucor Corp</t>
  </si>
  <si>
    <t>RDUS</t>
  </si>
  <si>
    <t>Radius Recycling Inc</t>
  </si>
  <si>
    <t>RS</t>
  </si>
  <si>
    <t>Reliance Inc</t>
  </si>
  <si>
    <t>STLD</t>
  </si>
  <si>
    <t>Steel Dynamics Inc</t>
  </si>
  <si>
    <t>USAP</t>
  </si>
  <si>
    <t>Universal Stainless &amp; Alloy Products, Inc</t>
  </si>
  <si>
    <t>WS</t>
  </si>
  <si>
    <t>Worthington Steel Inc</t>
  </si>
  <si>
    <t>X</t>
  </si>
  <si>
    <t>United States Steel Corp</t>
  </si>
  <si>
    <t>ZEUS</t>
  </si>
  <si>
    <t>Olympic Steel Inc</t>
  </si>
  <si>
    <t xml:space="preserve">UFPI </t>
  </si>
  <si>
    <t>NPV</t>
  </si>
  <si>
    <t>CPS</t>
  </si>
  <si>
    <t>$m</t>
  </si>
  <si>
    <t>CENX</t>
  </si>
  <si>
    <t>KALU</t>
  </si>
  <si>
    <t>SLVM</t>
  </si>
  <si>
    <t>MAGN</t>
  </si>
  <si>
    <t>CLW</t>
  </si>
  <si>
    <t xml:space="preserve">Weight </t>
  </si>
  <si>
    <t>Weighted returns</t>
  </si>
  <si>
    <t>SSD</t>
  </si>
  <si>
    <t>JCTC</t>
  </si>
  <si>
    <t>VMC US</t>
  </si>
  <si>
    <t>MLM US</t>
  </si>
  <si>
    <t>EV/E</t>
  </si>
  <si>
    <t>2024 R</t>
  </si>
  <si>
    <t>Start 24</t>
  </si>
  <si>
    <t>End 24</t>
  </si>
  <si>
    <t>2025 R</t>
  </si>
  <si>
    <t>Trade Structure for RGLD</t>
  </si>
  <si>
    <t>current price</t>
  </si>
  <si>
    <t>port siz</t>
  </si>
  <si>
    <t>target risk per tarde</t>
  </si>
  <si>
    <t>300-600</t>
  </si>
  <si>
    <t>Stop Loss</t>
  </si>
  <si>
    <t>Upisde target</t>
  </si>
  <si>
    <t>Risk Per Share</t>
  </si>
  <si>
    <t>Pos Size</t>
  </si>
  <si>
    <t>Pos Size Agress</t>
  </si>
  <si>
    <t>Entry</t>
  </si>
  <si>
    <t xml:space="preserve">Add on Dips </t>
  </si>
  <si>
    <t>130-132</t>
  </si>
  <si>
    <t>Exit Strat</t>
  </si>
  <si>
    <t>Profit from 47 shares</t>
  </si>
  <si>
    <t>Loss from 47 shares</t>
  </si>
  <si>
    <t>Catalysts</t>
  </si>
  <si>
    <t>Gold Prices</t>
  </si>
  <si>
    <t>above $2600/oz</t>
  </si>
  <si>
    <t>Q4 results</t>
  </si>
  <si>
    <t>production from Penasquito, khoemacau, mount milligan</t>
  </si>
  <si>
    <t xml:space="preserve">Negative opertioanl updates </t>
  </si>
  <si>
    <t>delays in ramp ups or production</t>
  </si>
  <si>
    <t>Trade Structure for CDE</t>
  </si>
  <si>
    <t>`</t>
  </si>
  <si>
    <t>CRH IRE</t>
  </si>
  <si>
    <t xml:space="preserve">Industry </t>
  </si>
  <si>
    <t>develops and seels seeds and crop protection (herbacides, insecticides) to farmers with a focus on genetically engineered</t>
  </si>
  <si>
    <t xml:space="preserve">produces and distributes nitrogen based fertilizers (like ammonia and urea) used to boost crop yields in large scale agriculture </t>
  </si>
  <si>
    <t>mines and produces phosphate and potash fertilizers, essential nutrients for global crop production</t>
  </si>
  <si>
    <t xml:space="preserve">manufactures crop protection chemicals such as insecticides, herbacides, and fungicides with a strong focus on patented specialty formulations for global agriculture </t>
  </si>
  <si>
    <t>sells consumer lawn and garden products like fertilizer, soil, and weed/pest control and supplies indoor growing equipment through its Hawthorne division</t>
  </si>
  <si>
    <t xml:space="preserve">produces and sells nitrogen fertilizers primarily urea ammonium nitrate (UAN) using petroleum coke as a feedstock at its two U.S. facilities </t>
  </si>
  <si>
    <t>produces potash and specialty fertilizers (Trio) primarily from solar evaporation in the U.S</t>
  </si>
  <si>
    <t>uses AI and genomics to develop high protein, non GMO soybeans and other crops aimed at improving sustainability in food and feed supply chains</t>
  </si>
  <si>
    <t xml:space="preserve">produces and sells aluminum and alumina globally with ops spaning bauxite mining, alumina refining, and aluminum smelting </t>
  </si>
  <si>
    <t xml:space="preserve">manufactures primarily aluminum through U.S. and iceland based smelters, serving industrial &amp; aerospace markets </t>
  </si>
  <si>
    <t>produces specialty rolled and extruded aluminum products primarily for the aerospace, automotive, and industrial markets in NA</t>
  </si>
  <si>
    <t xml:space="preserve">global building materials co based in Ireland, supply cement, aggregates, asphalt, and construction services, with ops in NA &amp; Europe </t>
  </si>
  <si>
    <t>largest producer of construction aggregates like crushed stone, sand, and gravel used in infrastructure, housing, and road projects</t>
  </si>
  <si>
    <t>supplies crushed stone, sand, gravel, cement, and ready mixed concrete primarily for U.S infrastructure and construction projects</t>
  </si>
  <si>
    <t>produces and sells cement, conrete, gypsum wallboard, and other heavy building materials primarily in U.S. construction and infrastructure markets</t>
  </si>
  <si>
    <t>provides construction materials including aggregates, cement, ready mix concrete, and asphalt, with operations focused in the U.S. and western Canada</t>
  </si>
  <si>
    <t>develops and markets crop protection chemicals and soil health products, stronog presence in herbicides and insecticides</t>
  </si>
  <si>
    <t>produces and delivers aggregates, ready mix concrete, and asphalt for construction and infrastructure projects, primarily in the Western and Central U.S.</t>
  </si>
  <si>
    <t>manufactures engineered wood products and distributes building materials to lumberyards and homebuilders across NA</t>
  </si>
  <si>
    <t>produces high purity lime and limestone products used in environmental, industrial, and construction applications, primarily in the south central U.S&gt;</t>
  </si>
  <si>
    <t>manufactures precast concrete products like highway barriers, utility vaults, and sound walls for infrastructure and construction projects in the u.s.</t>
  </si>
  <si>
    <t>global chemical company that produces plastics, industrial intermediates, coatings, and silicones used across packaging, infrastructure, and consumer goods industries</t>
  </si>
  <si>
    <t>produces specialty chemicals and engineered materials including polymers and acetyl products used in automotive, electronics, medical, and industrial applications</t>
  </si>
  <si>
    <t xml:space="preserve">manufactures chlor-alkali chemicals and epoxy resins, and is also a major U.S. producer of ammunition through its wiinchester division </t>
  </si>
  <si>
    <t>produces specialty and industrial chemicals including polyurethanes, performance products, and adhesives used in construction, automotive, and consumer markets</t>
  </si>
  <si>
    <t>produces titanium dioxide pigments used in paints, plastics, and coatings, as well as zircon and other mineral sands products</t>
  </si>
  <si>
    <t>owns and operates ethylene production assets, supplying its parent company westlake corp  with feedstock for making plastics and petrochemicals</t>
  </si>
  <si>
    <t>produces nylon, ammonium sulfate fertilizer, and chemical intermediates used in agriculture, automotive, and consumer goods industries</t>
  </si>
  <si>
    <t xml:space="preserve">produces ethanol and related byproducts like distillers grains and corn oil through interests in U.S. U.S. ethanol production facilities </t>
  </si>
  <si>
    <t>produces ethanol, renewable corn oil, and highly protein animal feed, with a shift towards bio-based ingredients and low carbon fuel technologies</t>
  </si>
  <si>
    <t xml:space="preserve">holding compani with majority ownership in Kronos Worldwide (titanium dioxide pigments) as well as real estate and security products business </t>
  </si>
  <si>
    <t xml:space="preserve">produces nitrogen-based chemicals inlcuding ammonia, nitric acid, and urea ammonium nitrate for agricultural, industrial, and mining markets </t>
  </si>
  <si>
    <t>manufactures high purity cellulose used in pharmaceuticals, food, and insutrial applications, along with paper pulp and forest products</t>
  </si>
  <si>
    <t xml:space="preserve">develops and produces enriched isotopes for medical, industrial, and quantum computing applications, with a focus on advanced nuclear medicine </t>
  </si>
  <si>
    <t xml:space="preserve">mines and exports metallurgical (coking) coal primarily used in steel production with operatiosn in Alabama </t>
  </si>
  <si>
    <t xml:space="preserve">produces and exports metallurgical coal used in steelmaking with mining operations primarily in Central Appalachia </t>
  </si>
  <si>
    <t>produces ,etallurgical andd thermal coal with a primary focus on supplying high quality coking coal for global steel production</t>
  </si>
  <si>
    <t xml:space="preserve">produces metallurgial coke (key input in steelmaking) and provides coke handling and logistics services to steel producers in u.s. and brazil </t>
  </si>
  <si>
    <t xml:space="preserve">mines and sells metallurgical coal used in steel production with operations focused in the appalachian region </t>
  </si>
  <si>
    <t xml:space="preserve">recycles and mines critical and metallurgical minerals including rare earth elements and coking coal, with a focus on supplying U.S. infrastructure and clean tech sectors </t>
  </si>
  <si>
    <t xml:space="preserve">one of the world largest integrated copper producers with mining, smelting, and refining operations primarily in Mexico and Peru </t>
  </si>
  <si>
    <t xml:space="preserve">leading global miner of copper, gold, and molbdenum with operations in u.s., indonesia, and south america </t>
  </si>
  <si>
    <t xml:space="preserve">explores and develops copper and critical mineral projects using proprietary geophysical tech to locate high value deposits </t>
  </si>
  <si>
    <t>world's largest gold mining co, producing gold and copper from operations across america, africa, and australia</t>
  </si>
  <si>
    <t xml:space="preserve">acquires and manages royalty and streaming interests in gold, silver, copper, and other metals, earning a percentage of production revenues without operation mines </t>
  </si>
  <si>
    <t xml:space="preserve">operates silver and gold mines in the u.s and mexico producing precious metals through wholly owned mining operations </t>
  </si>
  <si>
    <t>operates gold and silver mines across the u.s., canada, turkey, and argentina with a focus on ow cost, high margin precious metal production</t>
  </si>
  <si>
    <t>developmental stage company focused on advancing the Donlin Gold project in Alaska, on of the largest undeveloped gold deposits in the world (JB with barrick gold)</t>
  </si>
  <si>
    <t xml:space="preserve">u.s. focused gold mining company developing and operating high grade gold projects in Nevada, aiming to become a mid-tier producer </t>
  </si>
  <si>
    <t xml:space="preserve">gold exploration company focused on revitalizing historic gold mining districts in south dakota including areas near the famous homestake mine </t>
  </si>
  <si>
    <t xml:space="preserve">produces gold and explores for rare earth elements in Idaho with active mining at its Golden Crest operation and critical mineral exploration nearby </t>
  </si>
  <si>
    <t>develops high grade gold project in Alaska, primarily through its joint venture with Kinross Gold at the Manh Choh project</t>
  </si>
  <si>
    <t>gold and copper exploration and development company focused on projects in wyoming, nevada, and idaho, including flagship ck gold project</t>
  </si>
  <si>
    <t xml:space="preserve">operates the Hycroft Mine in Nevada, focused on developing a large scale heap leach gold and silver operation with significant untapped reserves </t>
  </si>
  <si>
    <t>gold exploration and development company advancing the Grassy Mountain gold project in Oregon toward permitting and production</t>
  </si>
  <si>
    <t xml:space="preserve">produces gold, silver, and base metals from its Don David Gold Mine in Mexico while also exploring development stage projects in Nevada </t>
  </si>
  <si>
    <t>manufactures and distributes wood and wood alternative products for the retail, construction, and industrial markets, including desking, fencing, and trusses</t>
  </si>
  <si>
    <t xml:space="preserve">designs and manufactures structural connectors, anchorsm and fasteners used in residential and commercial construction to strengthen buildings and resist seismic, wind, and other forces </t>
  </si>
  <si>
    <t>distributes and manufactures fencing, pet enclosures, garden products, and industrial tools primarily for retail and agricultural markets in north america</t>
  </si>
  <si>
    <t>owns and operates Mountain Pass rare earth mine in CA, the only integrated rare earth mining and processing site in the u.S.</t>
  </si>
  <si>
    <t>produces advanced engineered materials including alloys, beryllium, and ceramics used in high performancce applications across aerospace, semiconductors, energy, and defense industries</t>
  </si>
  <si>
    <t xml:space="preserve">develops sustainable titanium production technologies and sources titanium  and rare earths in the U.S aiming to localize critical material supplu chains for aerospace, defense, and clearn energy </t>
  </si>
  <si>
    <t xml:space="preserve">focuses on acquiring and developing critical mineral assets essential for clean energy, defense, and high tech indsutries primarily within the U.S. and allied countries </t>
  </si>
  <si>
    <t>produces salt, plant nutrients, and specialty minerals and is developing a lithium brine project in Utah to support the u.s. battery supply chain</t>
  </si>
  <si>
    <t>develops technologies for lithium ion battery recycling extraction, and refining, aiming to create a closed loop domestic battery material supply chain in the U.S</t>
  </si>
  <si>
    <t xml:space="preserve">aims to develop the Elk Creek Project in Nebraska a U.S. based mine for niobium, scandium, and rare earth elements used in aerospace, defense, and clean energy technology </t>
  </si>
  <si>
    <t>u.s. based exploration company advancing zinc and precious metals projects in North and South America, including JV with Teck on the Lik zinc project in Alaska</t>
  </si>
  <si>
    <t xml:space="preserve">developing cooza graphite project in Alabama to produce natural graphite for U.S. battery anode materials targeting the domestic EV and energy storage markets </t>
  </si>
  <si>
    <t xml:space="preserve">engages in deep sea mineral exploration focusing on recovering valuable resources like phosphate and polymettalic nodules from the ocean floor </t>
  </si>
  <si>
    <t xml:space="preserve">silver produces with operating mines in Alaska, Idaho, and Quebec also producing gold, lead, and zinc </t>
  </si>
  <si>
    <t>developing the stibnite Gold project in Idaho, which aims to produce gold and the critical mineral antimony for commercial and defense appiications</t>
  </si>
  <si>
    <t>focuses on clean energy technologies and sustainable mineral development, including lithium ion battery recycling, carbon capture, and historic mining assets in Nevada</t>
  </si>
  <si>
    <t>precious metals exploration and development company focused on gold and silver projects in Mexico and South America</t>
  </si>
  <si>
    <t xml:space="preserve">global paper company that produces uncoated printing and writing paper, serving commercial printers, paper distributors, and office suppyl retailers </t>
  </si>
  <si>
    <t>producer of nonwoven fabrics and specialty materials used in hygiene, healthcare, filtration, packaging, and industrial applications</t>
  </si>
  <si>
    <t xml:space="preserve">manufactures consumer tissue products (private label toilet paper and paper towels) and paperboard used in packaging for food and consumer goods </t>
  </si>
  <si>
    <t xml:space="preserve">producers renewable alcohols and essential ingredients used in fuels, food, beverage, and industrial markets inlcudinig ethanol and specialty alcohols </t>
  </si>
  <si>
    <t>manufactures ethanol and specialty alcohols for use in renewable fuels, beverages, cleaning products, and industrial applications</t>
  </si>
  <si>
    <t>supplies industrial gases like hydrogen, oxygen, and nitrogen for use in energy, electronics, healthcare, and manufacturing, and is a leader in clean hydrogen and carbon capture projects</t>
  </si>
  <si>
    <t xml:space="preserve">produces specialty chemicals and ingredients used in personal care, pharmaceuticals, coatings, and adhesives, with a focus on high performance sustainable solutions </t>
  </si>
  <si>
    <t>provides specialized polymer materials and colorants, including custom plastic compounds and sustainable materials for healthcare, automative, electronics, and packaging industries</t>
  </si>
  <si>
    <t>manufactures liquidand powder coatings used in automotive refinishing, oem vehicles, industrial equipment, and architectural applications</t>
  </si>
  <si>
    <t>manufactures performance chemicals such as titanium dioxide (for coatings), refrigerantsm and fluoropolymers (like Teflon), serving industrial and consumer markets globally</t>
  </si>
  <si>
    <t xml:space="preserve">manufactures composite and plastic molded products for the transportation, industrial, and building sectors, including truck parts and structural panels </t>
  </si>
  <si>
    <t xml:space="preserve">develops smart glass and electrokinetic film technologies that can control light and heat for windows, targeting commercial buildings and telecom infrastructure </t>
  </si>
  <si>
    <t xml:space="preserve">diversified industrial co producing specialty materials, electronics, and biosciences solutions, serving markets like semiconductors, water filtration, automotive, and healthcare </t>
  </si>
  <si>
    <t xml:space="preserve">develops and produces biodegradable plastics using renewable plant-based materials, targeting sustainable packaging solutions as an alternative to petroleum based plastics </t>
  </si>
  <si>
    <t xml:space="preserve">provides water, hygiene, and energy technologies and services to industries like food, healthcare, and hospitality helping business improve cleanliness, efficiency, and sustainability </t>
  </si>
  <si>
    <t>supplies catalysts and specialty materials used in clean fuel production, chemical manufacturing, and environmental applications, including emission control and water purification</t>
  </si>
  <si>
    <t xml:space="preserve">produces specialty chemicals, additives, and advanced materials used in automotive consumer goods, construction, and packaging with a growing focus on recyling and sustainability plastics </t>
  </si>
  <si>
    <t xml:space="preserve">provides specialty chemicals and materials used in electronics, automotive, and industrial manufacturing, including products for circuit boards, semiconductors, and coatings </t>
  </si>
  <si>
    <t>develops and produces boron and lithium materials from its Fort Cady project in CA used in clean energy, semiconductors, and advanced materials apps</t>
  </si>
  <si>
    <t>produces biofuels (biodiesel) and specialty chemical products for various industries with operations focused in the U.S. midwest</t>
  </si>
  <si>
    <t>manufactures industrial adhesvies, sealants, and specialty chem products used in packaging, construction, electronics, and hygiene apps</t>
  </si>
  <si>
    <t xml:space="preserve">produces renewable fuels and chemicals including sustainable aviation fuel (saf) from plant based feedstocks using low carbon tech </t>
  </si>
  <si>
    <t>formulaters and distributes industrial and specialty chemicals with. strong presence in water treatment, agriculture, and food ingredients across the u.s.</t>
  </si>
  <si>
    <t xml:space="preserve">develops and manufactures flavors, fragrances, and specialty ingredients used in food, beverages, personal care, and household products </t>
  </si>
  <si>
    <t>produces specialty chemicals for fuel additives, personal care, performance chemicals, and oilfield services, focusing on high margin customized formulations</t>
  </si>
  <si>
    <t>produces treated wood products, carbon compounds, and performance chemicals used in railroad, utility, residential, and industrial infrastructure mrkets</t>
  </si>
  <si>
    <t xml:space="preserve">manufacturestitanium dioxide pigments which are used to whiten and brighten products like paints, plastics, paper, and cosmetics </t>
  </si>
  <si>
    <t xml:space="preserve">provides process fluids and specialty chemicals used in metalworking machining, and industrial manufacturingservings industries like automotive, aerospace, and steel </t>
  </si>
  <si>
    <t xml:space="preserve">develops electro-optic polymers for high speed data transmission, aiming to revolutionize fiber optic comms in data centers and telecom networks </t>
  </si>
  <si>
    <t>manufactures engineered materials and specialty papers used in filtration, healthcare, packaging, and industrial apps formed from the merger of schweitzer-mauduit and neenah</t>
  </si>
  <si>
    <t xml:space="preserve">produces specialty minerals and performance materials including precipitated calcium carbonate and bentonite, used in paper, construction, foundry, and environmental markets </t>
  </si>
  <si>
    <t>develops and manufactures petroleum based additives used in lubricants and fuels primarily though its Afton chem subsidiary serving automotive and industrial markets</t>
  </si>
  <si>
    <t xml:space="preserve">produces specialty chemicals and activated carbon used in automotive emissions systems, pavement tech, and industrial apps </t>
  </si>
  <si>
    <t>develops and markets rust and corrosion prevention products, biogradable plastics, and specialty materials for industrial and anvironmental applications</t>
  </si>
  <si>
    <t xml:space="preserve">produces absorbent mineral products for use in cat litter, agricultural chemicals, industrial cleanup, and sports field maintenance </t>
  </si>
  <si>
    <t>manufactures pains, coatings, and specialty materials for automotive, aerospace, industrial, and consumer markets</t>
  </si>
  <si>
    <t>owns brands that produce coatings, sealants, and building materials used in construction, maintenance, and specialty industrial apps</t>
  </si>
  <si>
    <t>produces specialty and intermediate chemicals including surfactants used in cleaning and personal care products, and polyols used in insulation and coatings</t>
  </si>
  <si>
    <t>leading manufacturer and retailer of paints, coatings, and related products, serving prof, industrial, commercial, and DIY customers</t>
  </si>
  <si>
    <t xml:space="preserve">develops non-lethal rodent control products based on fertility mgmt tech, offering alternatives to traditional rodenticides for pest control </t>
  </si>
  <si>
    <t>produces colors, flavors, and specialty ingredients used in food, beverages, cosmetics, pharmaceuticals, and personal care products</t>
  </si>
  <si>
    <t>manufactures plastic, latex binders, and synthentic rubber, serving markets like automotive, building materials, and consumer goods</t>
  </si>
  <si>
    <t xml:space="preserve">produces and markets mintenance and cleaning products best known for its flagship product WD-40multi use lubricant, used globally in homes, workshops, and industries </t>
  </si>
  <si>
    <t xml:space="preserve">global manufacturer of petrochem, plastics, and building products serving construction, packaging, and industrial markets </t>
  </si>
  <si>
    <t>manufacturers specialty steel and stainless steel products including pipes, tubes, nd fittings for industrial energy and infras apps</t>
  </si>
  <si>
    <t xml:space="preserve">vertically integrated steel producer and iron ore miner prim serving the auomotive, construction, and manufacturing sectors </t>
  </si>
  <si>
    <t xml:space="preserve">recycles scrap metal and produces rebar and steel products through electric arc furance (eaf) mini mills, primarily for construction and infrastructure markets </t>
  </si>
  <si>
    <t xml:space="preserve">processes and distributes hot rolled steel coil an dpipe products, serving steel service centers, distributors, and fabricators </t>
  </si>
  <si>
    <t xml:space="preserve">develops and manufactuers innovative building materials, including prefabricated and 3D-printed construction products and at improving efficiency and sustainability in the construction </t>
  </si>
  <si>
    <t xml:space="preserve">holds royalty interests in iroon ore mining operations managed by cleveland cliffs in Minnesota, earning income based on production and sale of iron ore pellets </t>
  </si>
  <si>
    <t>processes and manufactures specialty  steel products, including bar and seamless mechanical tubing, serving aerospace, industrial, and energy markets in NA</t>
  </si>
  <si>
    <t xml:space="preserve">largest steel producer operating electric arc furnace (EAF), mini mills, and producing steel and steel products for automotive, construction, and energy markets </t>
  </si>
  <si>
    <t xml:space="preserve">recycles scrap metal and manufactures recycled steel products primarily serving construction and manufacturing industries </t>
  </si>
  <si>
    <t>metals service cetner co distributing steel, aluminum, and specialty metals and providing value added processing for industrial commercial customers</t>
  </si>
  <si>
    <t xml:space="preserve">steel producer operating elctric arc furnaces and producing flat rolled, structural, and long steel products with integrated recycling ops </t>
  </si>
  <si>
    <t xml:space="preserve">manufactures high performance specialty steel products, including stainless steel and superalloys primarily for aerospace power gen, and defense </t>
  </si>
  <si>
    <t xml:space="preserve">processes and manufactures value added steel products including engineered blanks, tubing, and tailor welded solutions serving automotive construction and industrial markets </t>
  </si>
  <si>
    <t xml:space="preserve">integrated steel producer that mines iron ore andf manufactures flat rolled and tabular steel products for automotive construction and energy markets </t>
  </si>
  <si>
    <t>processes and sitributes flat rolled, tabular, and specialty metals inlcuding carbon, stainless steel, and aluminum products, for industrial and manufacturing customers in the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</si>
</sst>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0.0%"/>
    <numFmt numFmtId="167" formatCode="_(* #,##0_);_(* \(#,##0\);_(* &quot;-&quot;??_);_(@_)"/>
  </numFmts>
  <fonts count="9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sz val="10"/>
      <color rgb="FF000000"/>
      <name val="ArialMT"/>
    </font>
    <font>
      <sz val="10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0" fontId="1" fillId="0" borderId="0" xfId="1"/>
    <xf numFmtId="3" fontId="1" fillId="0" borderId="0" xfId="1" applyNumberFormat="1"/>
    <xf numFmtId="3" fontId="2" fillId="0" borderId="0" xfId="0" applyNumberFormat="1" applyFont="1"/>
    <xf numFmtId="4" fontId="0" fillId="0" borderId="0" xfId="0" applyNumberFormat="1"/>
    <xf numFmtId="164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64" fontId="3" fillId="0" borderId="0" xfId="0" applyNumberFormat="1" applyFont="1"/>
    <xf numFmtId="3" fontId="5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64" fontId="1" fillId="0" borderId="0" xfId="1" applyNumberForma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6" fillId="0" borderId="0" xfId="0" applyFont="1"/>
    <xf numFmtId="4" fontId="6" fillId="0" borderId="0" xfId="0" applyNumberFormat="1" applyFont="1"/>
    <xf numFmtId="166" fontId="6" fillId="0" borderId="0" xfId="0" applyNumberFormat="1" applyFont="1"/>
    <xf numFmtId="3" fontId="6" fillId="0" borderId="0" xfId="0" applyNumberFormat="1" applyFont="1"/>
    <xf numFmtId="10" fontId="0" fillId="0" borderId="0" xfId="0" applyNumberFormat="1"/>
    <xf numFmtId="167" fontId="0" fillId="0" borderId="0" xfId="0" applyNumberFormat="1"/>
    <xf numFmtId="10" fontId="5" fillId="0" borderId="0" xfId="0" applyNumberFormat="1" applyFont="1"/>
    <xf numFmtId="0" fontId="0" fillId="0" borderId="0" xfId="0" quotePrefix="1"/>
    <xf numFmtId="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Downloads/IDR.xlsx" TargetMode="External"/><Relationship Id="rId18" Type="http://schemas.openxmlformats.org/officeDocument/2006/relationships/hyperlink" Target="../../../../../Downloads/AMR.xlsx" TargetMode="External"/><Relationship Id="rId26" Type="http://schemas.openxmlformats.org/officeDocument/2006/relationships/hyperlink" Target="../../../../../Downloads/agricultural%20inputs/CTVA.xlsx" TargetMode="External"/><Relationship Id="rId3" Type="http://schemas.openxmlformats.org/officeDocument/2006/relationships/hyperlink" Target="../../../../../Downloads/GORO.xlsx" TargetMode="External"/><Relationship Id="rId21" Type="http://schemas.openxmlformats.org/officeDocument/2006/relationships/hyperlink" Target="../../../../../Downloads/METC.xlsx" TargetMode="External"/><Relationship Id="rId7" Type="http://schemas.openxmlformats.org/officeDocument/2006/relationships/hyperlink" Target="../../../../../Downloads/Gold/NEM.xlsx" TargetMode="External"/><Relationship Id="rId12" Type="http://schemas.openxmlformats.org/officeDocument/2006/relationships/hyperlink" Target="../../../../../Downloads/DC.xlsx" TargetMode="External"/><Relationship Id="rId17" Type="http://schemas.openxmlformats.org/officeDocument/2006/relationships/hyperlink" Target="../../../../../Downloads/HCC.xlsx" TargetMode="External"/><Relationship Id="rId25" Type="http://schemas.openxmlformats.org/officeDocument/2006/relationships/hyperlink" Target="../../../../../Downloads/Basic%20Materials/Building%20Materials/USLM.xlsx" TargetMode="External"/><Relationship Id="rId33" Type="http://schemas.openxmlformats.org/officeDocument/2006/relationships/hyperlink" Target="chemicals/CE.xlsx" TargetMode="External"/><Relationship Id="rId2" Type="http://schemas.openxmlformats.org/officeDocument/2006/relationships/hyperlink" Target="../../../../../Downloads/HYMC.xlsx" TargetMode="External"/><Relationship Id="rId16" Type="http://schemas.openxmlformats.org/officeDocument/2006/relationships/hyperlink" Target="../../../../../Downloads/IE.xlsx" TargetMode="External"/><Relationship Id="rId20" Type="http://schemas.openxmlformats.org/officeDocument/2006/relationships/hyperlink" Target="../../../../../Downloads/SXC.xlsx" TargetMode="External"/><Relationship Id="rId29" Type="http://schemas.openxmlformats.org/officeDocument/2006/relationships/hyperlink" Target="../../../../../Downloads/IAUX.xlsx" TargetMode="External"/><Relationship Id="rId1" Type="http://schemas.openxmlformats.org/officeDocument/2006/relationships/hyperlink" Target="../../../../../Downloads/PZG.xlsx" TargetMode="External"/><Relationship Id="rId6" Type="http://schemas.openxmlformats.org/officeDocument/2006/relationships/hyperlink" Target="../../../../../Downloads/CTGO.xlsx" TargetMode="External"/><Relationship Id="rId11" Type="http://schemas.openxmlformats.org/officeDocument/2006/relationships/hyperlink" Target="../../../../../Downloads/NG.xlsx" TargetMode="External"/><Relationship Id="rId24" Type="http://schemas.openxmlformats.org/officeDocument/2006/relationships/hyperlink" Target="../../../../../Downloads/AA.xlsx" TargetMode="External"/><Relationship Id="rId32" Type="http://schemas.openxmlformats.org/officeDocument/2006/relationships/hyperlink" Target="Aluminum/KALU.xlsx" TargetMode="External"/><Relationship Id="rId5" Type="http://schemas.openxmlformats.org/officeDocument/2006/relationships/hyperlink" Target="../../../../../Downloads/USAU.xlsx" TargetMode="External"/><Relationship Id="rId15" Type="http://schemas.openxmlformats.org/officeDocument/2006/relationships/hyperlink" Target="../../../../../Downloads/FCX.xlsx" TargetMode="External"/><Relationship Id="rId23" Type="http://schemas.openxmlformats.org/officeDocument/2006/relationships/hyperlink" Target="../../../../../Downloads/PPTA.xlsx" TargetMode="External"/><Relationship Id="rId28" Type="http://schemas.openxmlformats.org/officeDocument/2006/relationships/hyperlink" Target="../../../../../Downloads/MOS.xlsx" TargetMode="External"/><Relationship Id="rId10" Type="http://schemas.openxmlformats.org/officeDocument/2006/relationships/hyperlink" Target="../../../../../Downloads/SSRM.xlsx" TargetMode="External"/><Relationship Id="rId19" Type="http://schemas.openxmlformats.org/officeDocument/2006/relationships/hyperlink" Target="../../../../../Downloads/ARCH.xlsx" TargetMode="External"/><Relationship Id="rId31" Type="http://schemas.openxmlformats.org/officeDocument/2006/relationships/hyperlink" Target="agricultural%20inputs/SMG.xlsx" TargetMode="External"/><Relationship Id="rId4" Type="http://schemas.openxmlformats.org/officeDocument/2006/relationships/hyperlink" Target="../../../../../Downloads/VGZ.xlsx" TargetMode="External"/><Relationship Id="rId9" Type="http://schemas.openxmlformats.org/officeDocument/2006/relationships/hyperlink" Target="../../../../../Downloads/CDE.xlsx" TargetMode="External"/><Relationship Id="rId14" Type="http://schemas.openxmlformats.org/officeDocument/2006/relationships/hyperlink" Target="../../../../../Downloads/SCCO.xlsx" TargetMode="External"/><Relationship Id="rId22" Type="http://schemas.openxmlformats.org/officeDocument/2006/relationships/hyperlink" Target="../../../../../Downloads/UFPI.xlsx" TargetMode="External"/><Relationship Id="rId27" Type="http://schemas.openxmlformats.org/officeDocument/2006/relationships/hyperlink" Target="../../../../../Downloads/agricultural%20inputs/CF.xlsx" TargetMode="External"/><Relationship Id="rId30" Type="http://schemas.openxmlformats.org/officeDocument/2006/relationships/hyperlink" Target="specialty%20chemicals/APD.xlsx" TargetMode="External"/><Relationship Id="rId8" Type="http://schemas.openxmlformats.org/officeDocument/2006/relationships/hyperlink" Target="../../../../../Downloads/RG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B218-3E7A-1241-A727-9C68ACE4A1E8}">
  <dimension ref="A1:AI141"/>
  <sheetViews>
    <sheetView tabSelected="1" zoomScale="125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U15" sqref="U15"/>
    </sheetView>
  </sheetViews>
  <sheetFormatPr baseColWidth="10" defaultRowHeight="13" outlineLevelCol="1"/>
  <cols>
    <col min="1" max="1" width="1.6640625" style="1" customWidth="1"/>
    <col min="2" max="2" width="28.33203125" style="1" bestFit="1" customWidth="1"/>
    <col min="3" max="3" width="6.33203125" style="1" bestFit="1" customWidth="1"/>
    <col min="4" max="4" width="22.83203125" style="1" bestFit="1" customWidth="1"/>
    <col min="5" max="5" width="5.5" style="6" bestFit="1" customWidth="1"/>
    <col min="6" max="6" width="7" style="1" bestFit="1" customWidth="1"/>
    <col min="7" max="7" width="7.6640625" style="1" bestFit="1" customWidth="1"/>
    <col min="8" max="9" width="5.6640625" style="1" bestFit="1" customWidth="1"/>
    <col min="10" max="10" width="6.6640625" style="1" bestFit="1" customWidth="1"/>
    <col min="11" max="11" width="4.6640625" style="1" bestFit="1" customWidth="1"/>
    <col min="12" max="12" width="7.1640625" style="1" bestFit="1" customWidth="1"/>
    <col min="13" max="13" width="7.1640625" style="18" customWidth="1"/>
    <col min="14" max="14" width="7.5" style="1" hidden="1" customWidth="1" outlineLevel="1"/>
    <col min="15" max="15" width="6.83203125" style="1" hidden="1" customWidth="1" outlineLevel="1"/>
    <col min="16" max="17" width="6.83203125" style="11" hidden="1" customWidth="1" outlineLevel="1"/>
    <col min="18" max="18" width="8.6640625" style="11" hidden="1" customWidth="1" outlineLevel="1"/>
    <col min="19" max="19" width="15" style="11" hidden="1" customWidth="1" outlineLevel="1"/>
    <col min="20" max="20" width="10.83203125" style="1" collapsed="1"/>
    <col min="21" max="21" width="15.83203125" style="1" bestFit="1" customWidth="1"/>
    <col min="22" max="16384" width="10.83203125" style="1"/>
  </cols>
  <sheetData>
    <row r="1" spans="1:35">
      <c r="A1" s="1" t="s">
        <v>291</v>
      </c>
      <c r="B1" s="1">
        <f>COUNTA(B3:B141)</f>
        <v>139</v>
      </c>
      <c r="G1" s="13">
        <f>SUM(G3:G86)</f>
        <v>297894.16840000002</v>
      </c>
      <c r="U1" s="16"/>
      <c r="V1" s="13"/>
      <c r="W1" s="13"/>
      <c r="X1" s="14"/>
      <c r="Y1" s="13"/>
      <c r="Z1" s="4"/>
      <c r="AA1" s="13"/>
      <c r="AB1" s="13"/>
      <c r="AC1" s="13"/>
      <c r="AD1" s="13"/>
      <c r="AE1" s="4"/>
      <c r="AF1" s="20"/>
      <c r="AG1" s="4"/>
      <c r="AH1" s="4"/>
      <c r="AI1" s="15"/>
    </row>
    <row r="2" spans="1:35" s="4" customFormat="1">
      <c r="B2" s="4" t="s">
        <v>1</v>
      </c>
      <c r="C2" s="13" t="s">
        <v>0</v>
      </c>
      <c r="D2" s="13" t="s">
        <v>334</v>
      </c>
      <c r="E2" s="14" t="s">
        <v>2</v>
      </c>
      <c r="F2" s="13" t="s">
        <v>31</v>
      </c>
      <c r="G2" s="13" t="s">
        <v>35</v>
      </c>
      <c r="H2" s="13" t="s">
        <v>32</v>
      </c>
      <c r="I2" s="13" t="s">
        <v>33</v>
      </c>
      <c r="J2" s="13" t="s">
        <v>34</v>
      </c>
      <c r="K2" s="13" t="s">
        <v>290</v>
      </c>
      <c r="L2" s="13" t="s">
        <v>289</v>
      </c>
      <c r="M2" s="19" t="s">
        <v>303</v>
      </c>
      <c r="N2" s="13" t="s">
        <v>305</v>
      </c>
      <c r="O2" s="13" t="s">
        <v>306</v>
      </c>
      <c r="P2" s="15" t="s">
        <v>304</v>
      </c>
      <c r="Q2" s="15" t="s">
        <v>307</v>
      </c>
      <c r="R2" s="15" t="s">
        <v>297</v>
      </c>
      <c r="S2" s="15" t="s">
        <v>298</v>
      </c>
      <c r="T2" s="13" t="s">
        <v>36</v>
      </c>
      <c r="U2" s="16"/>
      <c r="V2" s="13"/>
      <c r="W2" s="13"/>
      <c r="X2" s="14"/>
      <c r="Y2" s="13"/>
      <c r="Z2" s="13"/>
      <c r="AA2" s="13"/>
      <c r="AB2" s="13"/>
      <c r="AC2" s="13"/>
      <c r="AD2" s="13"/>
      <c r="AF2" s="20"/>
      <c r="AI2" s="15"/>
    </row>
    <row r="3" spans="1:35" s="4" customFormat="1">
      <c r="B3" s="17" t="s">
        <v>40</v>
      </c>
      <c r="C3" s="7" t="s">
        <v>39</v>
      </c>
      <c r="D3" s="8" t="s">
        <v>38</v>
      </c>
      <c r="E3" s="7">
        <v>62.32</v>
      </c>
      <c r="F3" s="7">
        <v>692</v>
      </c>
      <c r="G3" s="7">
        <f>+E3*F3</f>
        <v>43125.440000000002</v>
      </c>
      <c r="H3" s="7">
        <v>1959</v>
      </c>
      <c r="I3" s="7">
        <v>4724</v>
      </c>
      <c r="J3" s="7">
        <f>+G3-H3+I3</f>
        <v>45890.44</v>
      </c>
      <c r="K3" s="6">
        <f>+H3/F3</f>
        <v>2.8309248554913293</v>
      </c>
      <c r="L3" s="7"/>
      <c r="M3" s="21"/>
      <c r="N3" s="7">
        <v>48.56</v>
      </c>
      <c r="O3" s="7">
        <v>56.94</v>
      </c>
      <c r="P3" s="11">
        <v>0.17257001647446457</v>
      </c>
      <c r="Q3" s="11">
        <f>+E3/O3-1</f>
        <v>9.4485423252546497E-2</v>
      </c>
      <c r="R3" s="11">
        <f t="shared" ref="R3:R34" si="0">+G3/$G$1</f>
        <v>0.14476765433720387</v>
      </c>
      <c r="S3" s="11">
        <f>+Q3*R3</f>
        <v>1.3678433093329057E-2</v>
      </c>
      <c r="T3" s="7" t="s">
        <v>335</v>
      </c>
      <c r="U3" s="7"/>
    </row>
    <row r="4" spans="1:35" s="4" customFormat="1">
      <c r="B4" s="17" t="s">
        <v>42</v>
      </c>
      <c r="C4" s="7" t="s">
        <v>41</v>
      </c>
      <c r="D4" s="8" t="s">
        <v>38</v>
      </c>
      <c r="E4" s="7">
        <v>97</v>
      </c>
      <c r="F4" s="7">
        <v>174</v>
      </c>
      <c r="G4" s="7">
        <f>+E4*F4</f>
        <v>16878</v>
      </c>
      <c r="H4" s="7">
        <v>1877</v>
      </c>
      <c r="I4" s="7">
        <v>2970</v>
      </c>
      <c r="J4" s="7">
        <f>+G4-H4+I4</f>
        <v>17971</v>
      </c>
      <c r="K4" s="6">
        <f>+H4/F4</f>
        <v>10.787356321839081</v>
      </c>
      <c r="L4" s="7">
        <v>16.032</v>
      </c>
      <c r="M4" s="21">
        <v>10</v>
      </c>
      <c r="N4" s="7">
        <v>81.61</v>
      </c>
      <c r="O4" s="7">
        <v>85.86</v>
      </c>
      <c r="P4" s="11">
        <v>5.20769513540007E-2</v>
      </c>
      <c r="Q4" s="11">
        <f t="shared" ref="Q4:Q11" si="1">+E4/O4-1</f>
        <v>0.12974609829955752</v>
      </c>
      <c r="R4" s="11">
        <f t="shared" si="0"/>
        <v>5.6657705287257977E-2</v>
      </c>
      <c r="S4" s="11">
        <f t="shared" ref="S4:S61" si="2">+Q4*R4</f>
        <v>7.3511161996279335E-3</v>
      </c>
      <c r="T4" s="7" t="s">
        <v>336</v>
      </c>
      <c r="U4" s="7"/>
    </row>
    <row r="5" spans="1:35" s="4" customFormat="1">
      <c r="B5" s="17" t="s">
        <v>44</v>
      </c>
      <c r="C5" s="7" t="s">
        <v>43</v>
      </c>
      <c r="D5" s="8" t="s">
        <v>38</v>
      </c>
      <c r="E5" s="7">
        <v>24.64</v>
      </c>
      <c r="F5" s="7">
        <v>318</v>
      </c>
      <c r="G5" s="7">
        <f>+E5*F5</f>
        <v>7835.52</v>
      </c>
      <c r="H5" s="7">
        <v>302</v>
      </c>
      <c r="I5" s="7">
        <v>4064</v>
      </c>
      <c r="J5" s="7">
        <f>+G5-H5+I5</f>
        <v>11597.52</v>
      </c>
      <c r="K5" s="6">
        <f>+H5/F5</f>
        <v>0.94968553459119498</v>
      </c>
      <c r="L5" s="7"/>
      <c r="M5" s="21"/>
      <c r="N5" s="7">
        <v>36.479999999999997</v>
      </c>
      <c r="O5" s="7">
        <v>24.64</v>
      </c>
      <c r="P5" s="11">
        <v>-0.32456140350877183</v>
      </c>
      <c r="Q5" s="11">
        <f t="shared" si="1"/>
        <v>0</v>
      </c>
      <c r="R5" s="11">
        <f t="shared" si="0"/>
        <v>2.630303252354637E-2</v>
      </c>
      <c r="S5" s="11">
        <f t="shared" si="2"/>
        <v>0</v>
      </c>
      <c r="T5" s="7" t="s">
        <v>337</v>
      </c>
      <c r="U5" s="7"/>
    </row>
    <row r="6" spans="1:35" s="4" customFormat="1">
      <c r="B6" s="9" t="s">
        <v>46</v>
      </c>
      <c r="C6" s="7" t="s">
        <v>45</v>
      </c>
      <c r="D6" s="8" t="s">
        <v>38</v>
      </c>
      <c r="E6" s="7">
        <v>48.5</v>
      </c>
      <c r="F6" s="7"/>
      <c r="G6" s="7"/>
      <c r="H6" s="7"/>
      <c r="I6" s="7"/>
      <c r="J6" s="7"/>
      <c r="K6" s="7"/>
      <c r="L6" s="7"/>
      <c r="M6" s="21"/>
      <c r="N6" s="7">
        <v>64.84</v>
      </c>
      <c r="O6" s="7">
        <v>48.5</v>
      </c>
      <c r="P6" s="11">
        <v>-0.25200493522516965</v>
      </c>
      <c r="Q6" s="11">
        <f t="shared" si="1"/>
        <v>0</v>
      </c>
      <c r="R6" s="11">
        <f t="shared" si="0"/>
        <v>0</v>
      </c>
      <c r="S6" s="11">
        <f t="shared" si="2"/>
        <v>0</v>
      </c>
      <c r="T6" s="7" t="s">
        <v>338</v>
      </c>
      <c r="U6" s="7"/>
    </row>
    <row r="7" spans="1:35" s="4" customFormat="1">
      <c r="B7" s="17" t="s">
        <v>48</v>
      </c>
      <c r="C7" s="7" t="s">
        <v>47</v>
      </c>
      <c r="D7" s="8" t="s">
        <v>38</v>
      </c>
      <c r="E7" s="7">
        <v>67.34</v>
      </c>
      <c r="F7" s="7"/>
      <c r="G7" s="7"/>
      <c r="H7" s="7"/>
      <c r="I7" s="7"/>
      <c r="J7" s="7"/>
      <c r="K7" s="7"/>
      <c r="L7" s="7"/>
      <c r="M7" s="21"/>
      <c r="N7" s="7">
        <v>64.39</v>
      </c>
      <c r="O7" s="7">
        <v>67.34</v>
      </c>
      <c r="P7" s="11">
        <v>4.5814567479422363E-2</v>
      </c>
      <c r="Q7" s="11">
        <f t="shared" si="1"/>
        <v>0</v>
      </c>
      <c r="R7" s="11">
        <f t="shared" si="0"/>
        <v>0</v>
      </c>
      <c r="S7" s="11">
        <f t="shared" si="2"/>
        <v>0</v>
      </c>
      <c r="T7" s="7" t="s">
        <v>339</v>
      </c>
      <c r="U7" s="7"/>
    </row>
    <row r="8" spans="1:35" s="4" customFormat="1">
      <c r="B8" s="9" t="s">
        <v>50</v>
      </c>
      <c r="C8" s="7" t="s">
        <v>49</v>
      </c>
      <c r="D8" s="8" t="s">
        <v>38</v>
      </c>
      <c r="E8" s="7">
        <v>75.959999999999994</v>
      </c>
      <c r="F8" s="7"/>
      <c r="G8" s="7"/>
      <c r="H8" s="7"/>
      <c r="I8" s="7"/>
      <c r="J8" s="7"/>
      <c r="K8" s="7"/>
      <c r="L8" s="7"/>
      <c r="M8" s="21"/>
      <c r="N8" s="7">
        <v>67.88</v>
      </c>
      <c r="O8" s="7">
        <v>75.959999999999994</v>
      </c>
      <c r="P8" s="11">
        <v>0.1190335886859164</v>
      </c>
      <c r="Q8" s="11">
        <f t="shared" si="1"/>
        <v>0</v>
      </c>
      <c r="R8" s="11">
        <f t="shared" si="0"/>
        <v>0</v>
      </c>
      <c r="S8" s="11">
        <f t="shared" si="2"/>
        <v>0</v>
      </c>
      <c r="T8" s="7" t="s">
        <v>340</v>
      </c>
      <c r="U8" s="7"/>
    </row>
    <row r="9" spans="1:35" s="4" customFormat="1">
      <c r="B9" s="9" t="s">
        <v>52</v>
      </c>
      <c r="C9" s="7" t="s">
        <v>51</v>
      </c>
      <c r="D9" s="8" t="s">
        <v>38</v>
      </c>
      <c r="E9" s="7">
        <v>22.34</v>
      </c>
      <c r="F9" s="7"/>
      <c r="G9" s="7"/>
      <c r="H9" s="7"/>
      <c r="I9" s="7"/>
      <c r="J9" s="7"/>
      <c r="K9" s="7"/>
      <c r="L9" s="7"/>
      <c r="M9" s="21"/>
      <c r="N9" s="7">
        <v>23.88</v>
      </c>
      <c r="O9" s="7">
        <v>22.34</v>
      </c>
      <c r="P9" s="11">
        <v>-6.4489112227805623E-2</v>
      </c>
      <c r="Q9" s="11">
        <f t="shared" si="1"/>
        <v>0</v>
      </c>
      <c r="R9" s="11">
        <f t="shared" si="0"/>
        <v>0</v>
      </c>
      <c r="S9" s="11">
        <f t="shared" si="2"/>
        <v>0</v>
      </c>
      <c r="T9" s="7" t="s">
        <v>341</v>
      </c>
      <c r="U9" s="7"/>
    </row>
    <row r="10" spans="1:35" s="4" customFormat="1">
      <c r="B10" s="9" t="s">
        <v>54</v>
      </c>
      <c r="C10" s="7" t="s">
        <v>53</v>
      </c>
      <c r="D10" s="8" t="s">
        <v>38</v>
      </c>
      <c r="E10" s="7">
        <v>4.63</v>
      </c>
      <c r="F10" s="7"/>
      <c r="G10" s="7"/>
      <c r="H10" s="7"/>
      <c r="I10" s="7"/>
      <c r="J10" s="7"/>
      <c r="K10" s="7"/>
      <c r="L10" s="7"/>
      <c r="M10" s="21"/>
      <c r="N10" s="7">
        <v>10.16</v>
      </c>
      <c r="O10" s="7">
        <v>4.63</v>
      </c>
      <c r="P10" s="11">
        <v>-0.5442913385826772</v>
      </c>
      <c r="Q10" s="11">
        <f t="shared" si="1"/>
        <v>0</v>
      </c>
      <c r="R10" s="11">
        <f t="shared" si="0"/>
        <v>0</v>
      </c>
      <c r="S10" s="11">
        <f t="shared" si="2"/>
        <v>0</v>
      </c>
      <c r="T10" s="7" t="s">
        <v>351</v>
      </c>
      <c r="U10" s="7"/>
    </row>
    <row r="11" spans="1:35" s="4" customFormat="1">
      <c r="B11" s="9" t="s">
        <v>56</v>
      </c>
      <c r="C11" s="7" t="s">
        <v>55</v>
      </c>
      <c r="D11" s="8" t="s">
        <v>38</v>
      </c>
      <c r="E11" s="7">
        <v>2.16</v>
      </c>
      <c r="F11" s="7"/>
      <c r="G11" s="7"/>
      <c r="H11" s="7"/>
      <c r="I11" s="7"/>
      <c r="J11" s="7"/>
      <c r="K11" s="7"/>
      <c r="L11" s="7"/>
      <c r="M11" s="21"/>
      <c r="N11" s="7">
        <v>5.25</v>
      </c>
      <c r="O11" s="7">
        <v>2.16</v>
      </c>
      <c r="P11" s="11">
        <v>-0.58857142857142852</v>
      </c>
      <c r="Q11" s="11">
        <f t="shared" si="1"/>
        <v>0</v>
      </c>
      <c r="R11" s="11">
        <f t="shared" si="0"/>
        <v>0</v>
      </c>
      <c r="S11" s="11">
        <f t="shared" si="2"/>
        <v>0</v>
      </c>
      <c r="T11" s="7" t="s">
        <v>342</v>
      </c>
      <c r="U11" s="7"/>
    </row>
    <row r="12" spans="1:35" s="7" customFormat="1">
      <c r="B12" s="3" t="s">
        <v>58</v>
      </c>
      <c r="C12" s="7" t="s">
        <v>168</v>
      </c>
      <c r="D12" s="8" t="s">
        <v>57</v>
      </c>
      <c r="E12" s="9">
        <v>38.1</v>
      </c>
      <c r="F12" s="7">
        <v>258</v>
      </c>
      <c r="G12" s="7">
        <f>+E12*F12</f>
        <v>9829.8000000000011</v>
      </c>
      <c r="H12" s="7">
        <v>1313</v>
      </c>
      <c r="I12" s="7">
        <v>2933</v>
      </c>
      <c r="J12" s="7">
        <f>+G12-H12+I12</f>
        <v>11449.800000000001</v>
      </c>
      <c r="M12" s="21"/>
      <c r="N12" s="7">
        <v>33.31</v>
      </c>
      <c r="O12" s="9">
        <v>38.1</v>
      </c>
      <c r="P12" s="11">
        <f t="shared" ref="P12:P23" si="3">+E12/N12-1</f>
        <v>0.14380066046232365</v>
      </c>
      <c r="Q12" s="11">
        <f t="shared" ref="Q12:Q14" si="4">+E12/O12-1</f>
        <v>0</v>
      </c>
      <c r="R12" s="11">
        <f t="shared" si="0"/>
        <v>3.2997624803453522E-2</v>
      </c>
      <c r="S12" s="11">
        <f t="shared" si="2"/>
        <v>0</v>
      </c>
      <c r="T12" s="7" t="s">
        <v>343</v>
      </c>
    </row>
    <row r="13" spans="1:35" s="7" customFormat="1">
      <c r="B13" s="7" t="s">
        <v>59</v>
      </c>
      <c r="C13" s="7" t="s">
        <v>292</v>
      </c>
      <c r="D13" s="8" t="s">
        <v>57</v>
      </c>
      <c r="E13" s="9">
        <v>18.22</v>
      </c>
      <c r="M13" s="21"/>
      <c r="N13" s="7">
        <v>11.92</v>
      </c>
      <c r="O13" s="9">
        <v>18.22</v>
      </c>
      <c r="P13" s="11">
        <f t="shared" si="3"/>
        <v>0.52852348993288589</v>
      </c>
      <c r="Q13" s="11">
        <f t="shared" si="4"/>
        <v>0</v>
      </c>
      <c r="R13" s="11">
        <f t="shared" si="0"/>
        <v>0</v>
      </c>
      <c r="S13" s="11">
        <f t="shared" si="2"/>
        <v>0</v>
      </c>
      <c r="T13" s="7" t="s">
        <v>344</v>
      </c>
    </row>
    <row r="14" spans="1:35" s="7" customFormat="1">
      <c r="B14" s="3" t="s">
        <v>60</v>
      </c>
      <c r="C14" s="7" t="s">
        <v>293</v>
      </c>
      <c r="D14" s="8" t="s">
        <v>57</v>
      </c>
      <c r="E14" s="9">
        <v>70.27</v>
      </c>
      <c r="M14" s="21"/>
      <c r="N14" s="7">
        <v>70.3</v>
      </c>
      <c r="O14" s="9">
        <v>70.27</v>
      </c>
      <c r="P14" s="11">
        <f t="shared" si="3"/>
        <v>-4.2674253200569723E-4</v>
      </c>
      <c r="Q14" s="11">
        <f t="shared" si="4"/>
        <v>0</v>
      </c>
      <c r="R14" s="11">
        <f t="shared" si="0"/>
        <v>0</v>
      </c>
      <c r="S14" s="11">
        <f t="shared" si="2"/>
        <v>0</v>
      </c>
      <c r="T14" s="7" t="s">
        <v>345</v>
      </c>
    </row>
    <row r="15" spans="1:35" s="7" customFormat="1">
      <c r="B15" s="9" t="s">
        <v>62</v>
      </c>
      <c r="C15" s="7" t="s">
        <v>333</v>
      </c>
      <c r="D15" s="8" t="s">
        <v>61</v>
      </c>
      <c r="E15" s="7">
        <v>92.52</v>
      </c>
      <c r="M15" s="21"/>
      <c r="N15" s="7">
        <v>68.28</v>
      </c>
      <c r="O15" s="7">
        <v>92.52</v>
      </c>
      <c r="P15" s="11">
        <f t="shared" si="3"/>
        <v>0.35500878734622132</v>
      </c>
      <c r="Q15" s="11">
        <f t="shared" ref="Q15:Q23" si="5">+E15/O15-1</f>
        <v>0</v>
      </c>
      <c r="R15" s="11">
        <f t="shared" si="0"/>
        <v>0</v>
      </c>
      <c r="S15" s="11">
        <f t="shared" si="2"/>
        <v>0</v>
      </c>
      <c r="T15" s="7" t="s">
        <v>346</v>
      </c>
    </row>
    <row r="16" spans="1:35" s="7" customFormat="1">
      <c r="B16" s="9" t="s">
        <v>63</v>
      </c>
      <c r="C16" s="7" t="s">
        <v>301</v>
      </c>
      <c r="D16" s="8" t="s">
        <v>61</v>
      </c>
      <c r="E16" s="7">
        <v>257.23</v>
      </c>
      <c r="M16" s="21"/>
      <c r="N16" s="7">
        <v>223.6</v>
      </c>
      <c r="O16" s="7">
        <v>257.23</v>
      </c>
      <c r="P16" s="11">
        <f t="shared" si="3"/>
        <v>0.1504025044722721</v>
      </c>
      <c r="Q16" s="11">
        <f t="shared" si="5"/>
        <v>0</v>
      </c>
      <c r="R16" s="11">
        <f t="shared" si="0"/>
        <v>0</v>
      </c>
      <c r="S16" s="11">
        <f t="shared" si="2"/>
        <v>0</v>
      </c>
      <c r="T16" s="7" t="s">
        <v>347</v>
      </c>
    </row>
    <row r="17" spans="2:20" s="7" customFormat="1">
      <c r="B17" s="9" t="s">
        <v>64</v>
      </c>
      <c r="C17" s="7" t="s">
        <v>302</v>
      </c>
      <c r="D17" s="8" t="s">
        <v>61</v>
      </c>
      <c r="E17" s="7">
        <v>516.5</v>
      </c>
      <c r="M17" s="21"/>
      <c r="N17" s="7">
        <v>491.03</v>
      </c>
      <c r="O17" s="7">
        <v>516.5</v>
      </c>
      <c r="P17" s="11">
        <f t="shared" si="3"/>
        <v>5.1870557807058626E-2</v>
      </c>
      <c r="Q17" s="11">
        <f t="shared" si="5"/>
        <v>0</v>
      </c>
      <c r="R17" s="11">
        <f t="shared" si="0"/>
        <v>0</v>
      </c>
      <c r="S17" s="11">
        <f t="shared" si="2"/>
        <v>0</v>
      </c>
      <c r="T17" s="7" t="s">
        <v>348</v>
      </c>
    </row>
    <row r="18" spans="2:20" s="7" customFormat="1">
      <c r="B18" s="9" t="s">
        <v>66</v>
      </c>
      <c r="C18" s="7" t="s">
        <v>65</v>
      </c>
      <c r="D18" s="8" t="s">
        <v>61</v>
      </c>
      <c r="E18" s="7">
        <v>246.75</v>
      </c>
      <c r="M18" s="21"/>
      <c r="N18" s="7">
        <v>200.47</v>
      </c>
      <c r="O18" s="7">
        <v>246.75</v>
      </c>
      <c r="P18" s="11">
        <f t="shared" si="3"/>
        <v>0.23085748491046032</v>
      </c>
      <c r="Q18" s="11">
        <f t="shared" si="5"/>
        <v>0</v>
      </c>
      <c r="R18" s="11">
        <f t="shared" si="0"/>
        <v>0</v>
      </c>
      <c r="S18" s="11">
        <f t="shared" si="2"/>
        <v>0</v>
      </c>
      <c r="T18" s="7" t="s">
        <v>349</v>
      </c>
    </row>
    <row r="19" spans="2:20" s="7" customFormat="1">
      <c r="B19" s="9" t="s">
        <v>68</v>
      </c>
      <c r="C19" s="7" t="s">
        <v>67</v>
      </c>
      <c r="D19" s="8" t="s">
        <v>61</v>
      </c>
      <c r="E19" s="7">
        <v>50.6</v>
      </c>
      <c r="M19" s="21"/>
      <c r="N19" s="7">
        <v>38.270000000000003</v>
      </c>
      <c r="O19" s="7">
        <v>50.6</v>
      </c>
      <c r="P19" s="12">
        <f t="shared" si="3"/>
        <v>0.32218447870394562</v>
      </c>
      <c r="Q19" s="11">
        <f t="shared" si="5"/>
        <v>0</v>
      </c>
      <c r="R19" s="11">
        <f t="shared" si="0"/>
        <v>0</v>
      </c>
      <c r="S19" s="11">
        <f t="shared" si="2"/>
        <v>0</v>
      </c>
      <c r="T19" s="7" t="s">
        <v>350</v>
      </c>
    </row>
    <row r="20" spans="2:20" s="7" customFormat="1">
      <c r="B20" s="9" t="s">
        <v>70</v>
      </c>
      <c r="C20" s="7" t="s">
        <v>69</v>
      </c>
      <c r="D20" s="8" t="s">
        <v>61</v>
      </c>
      <c r="E20" s="7">
        <v>101.64</v>
      </c>
      <c r="M20" s="21"/>
      <c r="N20" s="7">
        <v>64.19</v>
      </c>
      <c r="O20" s="7">
        <v>101.64</v>
      </c>
      <c r="P20" s="12">
        <f t="shared" si="3"/>
        <v>0.58342420937840789</v>
      </c>
      <c r="Q20" s="11">
        <f t="shared" si="5"/>
        <v>0</v>
      </c>
      <c r="R20" s="11">
        <f t="shared" si="0"/>
        <v>0</v>
      </c>
      <c r="S20" s="11">
        <f t="shared" si="2"/>
        <v>0</v>
      </c>
      <c r="T20" s="7" t="s">
        <v>352</v>
      </c>
    </row>
    <row r="21" spans="2:20" s="7" customFormat="1">
      <c r="B21" s="9" t="s">
        <v>72</v>
      </c>
      <c r="C21" s="7" t="s">
        <v>71</v>
      </c>
      <c r="D21" s="8" t="s">
        <v>61</v>
      </c>
      <c r="E21" s="7">
        <v>118.86</v>
      </c>
      <c r="M21" s="21"/>
      <c r="N21" s="7">
        <v>128.24</v>
      </c>
      <c r="O21" s="7">
        <v>118.86</v>
      </c>
      <c r="P21" s="12">
        <f t="shared" si="3"/>
        <v>-7.3144104803493537E-2</v>
      </c>
      <c r="Q21" s="11">
        <f t="shared" si="5"/>
        <v>0</v>
      </c>
      <c r="R21" s="11">
        <f t="shared" si="0"/>
        <v>0</v>
      </c>
      <c r="S21" s="11">
        <f t="shared" si="2"/>
        <v>0</v>
      </c>
      <c r="T21" s="7" t="s">
        <v>353</v>
      </c>
    </row>
    <row r="22" spans="2:20" s="7" customFormat="1">
      <c r="B22" s="17" t="s">
        <v>74</v>
      </c>
      <c r="C22" s="7" t="s">
        <v>73</v>
      </c>
      <c r="D22" s="8" t="s">
        <v>61</v>
      </c>
      <c r="E22" s="7">
        <v>132.74</v>
      </c>
      <c r="F22" s="7">
        <v>29</v>
      </c>
      <c r="G22" s="1">
        <f>+E22*F22</f>
        <v>3849.46</v>
      </c>
      <c r="H22" s="7">
        <v>255</v>
      </c>
      <c r="I22" s="7">
        <v>0</v>
      </c>
      <c r="J22" s="1">
        <f>+G22-H22+I22</f>
        <v>3594.46</v>
      </c>
      <c r="K22" s="6">
        <f>+H22/F22</f>
        <v>8.7931034482758612</v>
      </c>
      <c r="L22" s="7">
        <v>3127</v>
      </c>
      <c r="M22" s="21">
        <v>32.4</v>
      </c>
      <c r="N22" s="7">
        <v>46</v>
      </c>
      <c r="O22" s="7">
        <v>132.74</v>
      </c>
      <c r="P22" s="12">
        <f t="shared" si="3"/>
        <v>1.8856521739130438</v>
      </c>
      <c r="Q22" s="11">
        <f t="shared" si="5"/>
        <v>0</v>
      </c>
      <c r="R22" s="11">
        <f t="shared" si="0"/>
        <v>1.2922240205894543E-2</v>
      </c>
      <c r="S22" s="11">
        <f t="shared" si="2"/>
        <v>0</v>
      </c>
      <c r="T22" s="7" t="s">
        <v>354</v>
      </c>
    </row>
    <row r="23" spans="2:20" s="7" customFormat="1">
      <c r="B23" s="9" t="s">
        <v>76</v>
      </c>
      <c r="C23" s="7" t="s">
        <v>75</v>
      </c>
      <c r="D23" s="8" t="s">
        <v>61</v>
      </c>
      <c r="E23" s="7">
        <v>44.46</v>
      </c>
      <c r="M23" s="21"/>
      <c r="N23" s="7">
        <v>40.200000000000003</v>
      </c>
      <c r="O23" s="7">
        <v>44.46</v>
      </c>
      <c r="P23" s="12">
        <f t="shared" si="3"/>
        <v>0.10597014925373127</v>
      </c>
      <c r="Q23" s="11">
        <f t="shared" si="5"/>
        <v>0</v>
      </c>
      <c r="R23" s="11">
        <f t="shared" si="0"/>
        <v>0</v>
      </c>
      <c r="S23" s="11">
        <f t="shared" si="2"/>
        <v>0</v>
      </c>
      <c r="T23" s="7" t="s">
        <v>355</v>
      </c>
    </row>
    <row r="24" spans="2:20" s="7" customFormat="1">
      <c r="B24" s="9" t="s">
        <v>79</v>
      </c>
      <c r="C24" s="7" t="s">
        <v>78</v>
      </c>
      <c r="D24" s="8" t="s">
        <v>77</v>
      </c>
      <c r="E24" s="7">
        <v>40.25</v>
      </c>
      <c r="M24" s="21"/>
      <c r="N24" s="7">
        <v>55.49</v>
      </c>
      <c r="O24" s="7">
        <v>40.25</v>
      </c>
      <c r="P24" s="12">
        <v>-0.27464408001441709</v>
      </c>
      <c r="Q24" s="11">
        <f t="shared" ref="Q24:Q37" si="6">+E24/O24-1</f>
        <v>0</v>
      </c>
      <c r="R24" s="11">
        <f t="shared" si="0"/>
        <v>0</v>
      </c>
      <c r="S24" s="11">
        <f t="shared" si="2"/>
        <v>0</v>
      </c>
      <c r="T24" s="7" t="s">
        <v>356</v>
      </c>
    </row>
    <row r="25" spans="2:20" s="7" customFormat="1">
      <c r="B25" s="17" t="s">
        <v>81</v>
      </c>
      <c r="C25" s="7" t="s">
        <v>80</v>
      </c>
      <c r="D25" s="8" t="s">
        <v>77</v>
      </c>
      <c r="E25" s="7">
        <v>68.930000000000007</v>
      </c>
      <c r="M25" s="21"/>
      <c r="N25" s="7">
        <v>154.72</v>
      </c>
      <c r="O25" s="7">
        <v>68.930000000000007</v>
      </c>
      <c r="P25" s="12">
        <v>-0.55448552223371239</v>
      </c>
      <c r="Q25" s="11">
        <f t="shared" si="6"/>
        <v>0</v>
      </c>
      <c r="R25" s="11">
        <f t="shared" si="0"/>
        <v>0</v>
      </c>
      <c r="S25" s="11">
        <f t="shared" si="2"/>
        <v>0</v>
      </c>
      <c r="T25" s="7" t="s">
        <v>357</v>
      </c>
    </row>
    <row r="26" spans="2:20" s="7" customFormat="1">
      <c r="B26" s="9" t="s">
        <v>83</v>
      </c>
      <c r="C26" s="7" t="s">
        <v>82</v>
      </c>
      <c r="D26" s="8" t="s">
        <v>77</v>
      </c>
      <c r="E26" s="7">
        <v>33.799999999999997</v>
      </c>
      <c r="M26" s="21"/>
      <c r="N26" s="7">
        <v>54.27</v>
      </c>
      <c r="O26" s="7">
        <v>33.799999999999997</v>
      </c>
      <c r="P26" s="12">
        <v>-0.37718813340703894</v>
      </c>
      <c r="Q26" s="11">
        <f t="shared" si="6"/>
        <v>0</v>
      </c>
      <c r="R26" s="11">
        <f t="shared" si="0"/>
        <v>0</v>
      </c>
      <c r="S26" s="11">
        <f t="shared" si="2"/>
        <v>0</v>
      </c>
      <c r="T26" s="7" t="s">
        <v>358</v>
      </c>
    </row>
    <row r="27" spans="2:20" s="7" customFormat="1">
      <c r="B27" s="9" t="s">
        <v>85</v>
      </c>
      <c r="C27" s="7" t="s">
        <v>84</v>
      </c>
      <c r="D27" s="8" t="s">
        <v>77</v>
      </c>
      <c r="E27" s="7">
        <v>17.989999999999998</v>
      </c>
      <c r="M27" s="21"/>
      <c r="N27" s="7">
        <v>25.17</v>
      </c>
      <c r="O27" s="7">
        <v>17.989999999999998</v>
      </c>
      <c r="P27" s="12">
        <v>-0.28526023043305537</v>
      </c>
      <c r="Q27" s="11">
        <f t="shared" si="6"/>
        <v>0</v>
      </c>
      <c r="R27" s="11">
        <f t="shared" si="0"/>
        <v>0</v>
      </c>
      <c r="S27" s="11">
        <f t="shared" si="2"/>
        <v>0</v>
      </c>
      <c r="T27" s="7" t="s">
        <v>359</v>
      </c>
    </row>
    <row r="28" spans="2:20" s="7" customFormat="1">
      <c r="B28" s="9" t="s">
        <v>87</v>
      </c>
      <c r="C28" s="7" t="s">
        <v>86</v>
      </c>
      <c r="D28" s="8" t="s">
        <v>77</v>
      </c>
      <c r="E28" s="7">
        <v>10.07</v>
      </c>
      <c r="M28" s="21"/>
      <c r="N28" s="7">
        <v>13.81</v>
      </c>
      <c r="O28" s="7">
        <v>10.07</v>
      </c>
      <c r="P28" s="12">
        <v>-0.27081824764663287</v>
      </c>
      <c r="Q28" s="11">
        <f t="shared" si="6"/>
        <v>0</v>
      </c>
      <c r="R28" s="11">
        <f t="shared" si="0"/>
        <v>0</v>
      </c>
      <c r="S28" s="11">
        <f t="shared" si="2"/>
        <v>0</v>
      </c>
      <c r="T28" s="7" t="s">
        <v>360</v>
      </c>
    </row>
    <row r="29" spans="2:20" s="7" customFormat="1">
      <c r="B29" s="9" t="s">
        <v>89</v>
      </c>
      <c r="C29" s="7" t="s">
        <v>88</v>
      </c>
      <c r="D29" s="8" t="s">
        <v>77</v>
      </c>
      <c r="E29" s="7">
        <v>23.09</v>
      </c>
      <c r="M29" s="21"/>
      <c r="N29" s="7">
        <v>21.68</v>
      </c>
      <c r="O29" s="7">
        <v>23.09</v>
      </c>
      <c r="P29" s="12">
        <v>6.503690036900367E-2</v>
      </c>
      <c r="Q29" s="11">
        <f t="shared" si="6"/>
        <v>0</v>
      </c>
      <c r="R29" s="11">
        <f t="shared" si="0"/>
        <v>0</v>
      </c>
      <c r="S29" s="11">
        <f t="shared" si="2"/>
        <v>0</v>
      </c>
      <c r="T29" s="7" t="s">
        <v>361</v>
      </c>
    </row>
    <row r="30" spans="2:20" s="7" customFormat="1">
      <c r="B30" s="9" t="s">
        <v>91</v>
      </c>
      <c r="C30" s="7" t="s">
        <v>90</v>
      </c>
      <c r="D30" s="8" t="s">
        <v>77</v>
      </c>
      <c r="E30" s="7">
        <v>28.49</v>
      </c>
      <c r="M30" s="21"/>
      <c r="N30" s="7">
        <v>29.79</v>
      </c>
      <c r="O30" s="7">
        <v>28.49</v>
      </c>
      <c r="P30" s="12">
        <v>-4.3638804968110123E-2</v>
      </c>
      <c r="Q30" s="11">
        <f t="shared" si="6"/>
        <v>0</v>
      </c>
      <c r="R30" s="11">
        <f t="shared" si="0"/>
        <v>0</v>
      </c>
      <c r="S30" s="11">
        <f t="shared" si="2"/>
        <v>0</v>
      </c>
      <c r="T30" s="7" t="s">
        <v>362</v>
      </c>
    </row>
    <row r="31" spans="2:20" s="7" customFormat="1">
      <c r="B31" s="9" t="s">
        <v>93</v>
      </c>
      <c r="C31" s="7" t="s">
        <v>92</v>
      </c>
      <c r="D31" s="8" t="s">
        <v>77</v>
      </c>
      <c r="E31" s="7">
        <v>41.22</v>
      </c>
      <c r="M31" s="21"/>
      <c r="N31" s="7">
        <v>46.93</v>
      </c>
      <c r="O31" s="7">
        <v>41.22</v>
      </c>
      <c r="P31" s="12">
        <v>-0.12167057319411889</v>
      </c>
      <c r="Q31" s="11">
        <f t="shared" si="6"/>
        <v>0</v>
      </c>
      <c r="R31" s="11">
        <f t="shared" si="0"/>
        <v>0</v>
      </c>
      <c r="S31" s="11">
        <f t="shared" si="2"/>
        <v>0</v>
      </c>
      <c r="T31" s="7" t="s">
        <v>363</v>
      </c>
    </row>
    <row r="32" spans="2:20" s="7" customFormat="1">
      <c r="B32" s="9" t="s">
        <v>95</v>
      </c>
      <c r="C32" s="7" t="s">
        <v>94</v>
      </c>
      <c r="D32" s="8" t="s">
        <v>77</v>
      </c>
      <c r="E32" s="7">
        <v>9.48</v>
      </c>
      <c r="M32" s="21"/>
      <c r="N32" s="7">
        <v>24.8</v>
      </c>
      <c r="O32" s="7">
        <v>9.48</v>
      </c>
      <c r="P32" s="12">
        <v>-0.61774193548387091</v>
      </c>
      <c r="Q32" s="11">
        <f t="shared" si="6"/>
        <v>0</v>
      </c>
      <c r="R32" s="11">
        <f t="shared" si="0"/>
        <v>0</v>
      </c>
      <c r="S32" s="11">
        <f t="shared" si="2"/>
        <v>0</v>
      </c>
      <c r="T32" s="7" t="s">
        <v>364</v>
      </c>
    </row>
    <row r="33" spans="2:20" s="7" customFormat="1">
      <c r="B33" s="9" t="s">
        <v>97</v>
      </c>
      <c r="C33" s="7" t="s">
        <v>96</v>
      </c>
      <c r="D33" s="8" t="s">
        <v>77</v>
      </c>
      <c r="E33" s="7">
        <v>23.67</v>
      </c>
      <c r="M33" s="21"/>
      <c r="N33" s="7">
        <v>14.68</v>
      </c>
      <c r="O33" s="7">
        <v>23.67</v>
      </c>
      <c r="P33" s="12">
        <v>0.61239782016348787</v>
      </c>
      <c r="Q33" s="11">
        <f t="shared" si="6"/>
        <v>0</v>
      </c>
      <c r="R33" s="11">
        <f t="shared" si="0"/>
        <v>0</v>
      </c>
      <c r="S33" s="11">
        <f t="shared" si="2"/>
        <v>0</v>
      </c>
      <c r="T33" s="7" t="s">
        <v>365</v>
      </c>
    </row>
    <row r="34" spans="2:20" s="7" customFormat="1">
      <c r="B34" s="9" t="s">
        <v>99</v>
      </c>
      <c r="C34" s="7" t="s">
        <v>98</v>
      </c>
      <c r="D34" s="8" t="s">
        <v>77</v>
      </c>
      <c r="E34" s="7">
        <v>7.59</v>
      </c>
      <c r="M34" s="21"/>
      <c r="N34" s="7">
        <v>9.34</v>
      </c>
      <c r="O34" s="7">
        <v>7.59</v>
      </c>
      <c r="P34" s="12">
        <v>-0.18736616702355458</v>
      </c>
      <c r="Q34" s="11">
        <f t="shared" si="6"/>
        <v>0</v>
      </c>
      <c r="R34" s="11">
        <f t="shared" si="0"/>
        <v>0</v>
      </c>
      <c r="S34" s="11">
        <f t="shared" si="2"/>
        <v>0</v>
      </c>
      <c r="T34" s="7" t="s">
        <v>366</v>
      </c>
    </row>
    <row r="35" spans="2:20" s="7" customFormat="1">
      <c r="B35" s="9" t="s">
        <v>101</v>
      </c>
      <c r="C35" s="7" t="s">
        <v>100</v>
      </c>
      <c r="D35" s="8" t="s">
        <v>77</v>
      </c>
      <c r="E35" s="7">
        <v>8.25</v>
      </c>
      <c r="M35" s="21"/>
      <c r="N35" s="7">
        <v>4.2</v>
      </c>
      <c r="O35" s="7">
        <v>8.25</v>
      </c>
      <c r="P35" s="12">
        <v>0.96428571428571419</v>
      </c>
      <c r="Q35" s="11">
        <f t="shared" si="6"/>
        <v>0</v>
      </c>
      <c r="R35" s="11">
        <f t="shared" ref="R35:R61" si="7">+G35/$G$1</f>
        <v>0</v>
      </c>
      <c r="S35" s="11">
        <f t="shared" si="2"/>
        <v>0</v>
      </c>
      <c r="T35" s="7" t="s">
        <v>367</v>
      </c>
    </row>
    <row r="36" spans="2:20" s="7" customFormat="1">
      <c r="B36" s="9" t="s">
        <v>103</v>
      </c>
      <c r="C36" s="7" t="s">
        <v>102</v>
      </c>
      <c r="D36" s="8" t="s">
        <v>77</v>
      </c>
      <c r="E36" s="7">
        <v>4.53</v>
      </c>
      <c r="M36" s="21"/>
      <c r="N36" s="7">
        <v>1.74</v>
      </c>
      <c r="O36" s="7">
        <v>4.53</v>
      </c>
      <c r="P36" s="12">
        <v>1.603448275862069</v>
      </c>
      <c r="Q36" s="11">
        <f t="shared" si="6"/>
        <v>0</v>
      </c>
      <c r="R36" s="11">
        <f t="shared" si="7"/>
        <v>0</v>
      </c>
      <c r="S36" s="11">
        <f t="shared" si="2"/>
        <v>0</v>
      </c>
      <c r="T36" s="7" t="s">
        <v>367</v>
      </c>
    </row>
    <row r="37" spans="2:20" s="7" customFormat="1">
      <c r="B37" s="9" t="s">
        <v>105</v>
      </c>
      <c r="C37" s="7" t="s">
        <v>104</v>
      </c>
      <c r="D37" s="8" t="s">
        <v>77</v>
      </c>
      <c r="E37" s="7">
        <v>1.3</v>
      </c>
      <c r="M37" s="21"/>
      <c r="N37" s="7">
        <v>0.84</v>
      </c>
      <c r="O37" s="7">
        <v>1.3</v>
      </c>
      <c r="P37" s="12">
        <v>0.54761904761904767</v>
      </c>
      <c r="Q37" s="11">
        <f t="shared" si="6"/>
        <v>0</v>
      </c>
      <c r="R37" s="11">
        <f t="shared" si="7"/>
        <v>0</v>
      </c>
      <c r="S37" s="11">
        <f t="shared" si="2"/>
        <v>0</v>
      </c>
      <c r="T37" s="7" t="s">
        <v>368</v>
      </c>
    </row>
    <row r="38" spans="2:20" s="7" customFormat="1">
      <c r="B38" s="17" t="s">
        <v>108</v>
      </c>
      <c r="C38" s="7" t="s">
        <v>107</v>
      </c>
      <c r="D38" s="8" t="s">
        <v>106</v>
      </c>
      <c r="E38" s="7">
        <v>54.24</v>
      </c>
      <c r="F38" s="7">
        <v>52</v>
      </c>
      <c r="G38" s="1">
        <f>+E38*F38</f>
        <v>2820.48</v>
      </c>
      <c r="H38" s="7">
        <v>600</v>
      </c>
      <c r="I38" s="7">
        <v>153</v>
      </c>
      <c r="J38" s="1">
        <f>+G38-H38+I38</f>
        <v>2373.48</v>
      </c>
      <c r="K38" s="6">
        <f>+H38/F38</f>
        <v>11.538461538461538</v>
      </c>
      <c r="L38" s="9">
        <v>2300</v>
      </c>
      <c r="M38" s="21"/>
      <c r="N38" s="7">
        <v>60.91</v>
      </c>
      <c r="O38" s="7">
        <v>54.24</v>
      </c>
      <c r="P38" s="12">
        <v>-0.1095058282712198</v>
      </c>
      <c r="Q38" s="11">
        <f t="shared" ref="Q38:Q43" si="8">+E38/O38-1</f>
        <v>0</v>
      </c>
      <c r="R38" s="11">
        <f t="shared" si="7"/>
        <v>9.4680604697597696E-3</v>
      </c>
      <c r="S38" s="11">
        <f t="shared" si="2"/>
        <v>0</v>
      </c>
      <c r="T38" s="7" t="s">
        <v>369</v>
      </c>
    </row>
    <row r="39" spans="2:20" s="7" customFormat="1">
      <c r="B39" s="17" t="s">
        <v>110</v>
      </c>
      <c r="C39" s="7" t="s">
        <v>109</v>
      </c>
      <c r="D39" s="8" t="s">
        <v>106</v>
      </c>
      <c r="E39" s="7">
        <v>200.12</v>
      </c>
      <c r="F39" s="7">
        <v>13</v>
      </c>
      <c r="G39" s="1">
        <f>+E39*F39</f>
        <v>2601.56</v>
      </c>
      <c r="H39" s="7">
        <v>485</v>
      </c>
      <c r="I39" s="7">
        <v>7</v>
      </c>
      <c r="J39" s="1">
        <f>+G39-H39+I39</f>
        <v>2123.56</v>
      </c>
      <c r="K39" s="6">
        <f>+H39/F39</f>
        <v>37.307692307692307</v>
      </c>
      <c r="L39" s="9">
        <v>1900</v>
      </c>
      <c r="M39" s="21"/>
      <c r="N39" s="7">
        <v>341.24</v>
      </c>
      <c r="O39" s="7">
        <v>200.12</v>
      </c>
      <c r="P39" s="12">
        <v>-0.41355058023678348</v>
      </c>
      <c r="Q39" s="11">
        <f t="shared" si="8"/>
        <v>0</v>
      </c>
      <c r="R39" s="11">
        <f t="shared" si="7"/>
        <v>8.7331686080767187E-3</v>
      </c>
      <c r="S39" s="11">
        <f t="shared" si="2"/>
        <v>0</v>
      </c>
      <c r="T39" s="7" t="s">
        <v>370</v>
      </c>
    </row>
    <row r="40" spans="2:20" s="7" customFormat="1">
      <c r="B40" s="17" t="s">
        <v>112</v>
      </c>
      <c r="C40" s="7" t="s">
        <v>111</v>
      </c>
      <c r="D40" s="8" t="s">
        <v>106</v>
      </c>
      <c r="E40" s="7">
        <v>141.22</v>
      </c>
      <c r="F40" s="7">
        <v>18</v>
      </c>
      <c r="G40" s="1">
        <f>+E40*F40</f>
        <v>2541.96</v>
      </c>
      <c r="H40" s="7">
        <v>257</v>
      </c>
      <c r="I40" s="7">
        <v>127</v>
      </c>
      <c r="J40" s="1">
        <f>+G40-H40+I40</f>
        <v>2411.96</v>
      </c>
      <c r="K40" s="6">
        <f>+H40/F40</f>
        <v>14.277777777777779</v>
      </c>
      <c r="M40" s="21"/>
      <c r="N40" s="7">
        <v>167.9</v>
      </c>
      <c r="O40" s="7">
        <v>141.22</v>
      </c>
      <c r="P40" s="12">
        <v>-0.15890410958904111</v>
      </c>
      <c r="Q40" s="11">
        <f t="shared" si="8"/>
        <v>0</v>
      </c>
      <c r="R40" s="11">
        <f t="shared" si="7"/>
        <v>8.5330975549234682E-3</v>
      </c>
      <c r="S40" s="11">
        <f t="shared" si="2"/>
        <v>0</v>
      </c>
      <c r="T40" s="7" t="s">
        <v>371</v>
      </c>
    </row>
    <row r="41" spans="2:20" s="7" customFormat="1">
      <c r="B41" s="17" t="s">
        <v>114</v>
      </c>
      <c r="C41" s="7" t="s">
        <v>113</v>
      </c>
      <c r="D41" s="8" t="s">
        <v>106</v>
      </c>
      <c r="E41" s="7">
        <v>10.7</v>
      </c>
      <c r="F41" s="7">
        <v>84</v>
      </c>
      <c r="G41" s="1">
        <f>+E41*F41</f>
        <v>898.8</v>
      </c>
      <c r="H41" s="7">
        <v>165</v>
      </c>
      <c r="I41" s="7">
        <v>498</v>
      </c>
      <c r="J41" s="1">
        <f>+G41-H41+I41</f>
        <v>1231.8</v>
      </c>
      <c r="K41" s="6">
        <f>+H41/F41</f>
        <v>1.9642857142857142</v>
      </c>
      <c r="M41" s="21"/>
      <c r="N41" s="7">
        <v>10.76</v>
      </c>
      <c r="O41" s="7">
        <v>10.7</v>
      </c>
      <c r="P41" s="12">
        <v>-5.5762081784387352E-3</v>
      </c>
      <c r="Q41" s="11">
        <f t="shared" si="8"/>
        <v>0</v>
      </c>
      <c r="R41" s="11">
        <f t="shared" si="7"/>
        <v>3.0171789022507092E-3</v>
      </c>
      <c r="S41" s="11">
        <f t="shared" si="2"/>
        <v>0</v>
      </c>
      <c r="T41" s="7" t="s">
        <v>372</v>
      </c>
    </row>
    <row r="42" spans="2:20" s="7" customFormat="1">
      <c r="B42" s="17" t="s">
        <v>116</v>
      </c>
      <c r="C42" s="7" t="s">
        <v>115</v>
      </c>
      <c r="D42" s="8" t="s">
        <v>106</v>
      </c>
      <c r="E42" s="7">
        <v>10.26</v>
      </c>
      <c r="F42" s="7">
        <v>53</v>
      </c>
      <c r="G42" s="7">
        <f>+E42*F42</f>
        <v>543.78</v>
      </c>
      <c r="H42" s="7">
        <v>23</v>
      </c>
      <c r="I42" s="7">
        <v>77</v>
      </c>
      <c r="J42" s="7">
        <f>+G42-H42+I42</f>
        <v>597.78</v>
      </c>
      <c r="K42" s="7">
        <f>+H42/F42</f>
        <v>0.43396226415094341</v>
      </c>
      <c r="M42" s="21"/>
      <c r="N42" s="7">
        <v>17.63</v>
      </c>
      <c r="O42" s="7">
        <v>10.26</v>
      </c>
      <c r="P42" s="12">
        <v>-0.41803743618831535</v>
      </c>
      <c r="Q42" s="11">
        <f t="shared" si="8"/>
        <v>0</v>
      </c>
      <c r="R42" s="11">
        <f t="shared" si="7"/>
        <v>1.825413377242869E-3</v>
      </c>
      <c r="S42" s="11">
        <f t="shared" si="2"/>
        <v>0</v>
      </c>
      <c r="T42" s="7" t="s">
        <v>373</v>
      </c>
    </row>
    <row r="43" spans="2:20" s="7" customFormat="1">
      <c r="B43" s="9" t="s">
        <v>118</v>
      </c>
      <c r="C43" s="7" t="s">
        <v>117</v>
      </c>
      <c r="D43" s="8" t="s">
        <v>106</v>
      </c>
      <c r="E43" s="7">
        <v>1</v>
      </c>
      <c r="M43" s="21"/>
      <c r="N43" s="7">
        <v>1.53</v>
      </c>
      <c r="O43" s="7">
        <v>1</v>
      </c>
      <c r="P43" s="12">
        <v>-0.34640522875816993</v>
      </c>
      <c r="Q43" s="11">
        <f t="shared" si="8"/>
        <v>0</v>
      </c>
      <c r="R43" s="11">
        <f t="shared" si="7"/>
        <v>0</v>
      </c>
      <c r="S43" s="11">
        <f t="shared" si="2"/>
        <v>0</v>
      </c>
      <c r="T43" s="7" t="s">
        <v>374</v>
      </c>
    </row>
    <row r="44" spans="2:20" s="7" customFormat="1">
      <c r="B44" s="3" t="s">
        <v>120</v>
      </c>
      <c r="C44" s="7" t="s">
        <v>123</v>
      </c>
      <c r="D44" s="8" t="s">
        <v>119</v>
      </c>
      <c r="E44" s="9">
        <v>94.68</v>
      </c>
      <c r="F44" s="7">
        <v>786</v>
      </c>
      <c r="G44" s="1">
        <f t="shared" ref="G44:G51" si="9">+E44*F44</f>
        <v>74418.48000000001</v>
      </c>
      <c r="H44" s="1">
        <v>2974</v>
      </c>
      <c r="I44" s="1">
        <v>6257</v>
      </c>
      <c r="J44" s="1">
        <f t="shared" ref="J44:J51" si="10">+G44-H44+I44</f>
        <v>77701.48000000001</v>
      </c>
      <c r="K44" s="6">
        <f t="shared" ref="K44:K51" si="11">+H44/F44</f>
        <v>3.7837150127226464</v>
      </c>
      <c r="L44" s="6">
        <v>71.599999999999994</v>
      </c>
      <c r="M44" s="18"/>
      <c r="N44" s="7">
        <v>82.81</v>
      </c>
      <c r="O44" s="9">
        <v>91.13</v>
      </c>
      <c r="P44" s="11">
        <v>0.10047095761381475</v>
      </c>
      <c r="Q44" s="11">
        <f t="shared" ref="Q44:Q46" si="12">+E44/O44-1</f>
        <v>3.8955338527378647E-2</v>
      </c>
      <c r="R44" s="11">
        <f t="shared" si="7"/>
        <v>0.24981516220913039</v>
      </c>
      <c r="S44" s="11">
        <f t="shared" si="2"/>
        <v>9.7316342131286825E-3</v>
      </c>
      <c r="T44" s="7" t="s">
        <v>375</v>
      </c>
    </row>
    <row r="45" spans="2:20" s="7" customFormat="1">
      <c r="B45" s="3" t="s">
        <v>121</v>
      </c>
      <c r="C45" s="7" t="s">
        <v>124</v>
      </c>
      <c r="D45" s="8" t="s">
        <v>119</v>
      </c>
      <c r="E45" s="9">
        <v>38.15</v>
      </c>
      <c r="F45" s="7">
        <v>1437</v>
      </c>
      <c r="G45" s="1">
        <f t="shared" si="9"/>
        <v>54821.549999999996</v>
      </c>
      <c r="H45" s="7">
        <v>6117</v>
      </c>
      <c r="I45" s="7">
        <v>9679</v>
      </c>
      <c r="J45" s="1">
        <f t="shared" si="10"/>
        <v>58383.549999999996</v>
      </c>
      <c r="K45" s="6">
        <f t="shared" si="11"/>
        <v>4.2567849686847596</v>
      </c>
      <c r="M45" s="21"/>
      <c r="N45" s="7">
        <v>42.09</v>
      </c>
      <c r="O45" s="9">
        <v>38.15</v>
      </c>
      <c r="P45" s="11">
        <v>-9.3608933238298997E-2</v>
      </c>
      <c r="Q45" s="11">
        <f t="shared" si="12"/>
        <v>0</v>
      </c>
      <c r="R45" s="11">
        <f t="shared" si="7"/>
        <v>0.18403028932875207</v>
      </c>
      <c r="S45" s="11">
        <f t="shared" si="2"/>
        <v>0</v>
      </c>
      <c r="T45" s="31" t="s">
        <v>376</v>
      </c>
    </row>
    <row r="46" spans="2:20" s="7" customFormat="1">
      <c r="B46" s="3" t="s">
        <v>122</v>
      </c>
      <c r="C46" s="7" t="s">
        <v>125</v>
      </c>
      <c r="D46" s="8" t="s">
        <v>119</v>
      </c>
      <c r="E46" s="9">
        <v>7.55</v>
      </c>
      <c r="F46" s="7">
        <v>120</v>
      </c>
      <c r="G46" s="1">
        <f t="shared" si="9"/>
        <v>906</v>
      </c>
      <c r="H46" s="7">
        <v>87</v>
      </c>
      <c r="I46" s="7">
        <v>83</v>
      </c>
      <c r="J46" s="1">
        <f t="shared" si="10"/>
        <v>902</v>
      </c>
      <c r="K46" s="6">
        <f t="shared" si="11"/>
        <v>0.72499999999999998</v>
      </c>
      <c r="L46" s="9">
        <v>1.0409999999999999</v>
      </c>
      <c r="M46" s="21"/>
      <c r="N46" s="7">
        <v>9.9700000000000006</v>
      </c>
      <c r="O46" s="9">
        <v>7.55</v>
      </c>
      <c r="P46" s="11">
        <v>-0.24272818455366107</v>
      </c>
      <c r="Q46" s="11">
        <f t="shared" si="12"/>
        <v>0</v>
      </c>
      <c r="R46" s="11">
        <f t="shared" si="7"/>
        <v>3.0413485596786187E-3</v>
      </c>
      <c r="S46" s="11">
        <f t="shared" si="2"/>
        <v>0</v>
      </c>
      <c r="T46" s="7" t="s">
        <v>377</v>
      </c>
    </row>
    <row r="47" spans="2:20">
      <c r="B47" s="3" t="s">
        <v>4</v>
      </c>
      <c r="C47" s="1" t="s">
        <v>3</v>
      </c>
      <c r="D47" s="8" t="s">
        <v>37</v>
      </c>
      <c r="E47" s="6">
        <v>44.84</v>
      </c>
      <c r="F47" s="1">
        <v>1138</v>
      </c>
      <c r="G47" s="1">
        <f t="shared" si="9"/>
        <v>51027.920000000006</v>
      </c>
      <c r="H47" s="1">
        <v>7209</v>
      </c>
      <c r="I47" s="1">
        <v>8550</v>
      </c>
      <c r="J47" s="1">
        <f t="shared" si="10"/>
        <v>52368.920000000006</v>
      </c>
      <c r="K47" s="6">
        <f t="shared" si="11"/>
        <v>6.3347978910369065</v>
      </c>
      <c r="L47" s="6">
        <v>77.900000000000006</v>
      </c>
      <c r="N47" s="1">
        <v>40.69</v>
      </c>
      <c r="O47" s="6">
        <v>38.42</v>
      </c>
      <c r="P47" s="11">
        <v>-5.5787662816416672E-2</v>
      </c>
      <c r="Q47" s="11">
        <f t="shared" ref="Q47:Q60" si="13">+E47/O47-1</f>
        <v>0.16710046850598648</v>
      </c>
      <c r="R47" s="11">
        <f t="shared" si="7"/>
        <v>0.17129546467482981</v>
      </c>
      <c r="S47" s="11">
        <f t="shared" si="2"/>
        <v>2.8623552400114719E-2</v>
      </c>
      <c r="T47" s="1" t="s">
        <v>378</v>
      </c>
    </row>
    <row r="48" spans="2:20">
      <c r="B48" s="3" t="s">
        <v>6</v>
      </c>
      <c r="C48" s="1" t="s">
        <v>5</v>
      </c>
      <c r="D48" s="8" t="s">
        <v>37</v>
      </c>
      <c r="E48" s="6">
        <v>144</v>
      </c>
      <c r="F48" s="1">
        <v>66</v>
      </c>
      <c r="G48" s="1">
        <f t="shared" si="9"/>
        <v>9504</v>
      </c>
      <c r="H48" s="1">
        <v>128</v>
      </c>
      <c r="I48" s="1">
        <v>0</v>
      </c>
      <c r="J48" s="1">
        <f t="shared" si="10"/>
        <v>9376</v>
      </c>
      <c r="K48" s="6">
        <f t="shared" si="11"/>
        <v>1.9393939393939394</v>
      </c>
      <c r="L48" s="1">
        <f>1000*9.6</f>
        <v>9600</v>
      </c>
      <c r="N48" s="1">
        <v>119.81</v>
      </c>
      <c r="O48" s="6">
        <v>131.18</v>
      </c>
      <c r="P48" s="11">
        <v>9.4900258743009891E-2</v>
      </c>
      <c r="Q48" s="11">
        <f>+E48/O48-1</f>
        <v>9.7728312242719939E-2</v>
      </c>
      <c r="R48" s="11">
        <f t="shared" si="7"/>
        <v>3.1903947804840613E-2</v>
      </c>
      <c r="S48" s="11">
        <f t="shared" si="2"/>
        <v>3.1179189728469028E-3</v>
      </c>
      <c r="T48" s="1" t="s">
        <v>379</v>
      </c>
    </row>
    <row r="49" spans="2:20">
      <c r="B49" s="3" t="s">
        <v>8</v>
      </c>
      <c r="C49" s="1" t="s">
        <v>7</v>
      </c>
      <c r="D49" s="8" t="s">
        <v>37</v>
      </c>
      <c r="E49" s="6">
        <v>6.05</v>
      </c>
      <c r="F49" s="1">
        <v>399</v>
      </c>
      <c r="G49" s="1">
        <f t="shared" si="9"/>
        <v>2413.9499999999998</v>
      </c>
      <c r="H49" s="1">
        <v>77</v>
      </c>
      <c r="I49" s="1">
        <v>605</v>
      </c>
      <c r="J49" s="1">
        <f t="shared" si="10"/>
        <v>2941.95</v>
      </c>
      <c r="K49" s="6">
        <f t="shared" si="11"/>
        <v>0.19298245614035087</v>
      </c>
      <c r="L49" s="1">
        <f>1000*2.3</f>
        <v>2300</v>
      </c>
      <c r="N49" s="1">
        <v>2.91</v>
      </c>
      <c r="O49" s="6">
        <v>5.72</v>
      </c>
      <c r="P49" s="11">
        <f>+O49/N49-1</f>
        <v>0.96563573883161502</v>
      </c>
      <c r="Q49" s="11">
        <f t="shared" si="13"/>
        <v>5.7692307692307709E-2</v>
      </c>
      <c r="R49" s="11">
        <f t="shared" si="7"/>
        <v>8.1033811872364258E-3</v>
      </c>
      <c r="S49" s="11">
        <f t="shared" si="2"/>
        <v>4.6750276080210161E-4</v>
      </c>
      <c r="T49" s="1" t="s">
        <v>380</v>
      </c>
    </row>
    <row r="50" spans="2:20">
      <c r="B50" s="3" t="s">
        <v>10</v>
      </c>
      <c r="C50" s="1" t="s">
        <v>9</v>
      </c>
      <c r="D50" s="8" t="s">
        <v>37</v>
      </c>
      <c r="E50" s="6">
        <v>6.92</v>
      </c>
      <c r="F50" s="1">
        <v>202</v>
      </c>
      <c r="G50" s="1">
        <f t="shared" si="9"/>
        <v>1397.84</v>
      </c>
      <c r="H50" s="1">
        <v>366</v>
      </c>
      <c r="I50" s="1">
        <v>253</v>
      </c>
      <c r="J50" s="1">
        <f t="shared" si="10"/>
        <v>1284.8399999999999</v>
      </c>
      <c r="K50" s="6">
        <f t="shared" si="11"/>
        <v>1.8118811881188119</v>
      </c>
      <c r="L50" s="6">
        <f>1000*1.3</f>
        <v>1300</v>
      </c>
      <c r="N50" s="1">
        <v>10.65</v>
      </c>
      <c r="O50" s="6">
        <v>6.93</v>
      </c>
      <c r="P50" s="11">
        <v>-0.34929577464788741</v>
      </c>
      <c r="Q50" s="11">
        <f t="shared" si="13"/>
        <v>-1.4430014430013571E-3</v>
      </c>
      <c r="R50" s="11">
        <f t="shared" si="7"/>
        <v>4.6924047137540401E-3</v>
      </c>
      <c r="S50" s="11">
        <f t="shared" si="2"/>
        <v>-6.7711467730934502E-6</v>
      </c>
      <c r="T50" s="32" t="s">
        <v>381</v>
      </c>
    </row>
    <row r="51" spans="2:20">
      <c r="B51" s="3" t="s">
        <v>12</v>
      </c>
      <c r="C51" s="1" t="s">
        <v>11</v>
      </c>
      <c r="D51" s="8" t="s">
        <v>37</v>
      </c>
      <c r="E51" s="6">
        <v>3.41</v>
      </c>
      <c r="F51" s="1">
        <v>335</v>
      </c>
      <c r="G51" s="1">
        <f t="shared" si="9"/>
        <v>1142.3500000000001</v>
      </c>
      <c r="H51" s="1">
        <v>46</v>
      </c>
      <c r="I51" s="1">
        <v>148</v>
      </c>
      <c r="J51" s="1">
        <f t="shared" si="10"/>
        <v>1244.3500000000001</v>
      </c>
      <c r="K51" s="6">
        <f t="shared" si="11"/>
        <v>0.1373134328358209</v>
      </c>
      <c r="L51" s="1">
        <v>1700</v>
      </c>
      <c r="N51" s="1">
        <v>3.8</v>
      </c>
      <c r="O51" s="6">
        <v>3.3</v>
      </c>
      <c r="P51" s="11">
        <v>-0.13157894736842102</v>
      </c>
      <c r="Q51" s="11">
        <f t="shared" si="13"/>
        <v>3.3333333333333437E-2</v>
      </c>
      <c r="R51" s="11">
        <f t="shared" si="7"/>
        <v>3.8347511337184005E-3</v>
      </c>
      <c r="S51" s="11">
        <f t="shared" si="2"/>
        <v>1.2782503779061374E-4</v>
      </c>
      <c r="T51" s="1" t="s">
        <v>382</v>
      </c>
    </row>
    <row r="52" spans="2:20">
      <c r="B52" s="3" t="s">
        <v>14</v>
      </c>
      <c r="C52" s="1" t="s">
        <v>13</v>
      </c>
      <c r="D52" s="8" t="s">
        <v>37</v>
      </c>
      <c r="E52" s="6">
        <v>0.52</v>
      </c>
      <c r="N52" s="1">
        <v>1.66</v>
      </c>
      <c r="O52" s="6">
        <v>0.52</v>
      </c>
      <c r="P52" s="11">
        <v>-0.68674698795180722</v>
      </c>
      <c r="Q52" s="11">
        <f t="shared" si="13"/>
        <v>0</v>
      </c>
      <c r="R52" s="11">
        <f t="shared" si="7"/>
        <v>0</v>
      </c>
      <c r="S52" s="11">
        <f t="shared" si="2"/>
        <v>0</v>
      </c>
      <c r="T52" s="1" t="s">
        <v>383</v>
      </c>
    </row>
    <row r="53" spans="2:20">
      <c r="B53" s="3" t="s">
        <v>16</v>
      </c>
      <c r="C53" s="1" t="s">
        <v>15</v>
      </c>
      <c r="D53" s="8" t="s">
        <v>37</v>
      </c>
      <c r="E53" s="6">
        <v>2.2000000000000002</v>
      </c>
      <c r="F53" s="1">
        <v>94</v>
      </c>
      <c r="G53" s="1">
        <f t="shared" ref="G53:G60" si="14">+F53*E53</f>
        <v>206.8</v>
      </c>
      <c r="H53" s="1">
        <v>15</v>
      </c>
      <c r="I53" s="1">
        <v>0</v>
      </c>
      <c r="J53" s="1">
        <f t="shared" ref="J53:J60" si="15">+G53-H53+I53</f>
        <v>191.8</v>
      </c>
      <c r="K53" s="6">
        <f t="shared" ref="K53:K55" si="16">+H53/F53</f>
        <v>0.15957446808510639</v>
      </c>
      <c r="N53" s="1">
        <v>2.6</v>
      </c>
      <c r="O53" s="6">
        <v>2.2000000000000002</v>
      </c>
      <c r="P53" s="11">
        <v>-0.15384615384615385</v>
      </c>
      <c r="Q53" s="11">
        <f t="shared" si="13"/>
        <v>0</v>
      </c>
      <c r="R53" s="11">
        <f t="shared" si="7"/>
        <v>6.9420627167940223E-4</v>
      </c>
      <c r="S53" s="11">
        <f t="shared" si="2"/>
        <v>0</v>
      </c>
      <c r="T53" s="32" t="s">
        <v>384</v>
      </c>
    </row>
    <row r="54" spans="2:20">
      <c r="B54" s="3" t="s">
        <v>18</v>
      </c>
      <c r="C54" s="1" t="s">
        <v>17</v>
      </c>
      <c r="D54" s="8" t="s">
        <v>37</v>
      </c>
      <c r="E54" s="6">
        <v>10.19</v>
      </c>
      <c r="F54" s="1">
        <v>14</v>
      </c>
      <c r="G54" s="1">
        <f t="shared" si="14"/>
        <v>142.66</v>
      </c>
      <c r="H54" s="1">
        <v>12</v>
      </c>
      <c r="I54" s="1">
        <v>3</v>
      </c>
      <c r="J54" s="1">
        <f t="shared" si="15"/>
        <v>133.66</v>
      </c>
      <c r="K54" s="6">
        <f t="shared" si="16"/>
        <v>0.8571428571428571</v>
      </c>
      <c r="L54" s="1">
        <v>175</v>
      </c>
      <c r="N54" s="1">
        <v>6.3</v>
      </c>
      <c r="O54" s="6">
        <v>10.19</v>
      </c>
      <c r="P54" s="11">
        <v>0.61746031746031749</v>
      </c>
      <c r="Q54" s="11">
        <f t="shared" si="13"/>
        <v>0</v>
      </c>
      <c r="R54" s="11">
        <f t="shared" si="7"/>
        <v>4.788949067591079E-4</v>
      </c>
      <c r="S54" s="11">
        <f t="shared" si="2"/>
        <v>0</v>
      </c>
      <c r="T54" s="1" t="s">
        <v>385</v>
      </c>
    </row>
    <row r="55" spans="2:20">
      <c r="B55" s="2" t="s">
        <v>20</v>
      </c>
      <c r="C55" s="1" t="s">
        <v>19</v>
      </c>
      <c r="D55" s="8" t="s">
        <v>37</v>
      </c>
      <c r="E55" s="6">
        <v>10.02</v>
      </c>
      <c r="F55" s="1">
        <v>12</v>
      </c>
      <c r="G55" s="1">
        <f t="shared" si="14"/>
        <v>120.24</v>
      </c>
      <c r="H55" s="1">
        <v>36</v>
      </c>
      <c r="I55" s="1">
        <v>74</v>
      </c>
      <c r="J55" s="1">
        <f t="shared" si="15"/>
        <v>158.24</v>
      </c>
      <c r="K55" s="6">
        <f t="shared" si="16"/>
        <v>3</v>
      </c>
      <c r="L55" s="1">
        <v>184</v>
      </c>
      <c r="N55" s="1">
        <v>17.89</v>
      </c>
      <c r="O55" s="6">
        <v>10.02</v>
      </c>
      <c r="P55" s="11">
        <v>-0.43991056456120747</v>
      </c>
      <c r="Q55" s="11">
        <f t="shared" si="13"/>
        <v>0</v>
      </c>
      <c r="R55" s="11">
        <f t="shared" si="7"/>
        <v>4.0363327904608954E-4</v>
      </c>
      <c r="S55" s="11">
        <f t="shared" si="2"/>
        <v>0</v>
      </c>
      <c r="T55" s="1" t="s">
        <v>386</v>
      </c>
    </row>
    <row r="56" spans="2:20">
      <c r="B56" s="3" t="s">
        <v>22</v>
      </c>
      <c r="C56" s="1" t="s">
        <v>21</v>
      </c>
      <c r="D56" s="8" t="s">
        <v>37</v>
      </c>
      <c r="E56" s="6">
        <v>6.12</v>
      </c>
      <c r="F56" s="1">
        <v>12.32</v>
      </c>
      <c r="G56" s="1">
        <f t="shared" si="14"/>
        <v>75.398400000000009</v>
      </c>
      <c r="H56" s="1">
        <v>1.62</v>
      </c>
      <c r="I56" s="1">
        <v>0</v>
      </c>
      <c r="J56" s="1">
        <f t="shared" si="15"/>
        <v>73.778400000000005</v>
      </c>
      <c r="K56" s="6">
        <f t="shared" ref="K56:K61" si="17">+H56/F56</f>
        <v>0.1314935064935065</v>
      </c>
      <c r="N56" s="1">
        <v>4.2300000000000004</v>
      </c>
      <c r="O56" s="6">
        <v>6.14</v>
      </c>
      <c r="P56" s="11">
        <v>0.4515366430260046</v>
      </c>
      <c r="Q56" s="11">
        <f t="shared" si="13"/>
        <v>-3.2573289902279035E-3</v>
      </c>
      <c r="R56" s="11">
        <f t="shared" si="7"/>
        <v>2.5310465258506886E-4</v>
      </c>
      <c r="S56" s="11">
        <f t="shared" si="2"/>
        <v>-8.2444512242690671E-7</v>
      </c>
      <c r="T56" s="32" t="s">
        <v>387</v>
      </c>
    </row>
    <row r="57" spans="2:20">
      <c r="B57" s="3" t="s">
        <v>24</v>
      </c>
      <c r="C57" s="1" t="s">
        <v>23</v>
      </c>
      <c r="D57" s="8" t="s">
        <v>37</v>
      </c>
      <c r="E57" s="6">
        <v>0.55000000000000004</v>
      </c>
      <c r="F57" s="1">
        <v>123</v>
      </c>
      <c r="G57" s="1">
        <f t="shared" si="14"/>
        <v>67.650000000000006</v>
      </c>
      <c r="H57" s="1">
        <v>19</v>
      </c>
      <c r="I57" s="1">
        <v>0</v>
      </c>
      <c r="J57" s="1">
        <f t="shared" si="15"/>
        <v>48.650000000000006</v>
      </c>
      <c r="K57" s="6">
        <f t="shared" si="17"/>
        <v>0.15447154471544716</v>
      </c>
      <c r="L57" s="6"/>
      <c r="N57" s="6">
        <v>0.45</v>
      </c>
      <c r="O57" s="6">
        <v>0.55000000000000004</v>
      </c>
      <c r="P57" s="11">
        <v>0.22222222222222232</v>
      </c>
      <c r="Q57" s="11">
        <f t="shared" si="13"/>
        <v>0</v>
      </c>
      <c r="R57" s="11">
        <f t="shared" si="7"/>
        <v>2.2709407291640019E-4</v>
      </c>
      <c r="S57" s="11">
        <f t="shared" si="2"/>
        <v>0</v>
      </c>
      <c r="T57" s="1" t="str">
        <f>LOWER(T56)</f>
        <v>gold and copper exploration and development company focused on projects in wyoming, nevada, and idaho, including flagship ck gold project</v>
      </c>
    </row>
    <row r="58" spans="2:20">
      <c r="B58" s="3" t="s">
        <v>26</v>
      </c>
      <c r="C58" s="1" t="s">
        <v>25</v>
      </c>
      <c r="D58" s="8" t="s">
        <v>37</v>
      </c>
      <c r="E58" s="6">
        <v>2.21</v>
      </c>
      <c r="F58" s="1">
        <v>24</v>
      </c>
      <c r="G58" s="1">
        <f t="shared" si="14"/>
        <v>53.04</v>
      </c>
      <c r="H58" s="1">
        <v>59</v>
      </c>
      <c r="I58" s="1">
        <v>119</v>
      </c>
      <c r="J58" s="1">
        <f t="shared" si="15"/>
        <v>113.03999999999999</v>
      </c>
      <c r="K58" s="6">
        <f t="shared" si="17"/>
        <v>2.4583333333333335</v>
      </c>
      <c r="L58" s="6"/>
      <c r="N58" s="6">
        <v>2.58</v>
      </c>
      <c r="O58" s="6">
        <v>2.21</v>
      </c>
      <c r="P58" s="11">
        <v>-0.14341085271317833</v>
      </c>
      <c r="Q58" s="11">
        <f t="shared" si="13"/>
        <v>0</v>
      </c>
      <c r="R58" s="11">
        <f t="shared" si="7"/>
        <v>1.780498097189337E-4</v>
      </c>
      <c r="S58" s="11">
        <f t="shared" si="2"/>
        <v>0</v>
      </c>
      <c r="T58" s="1" t="s">
        <v>388</v>
      </c>
    </row>
    <row r="59" spans="2:20">
      <c r="B59" s="3" t="s">
        <v>28</v>
      </c>
      <c r="C59" s="1" t="s">
        <v>27</v>
      </c>
      <c r="D59" s="8" t="s">
        <v>37</v>
      </c>
      <c r="E59" s="6">
        <v>0.35</v>
      </c>
      <c r="F59" s="1">
        <v>66</v>
      </c>
      <c r="G59" s="1">
        <f t="shared" si="14"/>
        <v>23.099999999999998</v>
      </c>
      <c r="H59" s="1">
        <v>4</v>
      </c>
      <c r="I59" s="1">
        <v>0</v>
      </c>
      <c r="J59" s="1">
        <f t="shared" si="15"/>
        <v>19.099999999999998</v>
      </c>
      <c r="K59" s="6">
        <f t="shared" si="17"/>
        <v>6.0606060606060608E-2</v>
      </c>
      <c r="L59" s="6"/>
      <c r="N59" s="6">
        <v>0.37</v>
      </c>
      <c r="O59" s="6">
        <v>0.35</v>
      </c>
      <c r="P59" s="11">
        <v>-5.4054054054054057E-2</v>
      </c>
      <c r="Q59" s="11">
        <f t="shared" si="13"/>
        <v>0</v>
      </c>
      <c r="R59" s="11">
        <f t="shared" si="7"/>
        <v>7.7544317581209812E-5</v>
      </c>
      <c r="S59" s="11">
        <f t="shared" si="2"/>
        <v>0</v>
      </c>
      <c r="T59" s="1" t="s">
        <v>389</v>
      </c>
    </row>
    <row r="60" spans="2:20">
      <c r="B60" s="3" t="s">
        <v>30</v>
      </c>
      <c r="C60" s="1" t="s">
        <v>29</v>
      </c>
      <c r="D60" s="8" t="s">
        <v>37</v>
      </c>
      <c r="E60" s="6">
        <v>0.24</v>
      </c>
      <c r="F60" s="1">
        <v>94</v>
      </c>
      <c r="G60" s="1">
        <f t="shared" si="14"/>
        <v>22.56</v>
      </c>
      <c r="H60" s="1">
        <v>5</v>
      </c>
      <c r="I60" s="1">
        <v>0</v>
      </c>
      <c r="J60" s="1">
        <f t="shared" si="15"/>
        <v>17.559999999999999</v>
      </c>
      <c r="K60" s="6">
        <f t="shared" si="17"/>
        <v>5.3191489361702128E-2</v>
      </c>
      <c r="L60" s="6"/>
      <c r="N60" s="6">
        <v>0.38</v>
      </c>
      <c r="O60" s="6">
        <v>0.24</v>
      </c>
      <c r="P60" s="11">
        <v>-0.36842105263157898</v>
      </c>
      <c r="Q60" s="11">
        <f t="shared" si="13"/>
        <v>0</v>
      </c>
      <c r="R60" s="11">
        <f t="shared" si="7"/>
        <v>7.5731593274116598E-5</v>
      </c>
      <c r="S60" s="11">
        <f t="shared" si="2"/>
        <v>0</v>
      </c>
      <c r="T60" s="1" t="s">
        <v>390</v>
      </c>
    </row>
    <row r="61" spans="2:20">
      <c r="B61" s="3" t="s">
        <v>127</v>
      </c>
      <c r="C61" s="1" t="s">
        <v>288</v>
      </c>
      <c r="D61" s="10" t="s">
        <v>126</v>
      </c>
      <c r="E61" s="6">
        <v>112.29</v>
      </c>
      <c r="F61" s="1">
        <v>61</v>
      </c>
      <c r="G61" s="1">
        <f>+F61*E61</f>
        <v>6849.6900000000005</v>
      </c>
      <c r="H61" s="1">
        <v>1192</v>
      </c>
      <c r="I61" s="1">
        <v>276</v>
      </c>
      <c r="J61" s="1">
        <f>+G61-H61+I61</f>
        <v>5933.6900000000005</v>
      </c>
      <c r="K61" s="1">
        <f t="shared" si="17"/>
        <v>19.540983606557376</v>
      </c>
      <c r="L61" s="1">
        <v>7087</v>
      </c>
      <c r="N61" s="1">
        <v>123.56</v>
      </c>
      <c r="O61" s="6">
        <v>112.29</v>
      </c>
      <c r="P61" s="11">
        <v>-9.1210747814826743E-2</v>
      </c>
      <c r="Q61" s="11">
        <f t="shared" ref="Q61:Q63" si="18">+E61/O61-1</f>
        <v>0</v>
      </c>
      <c r="R61" s="11">
        <f t="shared" si="7"/>
        <v>2.2993702887135807E-2</v>
      </c>
      <c r="S61" s="11">
        <f t="shared" si="2"/>
        <v>0</v>
      </c>
      <c r="T61" s="1" t="s">
        <v>391</v>
      </c>
    </row>
    <row r="62" spans="2:20">
      <c r="B62" s="1" t="s">
        <v>128</v>
      </c>
      <c r="C62" s="1" t="s">
        <v>299</v>
      </c>
      <c r="D62" s="10" t="s">
        <v>126</v>
      </c>
      <c r="E62" s="6">
        <v>165.83199999999999</v>
      </c>
      <c r="N62" s="1">
        <v>193.68</v>
      </c>
      <c r="O62" s="6">
        <v>165.83199999999999</v>
      </c>
      <c r="P62" s="11">
        <v>-0.1437835605121851</v>
      </c>
      <c r="Q62" s="11">
        <f t="shared" si="18"/>
        <v>0</v>
      </c>
      <c r="T62" s="1" t="s">
        <v>392</v>
      </c>
    </row>
    <row r="63" spans="2:20">
      <c r="B63" s="1" t="s">
        <v>129</v>
      </c>
      <c r="C63" s="1" t="s">
        <v>300</v>
      </c>
      <c r="D63" s="10" t="s">
        <v>126</v>
      </c>
      <c r="E63" s="6">
        <v>4.6399999999999997</v>
      </c>
      <c r="N63" s="1">
        <v>5.05</v>
      </c>
      <c r="O63" s="6">
        <v>4.6399999999999997</v>
      </c>
      <c r="P63" s="11">
        <v>-8.118811881188126E-2</v>
      </c>
      <c r="Q63" s="11">
        <f t="shared" si="18"/>
        <v>0</v>
      </c>
      <c r="T63" s="1" t="s">
        <v>393</v>
      </c>
    </row>
    <row r="64" spans="2:20">
      <c r="B64" s="6" t="s">
        <v>132</v>
      </c>
      <c r="C64" s="1" t="s">
        <v>131</v>
      </c>
      <c r="D64" s="10" t="s">
        <v>130</v>
      </c>
      <c r="E64" s="1">
        <v>15.67</v>
      </c>
      <c r="F64" s="1">
        <v>163</v>
      </c>
      <c r="G64" s="1">
        <f>+E64*F64</f>
        <v>2554.21</v>
      </c>
      <c r="H64" s="1">
        <v>866</v>
      </c>
      <c r="I64" s="1">
        <v>938</v>
      </c>
      <c r="J64" s="1">
        <f>+G64-H64+I64</f>
        <v>2626.21</v>
      </c>
      <c r="K64" s="5">
        <f>+H64/F64</f>
        <v>5.3128834355828225</v>
      </c>
      <c r="N64" s="1">
        <v>19.66</v>
      </c>
      <c r="O64" s="1">
        <v>15.67</v>
      </c>
      <c r="P64" s="11">
        <v>-0.20295015259409965</v>
      </c>
      <c r="Q64" s="11">
        <f t="shared" ref="Q64:Q79" si="19">+E64/O64-1</f>
        <v>0</v>
      </c>
      <c r="R64" s="11">
        <f t="shared" ref="R64:R95" si="20">+G64/$G$1</f>
        <v>8.5742195415195645E-3</v>
      </c>
      <c r="S64" s="11">
        <f t="shared" ref="S64:S79" si="21">+P64*R64</f>
        <v>-1.7401391643267069E-3</v>
      </c>
      <c r="T64" s="1" t="s">
        <v>394</v>
      </c>
    </row>
    <row r="65" spans="2:20">
      <c r="B65" s="6" t="s">
        <v>134</v>
      </c>
      <c r="C65" s="1" t="s">
        <v>133</v>
      </c>
      <c r="D65" s="10" t="s">
        <v>130</v>
      </c>
      <c r="E65" s="1">
        <v>98.88</v>
      </c>
      <c r="N65" s="1">
        <v>128.44</v>
      </c>
      <c r="O65" s="1">
        <v>98.88</v>
      </c>
      <c r="P65" s="11">
        <v>-0.23014637184677678</v>
      </c>
      <c r="Q65" s="11">
        <f t="shared" si="19"/>
        <v>0</v>
      </c>
      <c r="R65" s="11">
        <f t="shared" si="20"/>
        <v>0</v>
      </c>
      <c r="S65" s="11">
        <f t="shared" si="21"/>
        <v>0</v>
      </c>
      <c r="T65" s="1" t="s">
        <v>395</v>
      </c>
    </row>
    <row r="66" spans="2:20">
      <c r="B66" s="6" t="s">
        <v>136</v>
      </c>
      <c r="C66" s="1" t="s">
        <v>135</v>
      </c>
      <c r="D66" s="10" t="s">
        <v>130</v>
      </c>
      <c r="E66" s="1">
        <v>34.4</v>
      </c>
      <c r="N66" s="1">
        <v>9.44</v>
      </c>
      <c r="O66" s="1">
        <v>34.4</v>
      </c>
      <c r="P66" s="11">
        <v>2.6440677966101696</v>
      </c>
      <c r="Q66" s="11">
        <f t="shared" si="19"/>
        <v>0</v>
      </c>
      <c r="R66" s="11">
        <f t="shared" si="20"/>
        <v>0</v>
      </c>
      <c r="S66" s="11">
        <f t="shared" si="21"/>
        <v>0</v>
      </c>
      <c r="T66" s="1" t="s">
        <v>396</v>
      </c>
    </row>
    <row r="67" spans="2:20">
      <c r="B67" s="6" t="s">
        <v>138</v>
      </c>
      <c r="C67" s="1" t="s">
        <v>137</v>
      </c>
      <c r="D67" s="10" t="s">
        <v>130</v>
      </c>
      <c r="E67" s="1">
        <v>6.79</v>
      </c>
      <c r="N67" s="1">
        <v>15.5</v>
      </c>
      <c r="O67" s="1">
        <v>6.79</v>
      </c>
      <c r="P67" s="11">
        <v>-0.56193548387096781</v>
      </c>
      <c r="Q67" s="11">
        <f t="shared" si="19"/>
        <v>0</v>
      </c>
      <c r="R67" s="11">
        <f t="shared" si="20"/>
        <v>0</v>
      </c>
      <c r="S67" s="11">
        <f t="shared" si="21"/>
        <v>0</v>
      </c>
      <c r="T67" s="1" t="s">
        <v>397</v>
      </c>
    </row>
    <row r="68" spans="2:20">
      <c r="B68" s="6" t="s">
        <v>140</v>
      </c>
      <c r="C68" s="1" t="s">
        <v>139</v>
      </c>
      <c r="D68" s="10" t="s">
        <v>130</v>
      </c>
      <c r="E68" s="1">
        <v>11.2</v>
      </c>
      <c r="N68" s="1">
        <v>24.91</v>
      </c>
      <c r="O68" s="1">
        <v>11.2</v>
      </c>
      <c r="P68" s="11">
        <v>-0.55038137294259337</v>
      </c>
      <c r="Q68" s="11">
        <f t="shared" si="19"/>
        <v>0</v>
      </c>
      <c r="R68" s="11">
        <f t="shared" si="20"/>
        <v>0</v>
      </c>
      <c r="S68" s="11">
        <f t="shared" si="21"/>
        <v>0</v>
      </c>
      <c r="T68" s="1" t="s">
        <v>398</v>
      </c>
    </row>
    <row r="69" spans="2:20">
      <c r="B69" s="6" t="s">
        <v>142</v>
      </c>
      <c r="C69" s="1" t="s">
        <v>141</v>
      </c>
      <c r="D69" s="10" t="s">
        <v>130</v>
      </c>
      <c r="E69" s="1">
        <v>8.68</v>
      </c>
      <c r="N69" s="1">
        <v>27.88</v>
      </c>
      <c r="O69" s="1">
        <v>8.68</v>
      </c>
      <c r="P69" s="11">
        <v>-0.68866571018651368</v>
      </c>
      <c r="Q69" s="11">
        <f t="shared" si="19"/>
        <v>0</v>
      </c>
      <c r="R69" s="11">
        <f t="shared" si="20"/>
        <v>0</v>
      </c>
      <c r="S69" s="11">
        <f t="shared" si="21"/>
        <v>0</v>
      </c>
      <c r="T69" s="1" t="str">
        <f>LOWER(T68)</f>
        <v>produces salt, plant nutrients, and specialty minerals and is developing a lithium brine project in utah to support the u.s. battery supply chain</v>
      </c>
    </row>
    <row r="70" spans="2:20">
      <c r="B70" s="6" t="s">
        <v>144</v>
      </c>
      <c r="C70" s="1" t="s">
        <v>143</v>
      </c>
      <c r="D70" s="10" t="s">
        <v>130</v>
      </c>
      <c r="E70" s="1">
        <v>1.77</v>
      </c>
      <c r="N70" s="1">
        <v>0.25</v>
      </c>
      <c r="O70" s="1">
        <v>1.77</v>
      </c>
      <c r="P70" s="11">
        <v>6.08</v>
      </c>
      <c r="Q70" s="11">
        <f t="shared" si="19"/>
        <v>0</v>
      </c>
      <c r="R70" s="11">
        <f t="shared" si="20"/>
        <v>0</v>
      </c>
      <c r="S70" s="11">
        <f t="shared" si="21"/>
        <v>0</v>
      </c>
      <c r="T70" s="1" t="s">
        <v>399</v>
      </c>
    </row>
    <row r="71" spans="2:20">
      <c r="B71" s="6" t="s">
        <v>146</v>
      </c>
      <c r="C71" s="1" t="s">
        <v>145</v>
      </c>
      <c r="D71" s="10" t="s">
        <v>130</v>
      </c>
      <c r="E71" s="1">
        <v>2.4500000000000002</v>
      </c>
      <c r="N71" s="1">
        <v>4.41</v>
      </c>
      <c r="O71" s="1">
        <v>2.4500000000000002</v>
      </c>
      <c r="P71" s="11">
        <v>-0.44444444444444442</v>
      </c>
      <c r="Q71" s="11">
        <f t="shared" si="19"/>
        <v>0</v>
      </c>
      <c r="R71" s="11">
        <f t="shared" si="20"/>
        <v>0</v>
      </c>
      <c r="S71" s="11">
        <f t="shared" si="21"/>
        <v>0</v>
      </c>
      <c r="T71" s="1" t="str">
        <f>LOWER(T70)</f>
        <v>develops technologies for lithium ion battery recycling extraction, and refining, aiming to create a closed loop domestic battery material supply chain in the u.s</v>
      </c>
    </row>
    <row r="72" spans="2:20">
      <c r="B72" s="6" t="s">
        <v>148</v>
      </c>
      <c r="C72" s="1" t="s">
        <v>147</v>
      </c>
      <c r="D72" s="10" t="s">
        <v>130</v>
      </c>
      <c r="E72" s="1">
        <v>1.62</v>
      </c>
      <c r="N72" s="1">
        <v>3.16</v>
      </c>
      <c r="O72" s="1">
        <v>1.62</v>
      </c>
      <c r="P72" s="11">
        <v>-0.48734177215189878</v>
      </c>
      <c r="Q72" s="11">
        <f t="shared" si="19"/>
        <v>0</v>
      </c>
      <c r="R72" s="11">
        <f t="shared" si="20"/>
        <v>0</v>
      </c>
      <c r="S72" s="11">
        <f t="shared" si="21"/>
        <v>0</v>
      </c>
      <c r="T72" s="1" t="s">
        <v>400</v>
      </c>
    </row>
    <row r="73" spans="2:20">
      <c r="B73" s="6" t="s">
        <v>150</v>
      </c>
      <c r="C73" s="1" t="s">
        <v>149</v>
      </c>
      <c r="D73" s="10" t="s">
        <v>130</v>
      </c>
      <c r="E73" s="1">
        <v>0.59</v>
      </c>
      <c r="N73" s="1">
        <v>0.56000000000000005</v>
      </c>
      <c r="O73" s="1">
        <v>0.59</v>
      </c>
      <c r="P73" s="11">
        <v>5.3571428571428381E-2</v>
      </c>
      <c r="Q73" s="11">
        <f t="shared" si="19"/>
        <v>0</v>
      </c>
      <c r="R73" s="11">
        <f t="shared" si="20"/>
        <v>0</v>
      </c>
      <c r="S73" s="11">
        <f t="shared" si="21"/>
        <v>0</v>
      </c>
      <c r="T73" s="1" t="s">
        <v>401</v>
      </c>
    </row>
    <row r="74" spans="2:20">
      <c r="B74" s="6" t="s">
        <v>152</v>
      </c>
      <c r="C74" s="1" t="s">
        <v>151</v>
      </c>
      <c r="D74" s="10" t="s">
        <v>130</v>
      </c>
      <c r="E74" s="1">
        <v>0.7</v>
      </c>
      <c r="N74" s="1">
        <v>0.59</v>
      </c>
      <c r="O74" s="1">
        <v>0.7</v>
      </c>
      <c r="P74" s="11">
        <v>0.18644067796610164</v>
      </c>
      <c r="Q74" s="11">
        <f t="shared" si="19"/>
        <v>0</v>
      </c>
      <c r="R74" s="11">
        <f t="shared" si="20"/>
        <v>0</v>
      </c>
      <c r="S74" s="11">
        <f t="shared" si="21"/>
        <v>0</v>
      </c>
      <c r="T74" s="1" t="s">
        <v>402</v>
      </c>
    </row>
    <row r="75" spans="2:20">
      <c r="B75" s="6" t="s">
        <v>154</v>
      </c>
      <c r="C75" s="1" t="s">
        <v>153</v>
      </c>
      <c r="D75" s="10" t="s">
        <v>130</v>
      </c>
      <c r="E75" s="5">
        <v>0.72</v>
      </c>
      <c r="F75" s="1">
        <v>22</v>
      </c>
      <c r="G75" s="1">
        <f>+E75*F75</f>
        <v>15.84</v>
      </c>
      <c r="H75" s="1">
        <v>3</v>
      </c>
      <c r="I75" s="1">
        <v>23</v>
      </c>
      <c r="J75" s="1">
        <f>+G75-H75+I75</f>
        <v>35.840000000000003</v>
      </c>
      <c r="K75" s="5">
        <f>+H75/F75</f>
        <v>0.13636363636363635</v>
      </c>
      <c r="N75" s="1">
        <v>4.62</v>
      </c>
      <c r="O75" s="5">
        <v>0.72</v>
      </c>
      <c r="P75" s="11">
        <v>-0.8441558441558441</v>
      </c>
      <c r="Q75" s="11">
        <f t="shared" si="19"/>
        <v>0</v>
      </c>
      <c r="R75" s="11">
        <f t="shared" si="20"/>
        <v>5.3173246341401021E-5</v>
      </c>
      <c r="S75" s="11">
        <f t="shared" si="21"/>
        <v>-4.488650665183203E-5</v>
      </c>
      <c r="T75" s="1" t="s">
        <v>403</v>
      </c>
    </row>
    <row r="76" spans="2:20">
      <c r="B76" s="6" t="s">
        <v>156</v>
      </c>
      <c r="C76" s="1" t="s">
        <v>155</v>
      </c>
      <c r="D76" s="10" t="s">
        <v>130</v>
      </c>
      <c r="E76" s="6">
        <v>4.91</v>
      </c>
      <c r="N76" s="6">
        <v>4.6900000000000004</v>
      </c>
      <c r="O76" s="6">
        <v>4.91</v>
      </c>
      <c r="P76" s="11">
        <v>4.6908315565031833E-2</v>
      </c>
      <c r="Q76" s="11">
        <f t="shared" si="19"/>
        <v>0</v>
      </c>
      <c r="R76" s="11">
        <f t="shared" si="20"/>
        <v>0</v>
      </c>
      <c r="S76" s="11">
        <f t="shared" si="21"/>
        <v>0</v>
      </c>
      <c r="T76" s="1" t="s">
        <v>404</v>
      </c>
    </row>
    <row r="77" spans="2:20">
      <c r="B77" s="17" t="s">
        <v>158</v>
      </c>
      <c r="C77" s="1" t="s">
        <v>157</v>
      </c>
      <c r="D77" s="10" t="s">
        <v>130</v>
      </c>
      <c r="E77" s="6">
        <v>10.67</v>
      </c>
      <c r="N77" s="1">
        <v>3.28</v>
      </c>
      <c r="O77" s="6">
        <v>10.67</v>
      </c>
      <c r="P77" s="11">
        <v>2.2530487804878052</v>
      </c>
      <c r="Q77" s="11">
        <f t="shared" si="19"/>
        <v>0</v>
      </c>
      <c r="R77" s="11">
        <f t="shared" si="20"/>
        <v>0</v>
      </c>
      <c r="S77" s="11">
        <f t="shared" si="21"/>
        <v>0</v>
      </c>
      <c r="T77" s="1" t="s">
        <v>405</v>
      </c>
    </row>
    <row r="78" spans="2:20">
      <c r="B78" s="6" t="s">
        <v>160</v>
      </c>
      <c r="C78" s="1" t="s">
        <v>159</v>
      </c>
      <c r="D78" s="10" t="s">
        <v>130</v>
      </c>
      <c r="E78" s="6">
        <v>0.76</v>
      </c>
      <c r="N78" s="1">
        <v>0.56999999999999995</v>
      </c>
      <c r="O78" s="6">
        <v>0.76</v>
      </c>
      <c r="P78" s="11">
        <v>0.33333333333333348</v>
      </c>
      <c r="Q78" s="11">
        <f t="shared" si="19"/>
        <v>0</v>
      </c>
      <c r="R78" s="11">
        <f t="shared" si="20"/>
        <v>0</v>
      </c>
      <c r="S78" s="11">
        <f t="shared" si="21"/>
        <v>0</v>
      </c>
      <c r="T78" s="1" t="s">
        <v>406</v>
      </c>
    </row>
    <row r="79" spans="2:20">
      <c r="B79" s="6" t="s">
        <v>162</v>
      </c>
      <c r="C79" s="1" t="s">
        <v>161</v>
      </c>
      <c r="D79" s="10" t="s">
        <v>130</v>
      </c>
      <c r="E79" s="1">
        <v>9.2999999999999999E-2</v>
      </c>
      <c r="N79" s="1">
        <v>0.53</v>
      </c>
      <c r="O79" s="1">
        <v>9.2999999999999999E-2</v>
      </c>
      <c r="P79" s="11">
        <v>-0.82452830188679249</v>
      </c>
      <c r="Q79" s="11">
        <f t="shared" si="19"/>
        <v>0</v>
      </c>
      <c r="R79" s="11">
        <f t="shared" si="20"/>
        <v>0</v>
      </c>
      <c r="S79" s="11">
        <f t="shared" si="21"/>
        <v>0</v>
      </c>
      <c r="T79" s="1" t="s">
        <v>407</v>
      </c>
    </row>
    <row r="80" spans="2:20">
      <c r="B80" s="1" t="s">
        <v>164</v>
      </c>
      <c r="C80" s="1" t="s">
        <v>294</v>
      </c>
      <c r="D80" s="10" t="s">
        <v>163</v>
      </c>
      <c r="E80" s="1">
        <v>79.02</v>
      </c>
      <c r="N80" s="1">
        <v>49.64</v>
      </c>
      <c r="O80" s="1">
        <v>79.02</v>
      </c>
      <c r="P80" s="11">
        <v>0.59186140209508453</v>
      </c>
      <c r="Q80" s="11">
        <f t="shared" ref="Q80:Q82" si="22">+E80/O80-1</f>
        <v>0</v>
      </c>
      <c r="R80" s="11">
        <f t="shared" si="20"/>
        <v>0</v>
      </c>
      <c r="S80" s="11">
        <f t="shared" ref="S80:S82" si="23">+P80*R80</f>
        <v>0</v>
      </c>
      <c r="T80" s="4" t="s">
        <v>408</v>
      </c>
    </row>
    <row r="81" spans="2:20">
      <c r="B81" s="1" t="s">
        <v>165</v>
      </c>
      <c r="C81" s="1" t="s">
        <v>295</v>
      </c>
      <c r="D81" s="10" t="s">
        <v>163</v>
      </c>
      <c r="E81" s="6">
        <v>20</v>
      </c>
      <c r="F81" s="1">
        <v>35</v>
      </c>
      <c r="G81" s="1">
        <f>+E81*F81</f>
        <v>700</v>
      </c>
      <c r="H81" s="1">
        <v>215</v>
      </c>
      <c r="I81" s="1">
        <v>1996</v>
      </c>
      <c r="J81" s="1">
        <f>+G81-H81+I81</f>
        <v>2481</v>
      </c>
      <c r="N81" s="1">
        <v>23.27</v>
      </c>
      <c r="O81" s="6">
        <v>18.170000000000002</v>
      </c>
      <c r="P81" s="11">
        <v>-0.21916630855178332</v>
      </c>
      <c r="Q81" s="11">
        <f t="shared" si="22"/>
        <v>0.1007154650522839</v>
      </c>
      <c r="R81" s="11">
        <f t="shared" si="20"/>
        <v>2.3498278054912068E-3</v>
      </c>
      <c r="S81" s="11">
        <f t="shared" si="23"/>
        <v>-5.1500308586184573E-4</v>
      </c>
      <c r="T81" s="1" t="s">
        <v>409</v>
      </c>
    </row>
    <row r="82" spans="2:20">
      <c r="B82" s="1" t="s">
        <v>166</v>
      </c>
      <c r="C82" s="1" t="s">
        <v>296</v>
      </c>
      <c r="D82" s="10" t="s">
        <v>163</v>
      </c>
      <c r="E82" s="6">
        <v>29.77</v>
      </c>
      <c r="F82" s="1">
        <v>17</v>
      </c>
      <c r="G82" s="1">
        <f>+E82*F82</f>
        <v>506.09</v>
      </c>
      <c r="H82" s="1">
        <v>36</v>
      </c>
      <c r="I82" s="1">
        <v>1150</v>
      </c>
      <c r="J82" s="1">
        <f>+G82-H82+I82</f>
        <v>1620.09</v>
      </c>
      <c r="N82" s="6">
        <v>36.590000000000003</v>
      </c>
      <c r="O82" s="6">
        <v>29.77</v>
      </c>
      <c r="P82" s="11">
        <v>-0.18638972396829745</v>
      </c>
      <c r="Q82" s="11">
        <f t="shared" si="22"/>
        <v>0</v>
      </c>
      <c r="R82" s="11">
        <f t="shared" si="20"/>
        <v>1.6988919344014925E-3</v>
      </c>
      <c r="S82" s="11">
        <f t="shared" si="23"/>
        <v>-3.1665599870506108E-4</v>
      </c>
      <c r="T82" s="32" t="s">
        <v>410</v>
      </c>
    </row>
    <row r="83" spans="2:20">
      <c r="B83" s="6" t="s">
        <v>170</v>
      </c>
      <c r="C83" s="1" t="s">
        <v>169</v>
      </c>
      <c r="D83" s="10" t="s">
        <v>167</v>
      </c>
      <c r="E83" s="6">
        <v>86.08</v>
      </c>
      <c r="N83" s="1">
        <v>146.88999999999999</v>
      </c>
      <c r="O83" s="6">
        <v>86.08</v>
      </c>
      <c r="P83" s="11">
        <v>-0.41398325277418468</v>
      </c>
      <c r="Q83" s="11">
        <f t="shared" ref="Q83:Q126" si="24">+E83/O83-1</f>
        <v>0</v>
      </c>
      <c r="R83" s="11">
        <f t="shared" si="20"/>
        <v>0</v>
      </c>
      <c r="S83" s="11">
        <f t="shared" ref="S83:S126" si="25">+P83*R83</f>
        <v>0</v>
      </c>
      <c r="T83" s="1" t="s">
        <v>411</v>
      </c>
    </row>
    <row r="84" spans="2:20">
      <c r="B84" s="6" t="s">
        <v>172</v>
      </c>
      <c r="C84" s="1" t="s">
        <v>171</v>
      </c>
      <c r="D84" s="10" t="s">
        <v>167</v>
      </c>
      <c r="E84" s="6">
        <v>1.56</v>
      </c>
      <c r="N84" s="1">
        <v>2.68</v>
      </c>
      <c r="O84" s="6">
        <v>1.56</v>
      </c>
      <c r="P84" s="11">
        <v>-0.41791044776119401</v>
      </c>
      <c r="Q84" s="11">
        <f t="shared" si="24"/>
        <v>0</v>
      </c>
      <c r="R84" s="11">
        <f t="shared" si="20"/>
        <v>0</v>
      </c>
      <c r="S84" s="11">
        <f t="shared" si="25"/>
        <v>0</v>
      </c>
      <c r="T84" s="1" t="s">
        <v>412</v>
      </c>
    </row>
    <row r="85" spans="2:20">
      <c r="B85" s="17" t="s">
        <v>174</v>
      </c>
      <c r="C85" s="1" t="s">
        <v>173</v>
      </c>
      <c r="D85" s="10" t="s">
        <v>167</v>
      </c>
      <c r="E85" s="6">
        <v>289.52</v>
      </c>
      <c r="N85" s="1">
        <v>273.47000000000003</v>
      </c>
      <c r="O85" s="6">
        <v>289.52</v>
      </c>
      <c r="P85" s="11">
        <v>5.8690167111566049E-2</v>
      </c>
      <c r="Q85" s="11">
        <f t="shared" si="24"/>
        <v>0</v>
      </c>
      <c r="R85" s="11">
        <f t="shared" si="20"/>
        <v>0</v>
      </c>
      <c r="S85" s="11">
        <f t="shared" si="25"/>
        <v>0</v>
      </c>
      <c r="T85" s="1" t="s">
        <v>413</v>
      </c>
    </row>
    <row r="86" spans="2:20">
      <c r="B86" s="6" t="s">
        <v>176</v>
      </c>
      <c r="C86" s="1" t="s">
        <v>175</v>
      </c>
      <c r="D86" s="10" t="s">
        <v>167</v>
      </c>
      <c r="E86" s="6">
        <v>71.459999999999994</v>
      </c>
      <c r="N86" s="1">
        <v>83.7</v>
      </c>
      <c r="O86" s="6">
        <v>71.459999999999994</v>
      </c>
      <c r="P86" s="11">
        <v>-0.14623655913978506</v>
      </c>
      <c r="Q86" s="11">
        <f t="shared" si="24"/>
        <v>0</v>
      </c>
      <c r="R86" s="11">
        <f t="shared" si="20"/>
        <v>0</v>
      </c>
      <c r="S86" s="11">
        <f t="shared" si="25"/>
        <v>0</v>
      </c>
      <c r="T86" s="1" t="s">
        <v>414</v>
      </c>
    </row>
    <row r="87" spans="2:20">
      <c r="B87" s="6" t="s">
        <v>178</v>
      </c>
      <c r="C87" s="1" t="s">
        <v>177</v>
      </c>
      <c r="D87" s="10" t="s">
        <v>167</v>
      </c>
      <c r="E87" s="6">
        <v>40.869999999999997</v>
      </c>
      <c r="N87" s="1">
        <v>41.12</v>
      </c>
      <c r="O87" s="6">
        <v>40.869999999999997</v>
      </c>
      <c r="P87" s="11">
        <v>-6.0797665369649589E-3</v>
      </c>
      <c r="Q87" s="11">
        <f t="shared" si="24"/>
        <v>0</v>
      </c>
      <c r="R87" s="11">
        <f t="shared" si="20"/>
        <v>0</v>
      </c>
      <c r="S87" s="11">
        <f t="shared" si="25"/>
        <v>0</v>
      </c>
      <c r="T87" s="1" t="s">
        <v>415</v>
      </c>
    </row>
    <row r="88" spans="2:20">
      <c r="B88" s="6" t="s">
        <v>180</v>
      </c>
      <c r="C88" s="1" t="s">
        <v>179</v>
      </c>
      <c r="D88" s="10" t="s">
        <v>167</v>
      </c>
      <c r="E88" s="6">
        <v>34.22</v>
      </c>
      <c r="N88" s="1">
        <v>33.479999999999997</v>
      </c>
      <c r="O88" s="6">
        <v>34.22</v>
      </c>
      <c r="P88" s="11">
        <v>2.2102747909199527E-2</v>
      </c>
      <c r="Q88" s="11">
        <f t="shared" si="24"/>
        <v>0</v>
      </c>
      <c r="R88" s="11">
        <f t="shared" si="20"/>
        <v>0</v>
      </c>
      <c r="S88" s="11">
        <f t="shared" si="25"/>
        <v>0</v>
      </c>
      <c r="T88" s="1" t="s">
        <v>416</v>
      </c>
    </row>
    <row r="89" spans="2:20">
      <c r="B89" s="6" t="s">
        <v>182</v>
      </c>
      <c r="C89" s="1" t="s">
        <v>181</v>
      </c>
      <c r="D89" s="10" t="s">
        <v>167</v>
      </c>
      <c r="E89" s="6">
        <v>163</v>
      </c>
      <c r="N89" s="1">
        <v>146.19999999999999</v>
      </c>
      <c r="O89" s="6">
        <v>163</v>
      </c>
      <c r="P89" s="11">
        <v>0.11491108071135447</v>
      </c>
      <c r="Q89" s="11">
        <f t="shared" si="24"/>
        <v>0</v>
      </c>
      <c r="R89" s="11">
        <f t="shared" si="20"/>
        <v>0</v>
      </c>
      <c r="S89" s="11">
        <f t="shared" si="25"/>
        <v>0</v>
      </c>
      <c r="T89" s="1" t="str">
        <f>LOWER(T87)</f>
        <v>provides specialized polymer materials and colorants, including custom plastic compounds and sustainable materials for healthcare, automative, electronics, and packaging industries</v>
      </c>
    </row>
    <row r="90" spans="2:20">
      <c r="B90" s="6" t="s">
        <v>184</v>
      </c>
      <c r="C90" s="1" t="s">
        <v>183</v>
      </c>
      <c r="D90" s="10" t="s">
        <v>167</v>
      </c>
      <c r="E90" s="6">
        <v>91.31</v>
      </c>
      <c r="N90" s="1">
        <v>82.96</v>
      </c>
      <c r="O90" s="6">
        <v>91.31</v>
      </c>
      <c r="P90" s="11">
        <v>0.10065091610414667</v>
      </c>
      <c r="Q90" s="11">
        <f t="shared" si="24"/>
        <v>0</v>
      </c>
      <c r="R90" s="11">
        <f t="shared" si="20"/>
        <v>0</v>
      </c>
      <c r="S90" s="11">
        <f t="shared" si="25"/>
        <v>0</v>
      </c>
      <c r="T90" s="1" t="str">
        <f>LOWER(T88)</f>
        <v>manufactures liquidand powder coatings used in automotive refinishing, oem vehicles, industrial equipment, and architectural applications</v>
      </c>
    </row>
    <row r="91" spans="2:20">
      <c r="B91" s="6" t="s">
        <v>186</v>
      </c>
      <c r="C91" s="1" t="s">
        <v>185</v>
      </c>
      <c r="D91" s="10" t="s">
        <v>167</v>
      </c>
      <c r="E91" s="6">
        <v>16.93</v>
      </c>
      <c r="N91" s="1">
        <v>31.78</v>
      </c>
      <c r="O91" s="6">
        <v>16.93</v>
      </c>
      <c r="P91" s="11">
        <v>-0.46727501573316554</v>
      </c>
      <c r="Q91" s="11">
        <f t="shared" si="24"/>
        <v>0</v>
      </c>
      <c r="R91" s="11">
        <f t="shared" si="20"/>
        <v>0</v>
      </c>
      <c r="S91" s="11">
        <f t="shared" si="25"/>
        <v>0</v>
      </c>
      <c r="T91" s="1" t="s">
        <v>417</v>
      </c>
    </row>
    <row r="92" spans="2:20">
      <c r="B92" s="6" t="s">
        <v>188</v>
      </c>
      <c r="C92" s="1" t="s">
        <v>187</v>
      </c>
      <c r="D92" s="10" t="s">
        <v>167</v>
      </c>
      <c r="E92" s="6">
        <v>16.7</v>
      </c>
      <c r="N92" s="1">
        <v>17.8</v>
      </c>
      <c r="O92" s="6">
        <v>16.7</v>
      </c>
      <c r="P92" s="11">
        <v>-6.1797752808988804E-2</v>
      </c>
      <c r="Q92" s="11">
        <f t="shared" si="24"/>
        <v>0</v>
      </c>
      <c r="R92" s="11">
        <f t="shared" si="20"/>
        <v>0</v>
      </c>
      <c r="S92" s="11">
        <f t="shared" si="25"/>
        <v>0</v>
      </c>
      <c r="T92" s="1" t="s">
        <v>418</v>
      </c>
    </row>
    <row r="93" spans="2:20">
      <c r="B93" s="6" t="s">
        <v>190</v>
      </c>
      <c r="C93" s="1" t="s">
        <v>189</v>
      </c>
      <c r="D93" s="10" t="s">
        <v>167</v>
      </c>
      <c r="E93" s="6">
        <v>0.15</v>
      </c>
      <c r="N93" s="1">
        <v>22.89</v>
      </c>
      <c r="O93" s="6">
        <v>0.15</v>
      </c>
      <c r="P93" s="11">
        <v>-0.99344692005242463</v>
      </c>
      <c r="Q93" s="11">
        <f t="shared" si="24"/>
        <v>0</v>
      </c>
      <c r="R93" s="11">
        <f t="shared" si="20"/>
        <v>0</v>
      </c>
      <c r="S93" s="11">
        <f t="shared" si="25"/>
        <v>0</v>
      </c>
      <c r="T93" s="1" t="s">
        <v>419</v>
      </c>
    </row>
    <row r="94" spans="2:20">
      <c r="B94" s="6" t="s">
        <v>192</v>
      </c>
      <c r="C94" s="1" t="s">
        <v>191</v>
      </c>
      <c r="D94" s="10" t="s">
        <v>167</v>
      </c>
      <c r="E94" s="6">
        <v>76.25</v>
      </c>
      <c r="N94" s="1">
        <v>77.510000000000005</v>
      </c>
      <c r="O94" s="6">
        <v>76.25</v>
      </c>
      <c r="P94" s="11">
        <v>-1.625596697200371E-2</v>
      </c>
      <c r="Q94" s="11">
        <f t="shared" si="24"/>
        <v>0</v>
      </c>
      <c r="R94" s="11">
        <f t="shared" si="20"/>
        <v>0</v>
      </c>
      <c r="S94" s="11">
        <f t="shared" si="25"/>
        <v>0</v>
      </c>
      <c r="T94" s="1" t="s">
        <v>420</v>
      </c>
    </row>
    <row r="95" spans="2:20">
      <c r="B95" s="6" t="s">
        <v>194</v>
      </c>
      <c r="C95" s="1" t="s">
        <v>193</v>
      </c>
      <c r="D95" s="10" t="s">
        <v>167</v>
      </c>
      <c r="E95" s="6">
        <v>2.1</v>
      </c>
      <c r="N95" s="1">
        <v>41.6</v>
      </c>
      <c r="O95" s="6">
        <v>2.1</v>
      </c>
      <c r="P95" s="11">
        <v>-0.94951923076923073</v>
      </c>
      <c r="Q95" s="11">
        <f t="shared" si="24"/>
        <v>0</v>
      </c>
      <c r="R95" s="11">
        <f t="shared" si="20"/>
        <v>0</v>
      </c>
      <c r="S95" s="11">
        <f t="shared" si="25"/>
        <v>0</v>
      </c>
      <c r="T95" s="1" t="s">
        <v>421</v>
      </c>
    </row>
    <row r="96" spans="2:20">
      <c r="B96" s="6" t="s">
        <v>196</v>
      </c>
      <c r="C96" s="1" t="s">
        <v>195</v>
      </c>
      <c r="D96" s="10" t="s">
        <v>167</v>
      </c>
      <c r="E96" s="6">
        <v>233.31</v>
      </c>
      <c r="N96" s="1">
        <v>198.2</v>
      </c>
      <c r="O96" s="6">
        <v>233.31</v>
      </c>
      <c r="P96" s="11">
        <v>0.17714429868819392</v>
      </c>
      <c r="Q96" s="11">
        <f t="shared" si="24"/>
        <v>0</v>
      </c>
      <c r="R96" s="11">
        <f t="shared" ref="R96:R127" si="26">+G96/$G$1</f>
        <v>0</v>
      </c>
      <c r="S96" s="11">
        <f t="shared" si="25"/>
        <v>0</v>
      </c>
      <c r="T96" s="4" t="s">
        <v>422</v>
      </c>
    </row>
    <row r="97" spans="2:20">
      <c r="B97" s="6" t="s">
        <v>198</v>
      </c>
      <c r="C97" s="1" t="s">
        <v>197</v>
      </c>
      <c r="D97" s="10" t="s">
        <v>167</v>
      </c>
      <c r="E97" s="6">
        <v>7.64</v>
      </c>
      <c r="N97" s="1">
        <v>9.84</v>
      </c>
      <c r="O97" s="6">
        <v>7.64</v>
      </c>
      <c r="P97" s="11">
        <v>-0.22357723577235777</v>
      </c>
      <c r="Q97" s="11">
        <f t="shared" si="24"/>
        <v>0</v>
      </c>
      <c r="R97" s="11">
        <f t="shared" si="26"/>
        <v>0</v>
      </c>
      <c r="S97" s="11">
        <f t="shared" si="25"/>
        <v>0</v>
      </c>
      <c r="T97" s="1" t="s">
        <v>423</v>
      </c>
    </row>
    <row r="98" spans="2:20">
      <c r="B98" s="6" t="s">
        <v>200</v>
      </c>
      <c r="C98" s="1" t="s">
        <v>199</v>
      </c>
      <c r="D98" s="10" t="s">
        <v>167</v>
      </c>
      <c r="E98" s="6">
        <v>91.32</v>
      </c>
      <c r="N98" s="1">
        <v>89.38</v>
      </c>
      <c r="O98" s="6">
        <v>91.32</v>
      </c>
      <c r="P98" s="11">
        <v>2.1705079436115549E-2</v>
      </c>
      <c r="Q98" s="11">
        <f t="shared" si="24"/>
        <v>0</v>
      </c>
      <c r="R98" s="11">
        <f t="shared" si="26"/>
        <v>0</v>
      </c>
      <c r="S98" s="11">
        <f t="shared" si="25"/>
        <v>0</v>
      </c>
      <c r="T98" s="1" t="s">
        <v>424</v>
      </c>
    </row>
    <row r="99" spans="2:20">
      <c r="B99" s="6" t="s">
        <v>202</v>
      </c>
      <c r="C99" s="1" t="s">
        <v>201</v>
      </c>
      <c r="D99" s="10" t="s">
        <v>167</v>
      </c>
      <c r="E99" s="6">
        <v>25.47</v>
      </c>
      <c r="N99" s="1">
        <v>22.81</v>
      </c>
      <c r="O99" s="6">
        <v>25.47</v>
      </c>
      <c r="P99" s="11">
        <v>0.1166155195089873</v>
      </c>
      <c r="Q99" s="11">
        <f t="shared" si="24"/>
        <v>0</v>
      </c>
      <c r="R99" s="11">
        <f t="shared" si="26"/>
        <v>0</v>
      </c>
      <c r="S99" s="11">
        <f t="shared" si="25"/>
        <v>0</v>
      </c>
      <c r="T99" s="1" t="s">
        <v>425</v>
      </c>
    </row>
    <row r="100" spans="2:20">
      <c r="B100" s="6" t="s">
        <v>204</v>
      </c>
      <c r="C100" s="1" t="s">
        <v>203</v>
      </c>
      <c r="D100" s="10" t="s">
        <v>167</v>
      </c>
      <c r="E100" s="6">
        <v>0.67</v>
      </c>
      <c r="N100" s="1">
        <v>1.44</v>
      </c>
      <c r="O100" s="6">
        <v>0.67</v>
      </c>
      <c r="P100" s="11">
        <v>-0.5347222222222221</v>
      </c>
      <c r="Q100" s="11">
        <f t="shared" si="24"/>
        <v>0</v>
      </c>
      <c r="R100" s="11">
        <f t="shared" si="26"/>
        <v>0</v>
      </c>
      <c r="S100" s="11">
        <f t="shared" si="25"/>
        <v>0</v>
      </c>
      <c r="T100" s="1" t="s">
        <v>426</v>
      </c>
    </row>
    <row r="101" spans="2:20">
      <c r="B101" s="6" t="s">
        <v>206</v>
      </c>
      <c r="C101" s="1" t="s">
        <v>205</v>
      </c>
      <c r="D101" s="10" t="s">
        <v>167</v>
      </c>
      <c r="E101" s="6">
        <v>5.29</v>
      </c>
      <c r="N101" s="1">
        <v>6.04</v>
      </c>
      <c r="O101" s="6">
        <v>5.29</v>
      </c>
      <c r="P101" s="11">
        <v>-0.1241721854304636</v>
      </c>
      <c r="Q101" s="11">
        <f t="shared" si="24"/>
        <v>0</v>
      </c>
      <c r="R101" s="11">
        <f t="shared" si="26"/>
        <v>0</v>
      </c>
      <c r="S101" s="11">
        <f t="shared" si="25"/>
        <v>0</v>
      </c>
      <c r="T101" s="1" t="s">
        <v>427</v>
      </c>
    </row>
    <row r="102" spans="2:20">
      <c r="B102" s="6" t="s">
        <v>208</v>
      </c>
      <c r="C102" s="1" t="s">
        <v>207</v>
      </c>
      <c r="D102" s="10" t="s">
        <v>167</v>
      </c>
      <c r="E102" s="6">
        <v>68.44</v>
      </c>
      <c r="N102" s="1">
        <v>77.87</v>
      </c>
      <c r="O102" s="6">
        <v>68.44</v>
      </c>
      <c r="P102" s="11">
        <v>-0.1210992680107873</v>
      </c>
      <c r="Q102" s="11">
        <f t="shared" si="24"/>
        <v>0</v>
      </c>
      <c r="R102" s="11">
        <f t="shared" si="26"/>
        <v>0</v>
      </c>
      <c r="S102" s="11">
        <f t="shared" si="25"/>
        <v>0</v>
      </c>
      <c r="T102" s="1" t="s">
        <v>428</v>
      </c>
    </row>
    <row r="103" spans="2:20">
      <c r="B103" s="6" t="s">
        <v>210</v>
      </c>
      <c r="C103" s="1" t="s">
        <v>209</v>
      </c>
      <c r="D103" s="10" t="s">
        <v>167</v>
      </c>
      <c r="E103" s="6">
        <v>2.08</v>
      </c>
      <c r="N103" s="1">
        <v>1.17</v>
      </c>
      <c r="O103" s="6">
        <v>2.08</v>
      </c>
      <c r="P103" s="11">
        <v>0.7777777777777779</v>
      </c>
      <c r="Q103" s="11">
        <f t="shared" si="24"/>
        <v>0</v>
      </c>
      <c r="R103" s="11">
        <f t="shared" si="26"/>
        <v>0</v>
      </c>
      <c r="S103" s="11">
        <f t="shared" si="25"/>
        <v>0</v>
      </c>
      <c r="T103" s="1" t="s">
        <v>429</v>
      </c>
    </row>
    <row r="104" spans="2:20">
      <c r="B104" s="6" t="s">
        <v>212</v>
      </c>
      <c r="C104" s="1" t="s">
        <v>211</v>
      </c>
      <c r="D104" s="10" t="s">
        <v>167</v>
      </c>
      <c r="E104" s="6">
        <v>5.68</v>
      </c>
      <c r="N104" s="1">
        <v>13.9</v>
      </c>
      <c r="O104" s="6">
        <v>5.68</v>
      </c>
      <c r="P104" s="11">
        <v>-0.59136690647482015</v>
      </c>
      <c r="Q104" s="11">
        <f t="shared" si="24"/>
        <v>0</v>
      </c>
      <c r="R104" s="11">
        <f t="shared" si="26"/>
        <v>0</v>
      </c>
      <c r="S104" s="11">
        <f t="shared" si="25"/>
        <v>0</v>
      </c>
      <c r="T104" s="1" t="str">
        <f>LOWER(T103)</f>
        <v xml:space="preserve">produces renewable fuels and chemicals including sustainable aviation fuel (saf) from plant based feedstocks using low carbon tech </v>
      </c>
    </row>
    <row r="105" spans="2:20">
      <c r="B105" s="6" t="s">
        <v>214</v>
      </c>
      <c r="C105" s="1" t="s">
        <v>213</v>
      </c>
      <c r="D105" s="10" t="s">
        <v>167</v>
      </c>
      <c r="E105" s="6">
        <v>122.67</v>
      </c>
      <c r="N105" s="1">
        <v>70.02</v>
      </c>
      <c r="O105" s="6">
        <v>122.67</v>
      </c>
      <c r="P105" s="11">
        <v>0.75192802056555275</v>
      </c>
      <c r="Q105" s="11">
        <f t="shared" si="24"/>
        <v>0</v>
      </c>
      <c r="R105" s="11">
        <f t="shared" si="26"/>
        <v>0</v>
      </c>
      <c r="S105" s="11">
        <f t="shared" si="25"/>
        <v>0</v>
      </c>
      <c r="T105" s="1" t="s">
        <v>430</v>
      </c>
    </row>
    <row r="106" spans="2:20">
      <c r="B106" s="6" t="s">
        <v>216</v>
      </c>
      <c r="C106" s="1" t="s">
        <v>215</v>
      </c>
      <c r="D106" s="10" t="s">
        <v>167</v>
      </c>
      <c r="E106" s="6">
        <v>84.55</v>
      </c>
      <c r="N106" s="1">
        <v>79.55</v>
      </c>
      <c r="O106" s="6">
        <v>84.55</v>
      </c>
      <c r="P106" s="11">
        <v>6.2853551225644289E-2</v>
      </c>
      <c r="Q106" s="11">
        <f t="shared" si="24"/>
        <v>0</v>
      </c>
      <c r="R106" s="11">
        <f t="shared" si="26"/>
        <v>0</v>
      </c>
      <c r="S106" s="11">
        <f t="shared" si="25"/>
        <v>0</v>
      </c>
      <c r="T106" s="1" t="s">
        <v>431</v>
      </c>
    </row>
    <row r="107" spans="2:20">
      <c r="B107" s="6" t="s">
        <v>218</v>
      </c>
      <c r="C107" s="1" t="s">
        <v>217</v>
      </c>
      <c r="D107" s="10" t="s">
        <v>167</v>
      </c>
      <c r="E107" s="6">
        <v>110.06</v>
      </c>
      <c r="N107" s="1">
        <v>122.17</v>
      </c>
      <c r="O107" s="6">
        <v>110.06</v>
      </c>
      <c r="P107" s="11">
        <v>-9.9124171236801173E-2</v>
      </c>
      <c r="Q107" s="11">
        <f t="shared" si="24"/>
        <v>0</v>
      </c>
      <c r="R107" s="11">
        <f t="shared" si="26"/>
        <v>0</v>
      </c>
      <c r="S107" s="11">
        <f t="shared" si="25"/>
        <v>0</v>
      </c>
      <c r="T107" s="1" t="s">
        <v>432</v>
      </c>
    </row>
    <row r="108" spans="2:20">
      <c r="B108" s="6" t="s">
        <v>220</v>
      </c>
      <c r="C108" s="1" t="s">
        <v>219</v>
      </c>
      <c r="D108" s="10" t="s">
        <v>167</v>
      </c>
      <c r="E108" s="6">
        <v>32.4</v>
      </c>
      <c r="N108" s="1">
        <v>50.47</v>
      </c>
      <c r="O108" s="6">
        <v>32.4</v>
      </c>
      <c r="P108" s="11">
        <v>-0.35803447592629289</v>
      </c>
      <c r="Q108" s="11">
        <f t="shared" si="24"/>
        <v>0</v>
      </c>
      <c r="R108" s="11">
        <f t="shared" si="26"/>
        <v>0</v>
      </c>
      <c r="S108" s="11">
        <f t="shared" si="25"/>
        <v>0</v>
      </c>
      <c r="T108" s="1" t="s">
        <v>433</v>
      </c>
    </row>
    <row r="109" spans="2:20">
      <c r="B109" s="6" t="s">
        <v>222</v>
      </c>
      <c r="C109" s="1" t="s">
        <v>221</v>
      </c>
      <c r="D109" s="10" t="s">
        <v>167</v>
      </c>
      <c r="E109" s="6">
        <v>9.75</v>
      </c>
      <c r="N109" s="1">
        <v>9.7899999999999991</v>
      </c>
      <c r="O109" s="6">
        <v>9.75</v>
      </c>
      <c r="P109" s="11">
        <v>-4.0858018386107364E-3</v>
      </c>
      <c r="Q109" s="11">
        <f t="shared" si="24"/>
        <v>0</v>
      </c>
      <c r="R109" s="11">
        <f t="shared" si="26"/>
        <v>0</v>
      </c>
      <c r="S109" s="11">
        <f t="shared" si="25"/>
        <v>0</v>
      </c>
      <c r="T109" s="1" t="s">
        <v>434</v>
      </c>
    </row>
    <row r="110" spans="2:20">
      <c r="B110" s="6" t="s">
        <v>224</v>
      </c>
      <c r="C110" s="1" t="s">
        <v>223</v>
      </c>
      <c r="D110" s="10" t="s">
        <v>167</v>
      </c>
      <c r="E110" s="6">
        <v>139.66999999999999</v>
      </c>
      <c r="N110" s="1">
        <v>212.03</v>
      </c>
      <c r="O110" s="6">
        <v>139.66999999999999</v>
      </c>
      <c r="P110" s="11">
        <v>-0.34127246144413537</v>
      </c>
      <c r="Q110" s="11">
        <f t="shared" si="24"/>
        <v>0</v>
      </c>
      <c r="R110" s="11">
        <f t="shared" si="26"/>
        <v>0</v>
      </c>
      <c r="S110" s="11">
        <f t="shared" si="25"/>
        <v>0</v>
      </c>
      <c r="T110" s="1" t="s">
        <v>435</v>
      </c>
    </row>
    <row r="111" spans="2:20">
      <c r="B111" s="6" t="s">
        <v>226</v>
      </c>
      <c r="C111" s="1" t="s">
        <v>225</v>
      </c>
      <c r="D111" s="10" t="s">
        <v>167</v>
      </c>
      <c r="E111" s="6">
        <v>2.15</v>
      </c>
      <c r="N111" s="1">
        <v>4.5999999999999996</v>
      </c>
      <c r="O111" s="6">
        <v>2.15</v>
      </c>
      <c r="P111" s="11">
        <v>-0.53260869565217384</v>
      </c>
      <c r="Q111" s="11">
        <f t="shared" si="24"/>
        <v>0</v>
      </c>
      <c r="R111" s="11">
        <f t="shared" si="26"/>
        <v>0</v>
      </c>
      <c r="S111" s="11">
        <f t="shared" si="25"/>
        <v>0</v>
      </c>
      <c r="T111" s="1" t="s">
        <v>436</v>
      </c>
    </row>
    <row r="112" spans="2:20">
      <c r="B112" s="6" t="s">
        <v>228</v>
      </c>
      <c r="C112" s="1" t="s">
        <v>227</v>
      </c>
      <c r="D112" s="10" t="s">
        <v>167</v>
      </c>
      <c r="E112" s="6">
        <v>10.9</v>
      </c>
      <c r="N112" s="6">
        <v>15.87</v>
      </c>
      <c r="O112" s="6">
        <v>10.9</v>
      </c>
      <c r="P112" s="11">
        <v>-0.31316950220541895</v>
      </c>
      <c r="Q112" s="11">
        <f t="shared" si="24"/>
        <v>0</v>
      </c>
      <c r="R112" s="11">
        <f t="shared" si="26"/>
        <v>0</v>
      </c>
      <c r="S112" s="11">
        <f t="shared" si="25"/>
        <v>0</v>
      </c>
      <c r="T112" s="1" t="s">
        <v>437</v>
      </c>
    </row>
    <row r="113" spans="2:20">
      <c r="B113" s="6" t="s">
        <v>230</v>
      </c>
      <c r="C113" s="1" t="s">
        <v>229</v>
      </c>
      <c r="D113" s="10" t="s">
        <v>167</v>
      </c>
      <c r="E113" s="6">
        <v>76.209999999999994</v>
      </c>
      <c r="N113" s="1">
        <v>70.25</v>
      </c>
      <c r="O113" s="6">
        <v>76.209999999999994</v>
      </c>
      <c r="P113" s="11">
        <v>8.4839857651245465E-2</v>
      </c>
      <c r="Q113" s="11">
        <f t="shared" si="24"/>
        <v>0</v>
      </c>
      <c r="R113" s="11">
        <f t="shared" si="26"/>
        <v>0</v>
      </c>
      <c r="S113" s="11">
        <f t="shared" si="25"/>
        <v>0</v>
      </c>
      <c r="T113" s="1" t="s">
        <v>438</v>
      </c>
    </row>
    <row r="114" spans="2:20">
      <c r="B114" s="6" t="s">
        <v>232</v>
      </c>
      <c r="C114" s="1" t="s">
        <v>231</v>
      </c>
      <c r="D114" s="10" t="s">
        <v>167</v>
      </c>
      <c r="E114" s="6">
        <v>528.35</v>
      </c>
      <c r="N114" s="1">
        <v>546.79</v>
      </c>
      <c r="O114" s="6">
        <v>528.35</v>
      </c>
      <c r="P114" s="11">
        <v>-3.3724098831361071E-2</v>
      </c>
      <c r="Q114" s="11">
        <f t="shared" si="24"/>
        <v>0</v>
      </c>
      <c r="R114" s="11">
        <f t="shared" si="26"/>
        <v>0</v>
      </c>
      <c r="S114" s="11">
        <f t="shared" si="25"/>
        <v>0</v>
      </c>
      <c r="T114" s="1" t="s">
        <v>439</v>
      </c>
    </row>
    <row r="115" spans="2:20">
      <c r="B115" s="6" t="s">
        <v>234</v>
      </c>
      <c r="C115" s="1" t="s">
        <v>233</v>
      </c>
      <c r="D115" s="10" t="s">
        <v>167</v>
      </c>
      <c r="E115" s="6">
        <v>40.75</v>
      </c>
      <c r="N115" s="1">
        <v>44.08</v>
      </c>
      <c r="O115" s="6">
        <v>40.75</v>
      </c>
      <c r="P115" s="11">
        <v>-7.5544464609800355E-2</v>
      </c>
      <c r="Q115" s="11">
        <f t="shared" si="24"/>
        <v>0</v>
      </c>
      <c r="R115" s="11">
        <f t="shared" si="26"/>
        <v>0</v>
      </c>
      <c r="S115" s="11">
        <f t="shared" si="25"/>
        <v>0</v>
      </c>
      <c r="T115" s="1" t="s">
        <v>440</v>
      </c>
    </row>
    <row r="116" spans="2:20">
      <c r="B116" s="6" t="s">
        <v>236</v>
      </c>
      <c r="C116" s="1" t="s">
        <v>235</v>
      </c>
      <c r="D116" s="10" t="s">
        <v>167</v>
      </c>
      <c r="E116" s="6">
        <v>13.49</v>
      </c>
      <c r="N116" s="1">
        <v>11.6</v>
      </c>
      <c r="O116" s="6">
        <v>13.49</v>
      </c>
      <c r="P116" s="11">
        <v>0.16293103448275859</v>
      </c>
      <c r="Q116" s="11">
        <f t="shared" si="24"/>
        <v>0</v>
      </c>
      <c r="R116" s="11">
        <f t="shared" si="26"/>
        <v>0</v>
      </c>
      <c r="S116" s="11">
        <f t="shared" si="25"/>
        <v>0</v>
      </c>
      <c r="T116" s="1" t="s">
        <v>441</v>
      </c>
    </row>
    <row r="117" spans="2:20">
      <c r="B117" s="6" t="s">
        <v>238</v>
      </c>
      <c r="C117" s="1" t="s">
        <v>237</v>
      </c>
      <c r="D117" s="10" t="s">
        <v>167</v>
      </c>
      <c r="E117" s="6">
        <v>87.63</v>
      </c>
      <c r="N117" s="1">
        <v>68.97</v>
      </c>
      <c r="O117" s="6">
        <v>87.63</v>
      </c>
      <c r="P117" s="11">
        <v>0.27055241409308395</v>
      </c>
      <c r="Q117" s="11">
        <f t="shared" si="24"/>
        <v>0</v>
      </c>
      <c r="R117" s="11">
        <f t="shared" si="26"/>
        <v>0</v>
      </c>
      <c r="S117" s="11">
        <f t="shared" si="25"/>
        <v>0</v>
      </c>
      <c r="T117" s="1" t="s">
        <v>442</v>
      </c>
    </row>
    <row r="118" spans="2:20">
      <c r="B118" s="6" t="s">
        <v>240</v>
      </c>
      <c r="C118" s="1" t="s">
        <v>239</v>
      </c>
      <c r="D118" s="10" t="s">
        <v>167</v>
      </c>
      <c r="E118" s="6">
        <v>119.45</v>
      </c>
      <c r="N118" s="1">
        <v>147.28</v>
      </c>
      <c r="O118" s="6">
        <v>119.45</v>
      </c>
      <c r="P118" s="11">
        <v>-0.18895980445410099</v>
      </c>
      <c r="Q118" s="11">
        <f t="shared" si="24"/>
        <v>0</v>
      </c>
      <c r="R118" s="11">
        <f t="shared" si="26"/>
        <v>0</v>
      </c>
      <c r="S118" s="11">
        <f t="shared" si="25"/>
        <v>0</v>
      </c>
      <c r="T118" s="1" t="s">
        <v>443</v>
      </c>
    </row>
    <row r="119" spans="2:20">
      <c r="B119" s="6" t="s">
        <v>242</v>
      </c>
      <c r="C119" s="1" t="s">
        <v>241</v>
      </c>
      <c r="D119" s="10" t="s">
        <v>167</v>
      </c>
      <c r="E119" s="6">
        <v>123.06</v>
      </c>
      <c r="N119" s="1">
        <v>109.74</v>
      </c>
      <c r="O119" s="6">
        <v>123.06</v>
      </c>
      <c r="P119" s="11">
        <v>0.12137780207763815</v>
      </c>
      <c r="Q119" s="11">
        <f t="shared" si="24"/>
        <v>0</v>
      </c>
      <c r="R119" s="11">
        <f t="shared" si="26"/>
        <v>0</v>
      </c>
      <c r="S119" s="11">
        <f t="shared" si="25"/>
        <v>0</v>
      </c>
      <c r="T119" s="1" t="s">
        <v>444</v>
      </c>
    </row>
    <row r="120" spans="2:20">
      <c r="B120" s="6" t="s">
        <v>244</v>
      </c>
      <c r="C120" s="1" t="s">
        <v>243</v>
      </c>
      <c r="D120" s="10" t="s">
        <v>167</v>
      </c>
      <c r="E120" s="6">
        <v>64.7</v>
      </c>
      <c r="N120" s="1">
        <v>93.44</v>
      </c>
      <c r="O120" s="6">
        <v>64.7</v>
      </c>
      <c r="P120" s="11">
        <v>-0.30757705479452047</v>
      </c>
      <c r="Q120" s="11">
        <f t="shared" si="24"/>
        <v>0</v>
      </c>
      <c r="R120" s="11">
        <f t="shared" si="26"/>
        <v>0</v>
      </c>
      <c r="S120" s="11">
        <f t="shared" si="25"/>
        <v>0</v>
      </c>
      <c r="T120" s="1" t="s">
        <v>445</v>
      </c>
    </row>
    <row r="121" spans="2:20">
      <c r="B121" s="6" t="s">
        <v>246</v>
      </c>
      <c r="C121" s="1" t="s">
        <v>245</v>
      </c>
      <c r="D121" s="10" t="s">
        <v>167</v>
      </c>
      <c r="E121" s="6">
        <v>339.93</v>
      </c>
      <c r="N121" s="1">
        <v>302.51</v>
      </c>
      <c r="O121" s="6">
        <v>339.93</v>
      </c>
      <c r="P121" s="11">
        <v>0.12369839013586326</v>
      </c>
      <c r="Q121" s="11">
        <f t="shared" si="24"/>
        <v>0</v>
      </c>
      <c r="R121" s="11">
        <f t="shared" si="26"/>
        <v>0</v>
      </c>
      <c r="S121" s="11">
        <f t="shared" si="25"/>
        <v>0</v>
      </c>
      <c r="T121" s="1" t="s">
        <v>446</v>
      </c>
    </row>
    <row r="122" spans="2:20">
      <c r="B122" s="6" t="s">
        <v>248</v>
      </c>
      <c r="C122" s="1" t="s">
        <v>247</v>
      </c>
      <c r="D122" s="10" t="s">
        <v>167</v>
      </c>
      <c r="E122" s="6">
        <v>3.12</v>
      </c>
      <c r="N122" s="1">
        <v>16</v>
      </c>
      <c r="O122" s="6">
        <v>3.12</v>
      </c>
      <c r="P122" s="11">
        <v>-0.80499999999999994</v>
      </c>
      <c r="Q122" s="11">
        <f t="shared" si="24"/>
        <v>0</v>
      </c>
      <c r="R122" s="11">
        <f t="shared" si="26"/>
        <v>0</v>
      </c>
      <c r="S122" s="11">
        <f t="shared" si="25"/>
        <v>0</v>
      </c>
      <c r="T122" s="4" t="s">
        <v>447</v>
      </c>
    </row>
    <row r="123" spans="2:20">
      <c r="B123" s="6" t="s">
        <v>250</v>
      </c>
      <c r="C123" s="1" t="s">
        <v>249</v>
      </c>
      <c r="D123" s="10" t="s">
        <v>167</v>
      </c>
      <c r="E123" s="6">
        <v>71.260000000000005</v>
      </c>
      <c r="N123" s="1">
        <v>65.84</v>
      </c>
      <c r="O123" s="6">
        <v>71.260000000000005</v>
      </c>
      <c r="P123" s="11">
        <v>8.2320777642770349E-2</v>
      </c>
      <c r="Q123" s="11">
        <f t="shared" si="24"/>
        <v>0</v>
      </c>
      <c r="R123" s="11">
        <f t="shared" si="26"/>
        <v>0</v>
      </c>
      <c r="S123" s="11">
        <f t="shared" si="25"/>
        <v>0</v>
      </c>
      <c r="T123" s="1" t="s">
        <v>448</v>
      </c>
    </row>
    <row r="124" spans="2:20">
      <c r="B124" s="6" t="s">
        <v>252</v>
      </c>
      <c r="C124" s="1" t="s">
        <v>251</v>
      </c>
      <c r="D124" s="10" t="s">
        <v>167</v>
      </c>
      <c r="E124" s="6">
        <v>5.0999999999999996</v>
      </c>
      <c r="N124" s="1">
        <v>8.42</v>
      </c>
      <c r="O124" s="6">
        <v>5.0999999999999996</v>
      </c>
      <c r="P124" s="11">
        <v>-0.39429928741092646</v>
      </c>
      <c r="Q124" s="11">
        <f t="shared" si="24"/>
        <v>0</v>
      </c>
      <c r="R124" s="11">
        <f t="shared" si="26"/>
        <v>0</v>
      </c>
      <c r="S124" s="11">
        <f t="shared" si="25"/>
        <v>0</v>
      </c>
      <c r="T124" s="1" t="s">
        <v>449</v>
      </c>
    </row>
    <row r="125" spans="2:20">
      <c r="B125" s="6" t="s">
        <v>254</v>
      </c>
      <c r="C125" s="1" t="s">
        <v>253</v>
      </c>
      <c r="D125" s="10" t="s">
        <v>167</v>
      </c>
      <c r="E125" s="6">
        <v>242.68</v>
      </c>
      <c r="N125" s="1">
        <v>241.39</v>
      </c>
      <c r="O125" s="6">
        <v>242.68</v>
      </c>
      <c r="P125" s="11">
        <v>5.3440490492564496E-3</v>
      </c>
      <c r="Q125" s="11">
        <f t="shared" si="24"/>
        <v>0</v>
      </c>
      <c r="R125" s="11">
        <f t="shared" si="26"/>
        <v>0</v>
      </c>
      <c r="S125" s="11">
        <f t="shared" si="25"/>
        <v>0</v>
      </c>
      <c r="T125" s="1" t="s">
        <v>450</v>
      </c>
    </row>
    <row r="126" spans="2:20">
      <c r="B126" s="6" t="s">
        <v>256</v>
      </c>
      <c r="C126" s="1" t="s">
        <v>255</v>
      </c>
      <c r="D126" s="10" t="s">
        <v>167</v>
      </c>
      <c r="E126" s="6">
        <v>114.65</v>
      </c>
      <c r="N126" s="1">
        <v>140.75</v>
      </c>
      <c r="O126" s="6">
        <v>114.65</v>
      </c>
      <c r="P126" s="11">
        <v>-0.18543516873889876</v>
      </c>
      <c r="Q126" s="11">
        <f t="shared" si="24"/>
        <v>0</v>
      </c>
      <c r="R126" s="11">
        <f t="shared" si="26"/>
        <v>0</v>
      </c>
      <c r="S126" s="11">
        <f t="shared" si="25"/>
        <v>0</v>
      </c>
      <c r="T126" s="1" t="s">
        <v>451</v>
      </c>
    </row>
    <row r="127" spans="2:20">
      <c r="B127" s="6" t="s">
        <v>259</v>
      </c>
      <c r="C127" s="1" t="s">
        <v>258</v>
      </c>
      <c r="D127" s="10" t="s">
        <v>257</v>
      </c>
      <c r="E127" s="6">
        <v>11.18</v>
      </c>
      <c r="N127" s="1">
        <v>9.8000000000000007</v>
      </c>
      <c r="O127" s="6">
        <v>11.18</v>
      </c>
      <c r="P127" s="11">
        <v>0.14081632653061216</v>
      </c>
      <c r="Q127" s="11">
        <f t="shared" ref="Q127:Q141" si="27">+E127/O127-1</f>
        <v>0</v>
      </c>
      <c r="R127" s="11">
        <f t="shared" si="26"/>
        <v>0</v>
      </c>
      <c r="S127" s="11">
        <f t="shared" ref="S127:S141" si="28">+P127*R127</f>
        <v>0</v>
      </c>
      <c r="T127" s="1" t="s">
        <v>452</v>
      </c>
    </row>
    <row r="128" spans="2:20">
      <c r="B128" s="6" t="s">
        <v>261</v>
      </c>
      <c r="C128" s="1" t="s">
        <v>260</v>
      </c>
      <c r="D128" s="10" t="s">
        <v>257</v>
      </c>
      <c r="E128" s="6">
        <v>9.4499999999999993</v>
      </c>
      <c r="N128" s="1">
        <v>19.77</v>
      </c>
      <c r="O128" s="6">
        <v>9.4499999999999993</v>
      </c>
      <c r="P128" s="11">
        <v>-0.52200303490136579</v>
      </c>
      <c r="Q128" s="11">
        <f t="shared" si="27"/>
        <v>0</v>
      </c>
      <c r="R128" s="11">
        <f t="shared" ref="R128:R141" si="29">+G128/$G$1</f>
        <v>0</v>
      </c>
      <c r="S128" s="11">
        <f t="shared" si="28"/>
        <v>0</v>
      </c>
      <c r="T128" s="1" t="s">
        <v>453</v>
      </c>
    </row>
    <row r="129" spans="2:20">
      <c r="B129" s="6" t="s">
        <v>263</v>
      </c>
      <c r="C129" s="1" t="s">
        <v>262</v>
      </c>
      <c r="D129" s="10" t="s">
        <v>257</v>
      </c>
      <c r="E129" s="6">
        <v>49.6</v>
      </c>
      <c r="N129" s="1">
        <v>50.18</v>
      </c>
      <c r="O129" s="6">
        <v>49.6</v>
      </c>
      <c r="P129" s="11">
        <v>-1.1558389796731738E-2</v>
      </c>
      <c r="Q129" s="11">
        <f t="shared" si="27"/>
        <v>0</v>
      </c>
      <c r="R129" s="11">
        <f t="shared" si="29"/>
        <v>0</v>
      </c>
      <c r="S129" s="11">
        <f t="shared" si="28"/>
        <v>0</v>
      </c>
      <c r="T129" s="1" t="s">
        <v>454</v>
      </c>
    </row>
    <row r="130" spans="2:20">
      <c r="B130" s="6" t="s">
        <v>265</v>
      </c>
      <c r="C130" s="1" t="s">
        <v>264</v>
      </c>
      <c r="D130" s="10" t="s">
        <v>257</v>
      </c>
      <c r="E130" s="6">
        <v>15.29</v>
      </c>
      <c r="N130" s="1">
        <v>15.45</v>
      </c>
      <c r="O130" s="6">
        <v>15.29</v>
      </c>
      <c r="P130" s="11">
        <v>-1.0355987055016169E-2</v>
      </c>
      <c r="Q130" s="11">
        <f t="shared" si="27"/>
        <v>0</v>
      </c>
      <c r="R130" s="11">
        <f t="shared" si="29"/>
        <v>0</v>
      </c>
      <c r="S130" s="11">
        <f t="shared" si="28"/>
        <v>0</v>
      </c>
      <c r="T130" s="1" t="s">
        <v>455</v>
      </c>
    </row>
    <row r="131" spans="2:20">
      <c r="B131" s="6" t="s">
        <v>267</v>
      </c>
      <c r="C131" s="1" t="s">
        <v>266</v>
      </c>
      <c r="D131" s="10" t="s">
        <v>257</v>
      </c>
      <c r="E131" s="6">
        <v>4.7</v>
      </c>
      <c r="N131" s="1">
        <v>13.9</v>
      </c>
      <c r="O131" s="6">
        <v>4.7</v>
      </c>
      <c r="P131" s="11">
        <v>-0.66187050359712229</v>
      </c>
      <c r="Q131" s="11">
        <f t="shared" si="27"/>
        <v>0</v>
      </c>
      <c r="R131" s="11">
        <f t="shared" si="29"/>
        <v>0</v>
      </c>
      <c r="S131" s="11">
        <f t="shared" si="28"/>
        <v>0</v>
      </c>
      <c r="T131" s="1" t="s">
        <v>456</v>
      </c>
    </row>
    <row r="132" spans="2:20">
      <c r="B132" s="6" t="s">
        <v>269</v>
      </c>
      <c r="C132" s="1" t="s">
        <v>268</v>
      </c>
      <c r="D132" s="10" t="s">
        <v>257</v>
      </c>
      <c r="E132" s="6">
        <v>28.06</v>
      </c>
      <c r="N132" s="1">
        <v>19.89</v>
      </c>
      <c r="O132" s="6">
        <v>28.06</v>
      </c>
      <c r="P132" s="11">
        <v>0.41075917546505769</v>
      </c>
      <c r="Q132" s="11">
        <f t="shared" si="27"/>
        <v>0</v>
      </c>
      <c r="R132" s="11">
        <f t="shared" si="29"/>
        <v>0</v>
      </c>
      <c r="S132" s="11">
        <f t="shared" si="28"/>
        <v>0</v>
      </c>
      <c r="T132" s="1" t="s">
        <v>457</v>
      </c>
    </row>
    <row r="133" spans="2:20">
      <c r="B133" s="6" t="s">
        <v>271</v>
      </c>
      <c r="C133" s="1" t="s">
        <v>270</v>
      </c>
      <c r="D133" s="10" t="s">
        <v>257</v>
      </c>
      <c r="E133" s="6">
        <v>14.13</v>
      </c>
      <c r="N133" s="1">
        <v>23.07</v>
      </c>
      <c r="O133" s="6">
        <v>14.13</v>
      </c>
      <c r="P133" s="11">
        <v>-0.38751625487646291</v>
      </c>
      <c r="Q133" s="11">
        <f t="shared" si="27"/>
        <v>0</v>
      </c>
      <c r="R133" s="11">
        <f t="shared" si="29"/>
        <v>0</v>
      </c>
      <c r="S133" s="11">
        <f t="shared" si="28"/>
        <v>0</v>
      </c>
      <c r="T133" s="1" t="s">
        <v>458</v>
      </c>
    </row>
    <row r="134" spans="2:20">
      <c r="B134" s="6" t="s">
        <v>273</v>
      </c>
      <c r="C134" s="1" t="s">
        <v>272</v>
      </c>
      <c r="D134" s="10" t="s">
        <v>257</v>
      </c>
      <c r="E134" s="6">
        <v>117.65</v>
      </c>
      <c r="N134" s="1">
        <v>175.43</v>
      </c>
      <c r="O134" s="6">
        <v>117.65</v>
      </c>
      <c r="P134" s="11">
        <v>-0.32936213874479847</v>
      </c>
      <c r="Q134" s="11">
        <f t="shared" si="27"/>
        <v>0</v>
      </c>
      <c r="R134" s="11">
        <f t="shared" si="29"/>
        <v>0</v>
      </c>
      <c r="S134" s="11">
        <f t="shared" si="28"/>
        <v>0</v>
      </c>
      <c r="T134" s="1" t="s">
        <v>459</v>
      </c>
    </row>
    <row r="135" spans="2:20">
      <c r="B135" s="6" t="s">
        <v>275</v>
      </c>
      <c r="C135" s="1" t="s">
        <v>274</v>
      </c>
      <c r="D135" s="10" t="s">
        <v>257</v>
      </c>
      <c r="E135" s="6">
        <v>15.22</v>
      </c>
      <c r="N135" s="1">
        <v>30.37</v>
      </c>
      <c r="O135" s="6">
        <v>15.22</v>
      </c>
      <c r="P135" s="11">
        <v>-0.49884754692130395</v>
      </c>
      <c r="Q135" s="11">
        <f t="shared" si="27"/>
        <v>0</v>
      </c>
      <c r="R135" s="11">
        <f t="shared" si="29"/>
        <v>0</v>
      </c>
      <c r="S135" s="11">
        <f t="shared" si="28"/>
        <v>0</v>
      </c>
      <c r="T135" s="1" t="s">
        <v>460</v>
      </c>
    </row>
    <row r="136" spans="2:20">
      <c r="B136" s="6" t="s">
        <v>277</v>
      </c>
      <c r="C136" s="1" t="s">
        <v>276</v>
      </c>
      <c r="D136" s="10" t="s">
        <v>257</v>
      </c>
      <c r="E136" s="6">
        <v>270.35000000000002</v>
      </c>
      <c r="N136" s="1">
        <v>281.43</v>
      </c>
      <c r="O136" s="6">
        <v>270.35000000000002</v>
      </c>
      <c r="P136" s="11">
        <v>-3.9370358526098825E-2</v>
      </c>
      <c r="Q136" s="11">
        <f t="shared" si="27"/>
        <v>0</v>
      </c>
      <c r="R136" s="11">
        <f t="shared" si="29"/>
        <v>0</v>
      </c>
      <c r="S136" s="11">
        <f t="shared" si="28"/>
        <v>0</v>
      </c>
      <c r="T136" s="1" t="s">
        <v>461</v>
      </c>
    </row>
    <row r="137" spans="2:20">
      <c r="B137" s="6" t="s">
        <v>279</v>
      </c>
      <c r="C137" s="1" t="s">
        <v>278</v>
      </c>
      <c r="D137" s="10" t="s">
        <v>257</v>
      </c>
      <c r="E137" s="6">
        <v>114.07</v>
      </c>
      <c r="N137" s="1">
        <v>118.91</v>
      </c>
      <c r="O137" s="6">
        <v>114.07</v>
      </c>
      <c r="P137" s="11">
        <v>-4.0703052728954692E-2</v>
      </c>
      <c r="Q137" s="11">
        <f t="shared" si="27"/>
        <v>0</v>
      </c>
      <c r="R137" s="11">
        <f t="shared" si="29"/>
        <v>0</v>
      </c>
      <c r="S137" s="11">
        <f t="shared" si="28"/>
        <v>0</v>
      </c>
      <c r="T137" s="1" t="s">
        <v>462</v>
      </c>
    </row>
    <row r="138" spans="2:20">
      <c r="B138" s="6" t="s">
        <v>281</v>
      </c>
      <c r="C138" s="1" t="s">
        <v>280</v>
      </c>
      <c r="D138" s="10" t="s">
        <v>257</v>
      </c>
      <c r="E138" s="6">
        <v>43.86</v>
      </c>
      <c r="N138" s="1">
        <v>19.25</v>
      </c>
      <c r="O138" s="6">
        <v>43.86</v>
      </c>
      <c r="P138" s="11">
        <v>1.2784415584415583</v>
      </c>
      <c r="Q138" s="11">
        <f t="shared" si="27"/>
        <v>0</v>
      </c>
      <c r="R138" s="11">
        <f t="shared" si="29"/>
        <v>0</v>
      </c>
      <c r="S138" s="11">
        <f t="shared" si="28"/>
        <v>0</v>
      </c>
      <c r="T138" s="1" t="s">
        <v>463</v>
      </c>
    </row>
    <row r="139" spans="2:20">
      <c r="B139" s="6" t="s">
        <v>283</v>
      </c>
      <c r="C139" s="1" t="s">
        <v>282</v>
      </c>
      <c r="D139" s="10" t="s">
        <v>257</v>
      </c>
      <c r="E139" s="6">
        <v>31.82</v>
      </c>
      <c r="N139" s="1">
        <v>27.44</v>
      </c>
      <c r="O139" s="6">
        <v>31.82</v>
      </c>
      <c r="P139" s="11">
        <v>0.15962099125364437</v>
      </c>
      <c r="Q139" s="11">
        <f t="shared" si="27"/>
        <v>0</v>
      </c>
      <c r="R139" s="11">
        <f t="shared" si="29"/>
        <v>0</v>
      </c>
      <c r="S139" s="11">
        <f t="shared" si="28"/>
        <v>0</v>
      </c>
      <c r="T139" s="1" t="s">
        <v>464</v>
      </c>
    </row>
    <row r="140" spans="2:20">
      <c r="B140" s="6" t="s">
        <v>285</v>
      </c>
      <c r="C140" s="1" t="s">
        <v>284</v>
      </c>
      <c r="D140" s="10" t="s">
        <v>257</v>
      </c>
      <c r="E140" s="6">
        <v>32.6</v>
      </c>
      <c r="N140" s="1">
        <v>26.89</v>
      </c>
      <c r="O140" s="6">
        <v>31</v>
      </c>
      <c r="P140" s="11">
        <v>0.1528449237634808</v>
      </c>
      <c r="Q140" s="11">
        <f t="shared" si="27"/>
        <v>5.1612903225806583E-2</v>
      </c>
      <c r="R140" s="11">
        <f t="shared" si="29"/>
        <v>0</v>
      </c>
      <c r="S140" s="11">
        <f t="shared" si="28"/>
        <v>0</v>
      </c>
      <c r="T140" s="1" t="s">
        <v>465</v>
      </c>
    </row>
    <row r="141" spans="2:20">
      <c r="B141" s="6" t="s">
        <v>287</v>
      </c>
      <c r="C141" s="1" t="s">
        <v>286</v>
      </c>
      <c r="D141" s="10" t="s">
        <v>257</v>
      </c>
      <c r="E141" s="6">
        <v>32.81</v>
      </c>
      <c r="N141" s="1">
        <v>67.22</v>
      </c>
      <c r="O141" s="6">
        <v>32.81</v>
      </c>
      <c r="P141" s="11">
        <v>-0.51190121987503723</v>
      </c>
      <c r="Q141" s="11">
        <f t="shared" si="27"/>
        <v>0</v>
      </c>
      <c r="R141" s="11">
        <f t="shared" si="29"/>
        <v>0</v>
      </c>
      <c r="S141" s="11">
        <f t="shared" si="28"/>
        <v>0</v>
      </c>
      <c r="T141" s="1" t="s">
        <v>466</v>
      </c>
    </row>
  </sheetData>
  <conditionalFormatting sqref="AI1:AI2">
    <cfRule type="cellIs" dxfId="1" priority="109" operator="greaterThan">
      <formula>0</formula>
    </cfRule>
    <cfRule type="cellIs" dxfId="0" priority="111" operator="lessThan">
      <formula>0</formula>
    </cfRule>
  </conditionalFormatting>
  <hyperlinks>
    <hyperlink ref="B59" r:id="rId1" xr:uid="{4F267086-A813-BC48-B908-088E35AA903C}"/>
    <hyperlink ref="B58" r:id="rId2" xr:uid="{6104CDA2-EB80-864C-967E-D226DD1B4378}"/>
    <hyperlink ref="B60" r:id="rId3" xr:uid="{260069CC-0231-CF45-A5E9-AD622BC84DA0}"/>
    <hyperlink ref="B57" r:id="rId4" xr:uid="{24A01F29-9215-C848-B148-40B58CD4FC97}"/>
    <hyperlink ref="B56" r:id="rId5" xr:uid="{98399587-D4C7-034A-88CC-1B722429C707}"/>
    <hyperlink ref="B55" r:id="rId6" xr:uid="{4071D132-119F-B544-A95E-3F8DDFDAEF74}"/>
    <hyperlink ref="B47" r:id="rId7" xr:uid="{4D2A09AB-3C91-E045-A587-8230294F1F88}"/>
    <hyperlink ref="B48" r:id="rId8" xr:uid="{D65BA0F8-2CC0-1247-A36C-F0E501392028}"/>
    <hyperlink ref="B49" r:id="rId9" xr:uid="{E25710B3-D93A-4B4E-AF2C-3E46571B1214}"/>
    <hyperlink ref="B50" r:id="rId10" xr:uid="{4BD8F79C-75E2-6D41-9B53-DF1A32E264D6}"/>
    <hyperlink ref="B51" r:id="rId11" xr:uid="{F18728ED-8B23-3C4B-900A-068E8C2DEA03}"/>
    <hyperlink ref="B53" r:id="rId12" xr:uid="{5DABB385-BC80-1D42-B8D4-76706B67AAEC}"/>
    <hyperlink ref="B54" r:id="rId13" xr:uid="{227DBAF6-88DE-8142-B3A3-F40B8A3E03BE}"/>
    <hyperlink ref="B44" r:id="rId14" xr:uid="{316B49A6-7128-FD46-A671-3EEDBD6F9ACB}"/>
    <hyperlink ref="B45" r:id="rId15" xr:uid="{BD3382FC-6B04-574D-8807-880BCFBEC86E}"/>
    <hyperlink ref="B46" r:id="rId16" xr:uid="{09D020E4-FFDD-FE45-82F0-71E8C79EDDCC}"/>
    <hyperlink ref="B38" r:id="rId17" xr:uid="{B0B99963-19D5-F34B-BE18-00D340104C79}"/>
    <hyperlink ref="B39" r:id="rId18" xr:uid="{BF22935B-91E9-4847-83E6-CD3C6E95732E}"/>
    <hyperlink ref="B40" r:id="rId19" xr:uid="{B13EEA34-A89D-954C-BE63-7C9BB7A3E398}"/>
    <hyperlink ref="B41" r:id="rId20" xr:uid="{A6C33A99-A695-DB4D-AB68-D6A65E32080B}"/>
    <hyperlink ref="B42" r:id="rId21" xr:uid="{9850D7EA-379D-5B4A-B885-ACC6261CEABB}"/>
    <hyperlink ref="B61" r:id="rId22" xr:uid="{82680B67-E6FE-3B43-BF27-E2B5FCE4BB85}"/>
    <hyperlink ref="B77" r:id="rId23" xr:uid="{9087BDAF-196B-D74D-8AB0-A959369BF562}"/>
    <hyperlink ref="B12" r:id="rId24" xr:uid="{F76368B1-2556-F243-B0A2-316F8200A543}"/>
    <hyperlink ref="B22" r:id="rId25" xr:uid="{D7DEABC1-B864-914F-98CD-43E9417FE845}"/>
    <hyperlink ref="B3" r:id="rId26" xr:uid="{3E564CAF-AED2-1C44-82F6-D36EF1E1F93E}"/>
    <hyperlink ref="B4" r:id="rId27" xr:uid="{79587527-4932-EE47-8907-1E5415F6AD2D}"/>
    <hyperlink ref="B5" r:id="rId28" xr:uid="{DCF8E15D-C59A-8848-8313-D250FFDEB36A}"/>
    <hyperlink ref="B52" r:id="rId29" xr:uid="{80746845-29E7-A946-9470-AC462F5A28B4}"/>
    <hyperlink ref="B85" r:id="rId30" xr:uid="{E00AA252-23F9-024D-90A3-E6868A463B93}"/>
    <hyperlink ref="B7" r:id="rId31" xr:uid="{921C8011-DF40-A946-A89E-6AA2B61A9179}"/>
    <hyperlink ref="B14" r:id="rId32" xr:uid="{4A1C391D-12F7-C347-A26D-2F55203CECBB}"/>
    <hyperlink ref="B25" r:id="rId33" xr:uid="{FE29905A-3607-9D44-AC6E-41EEB2CEDB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45FE-F130-6549-89CA-200652E9E546}">
  <dimension ref="B2:P25"/>
  <sheetViews>
    <sheetView zoomScale="185" workbookViewId="0">
      <selection activeCell="C33" sqref="C33"/>
    </sheetView>
  </sheetViews>
  <sheetFormatPr baseColWidth="10" defaultRowHeight="13"/>
  <cols>
    <col min="1" max="1" width="2.6640625" customWidth="1"/>
    <col min="2" max="2" width="21" bestFit="1" customWidth="1"/>
    <col min="3" max="3" width="10" customWidth="1"/>
    <col min="4" max="4" width="9.33203125" bestFit="1" customWidth="1"/>
    <col min="5" max="5" width="9.33203125" customWidth="1"/>
  </cols>
  <sheetData>
    <row r="2" spans="2:16">
      <c r="B2" s="22"/>
      <c r="C2" s="23"/>
      <c r="D2" s="23"/>
      <c r="E2" s="23"/>
      <c r="F2" s="22"/>
      <c r="G2" s="23"/>
      <c r="H2" s="22"/>
      <c r="I2" s="22"/>
      <c r="J2" s="22"/>
      <c r="K2" s="22"/>
      <c r="L2" s="24"/>
      <c r="M2" s="25"/>
      <c r="N2" s="22"/>
      <c r="O2" s="22"/>
      <c r="P2" s="22"/>
    </row>
    <row r="3" spans="2:16">
      <c r="B3" t="s">
        <v>308</v>
      </c>
      <c r="E3" t="s">
        <v>331</v>
      </c>
    </row>
    <row r="5" spans="2:16">
      <c r="B5" t="s">
        <v>309</v>
      </c>
      <c r="C5">
        <f>+Main!E48</f>
        <v>144</v>
      </c>
      <c r="E5">
        <v>6.05</v>
      </c>
    </row>
    <row r="6" spans="2:16">
      <c r="B6" t="s">
        <v>310</v>
      </c>
      <c r="C6" s="1">
        <v>30000</v>
      </c>
      <c r="E6" s="1">
        <f>+C6</f>
        <v>30000</v>
      </c>
    </row>
    <row r="7" spans="2:16">
      <c r="B7" t="s">
        <v>311</v>
      </c>
      <c r="C7" s="29" t="s">
        <v>312</v>
      </c>
    </row>
    <row r="8" spans="2:16">
      <c r="B8" t="s">
        <v>313</v>
      </c>
      <c r="C8">
        <f>+C5*0.95</f>
        <v>136.79999999999998</v>
      </c>
      <c r="E8">
        <f>+E5*0.95</f>
        <v>5.7474999999999996</v>
      </c>
    </row>
    <row r="9" spans="2:16">
      <c r="B9" t="s">
        <v>314</v>
      </c>
      <c r="C9">
        <f>+C5*1.1</f>
        <v>158.4</v>
      </c>
      <c r="E9" t="s">
        <v>332</v>
      </c>
    </row>
    <row r="11" spans="2:16">
      <c r="B11" t="s">
        <v>315</v>
      </c>
      <c r="C11">
        <f>+C5-C8</f>
        <v>7.2000000000000171</v>
      </c>
    </row>
    <row r="12" spans="2:16">
      <c r="B12" t="s">
        <v>316</v>
      </c>
      <c r="C12">
        <f>300/C11</f>
        <v>41.666666666666565</v>
      </c>
    </row>
    <row r="13" spans="2:16">
      <c r="B13" t="s">
        <v>317</v>
      </c>
      <c r="C13">
        <f>600/C11</f>
        <v>83.33333333333313</v>
      </c>
    </row>
    <row r="14" spans="2:16">
      <c r="B14" s="1"/>
      <c r="C14" s="1"/>
      <c r="D14" s="1"/>
      <c r="E14" s="1"/>
    </row>
    <row r="15" spans="2:16">
      <c r="B15" s="1" t="s">
        <v>318</v>
      </c>
      <c r="C15" s="1">
        <v>47</v>
      </c>
      <c r="D15" s="1"/>
      <c r="E15" s="1"/>
    </row>
    <row r="16" spans="2:16">
      <c r="B16" s="1" t="s">
        <v>319</v>
      </c>
      <c r="C16" s="1" t="s">
        <v>320</v>
      </c>
      <c r="D16" s="1"/>
      <c r="E16" s="1"/>
    </row>
    <row r="17" spans="2:5">
      <c r="B17" s="1"/>
      <c r="C17" s="1"/>
      <c r="D17" s="1"/>
      <c r="E17" s="1"/>
    </row>
    <row r="18" spans="2:5">
      <c r="B18" s="1" t="s">
        <v>321</v>
      </c>
      <c r="C18" s="1"/>
      <c r="D18" s="1"/>
      <c r="E18" s="1"/>
    </row>
    <row r="19" spans="2:5">
      <c r="B19" s="1" t="s">
        <v>322</v>
      </c>
      <c r="C19" s="1">
        <f>+(C9-C5) * C15</f>
        <v>676.8000000000003</v>
      </c>
      <c r="D19" s="1"/>
      <c r="E19" s="1"/>
    </row>
    <row r="20" spans="2:5">
      <c r="B20" s="1" t="s">
        <v>323</v>
      </c>
      <c r="C20" s="30">
        <f>+(C5-C8) * C15</f>
        <v>338.40000000000077</v>
      </c>
      <c r="D20" s="26"/>
      <c r="E20" s="26"/>
    </row>
    <row r="21" spans="2:5">
      <c r="C21" s="27"/>
      <c r="D21" s="27"/>
      <c r="E21" s="27"/>
    </row>
    <row r="22" spans="2:5">
      <c r="B22" s="1" t="s">
        <v>324</v>
      </c>
      <c r="C22" s="28"/>
      <c r="D22" s="28"/>
      <c r="E22" s="28"/>
    </row>
    <row r="23" spans="2:5">
      <c r="B23" s="1" t="s">
        <v>325</v>
      </c>
      <c r="C23" t="s">
        <v>326</v>
      </c>
    </row>
    <row r="24" spans="2:5">
      <c r="B24" s="1" t="s">
        <v>327</v>
      </c>
      <c r="C24" t="s">
        <v>328</v>
      </c>
    </row>
    <row r="25" spans="2:5">
      <c r="B25" s="1" t="s">
        <v>329</v>
      </c>
      <c r="C25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2024-12-05T04:22:52Z</dcterms:created>
  <dcterms:modified xsi:type="dcterms:W3CDTF">2025-05-11T18:48:38Z</dcterms:modified>
</cp:coreProperties>
</file>