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AF9D5809-FD50-E845-9AFB-484B82338042}" xr6:coauthVersionLast="47" xr6:coauthVersionMax="47" xr10:uidLastSave="{00000000-0000-0000-0000-000000000000}"/>
  <bookViews>
    <workbookView xWindow="26620" yWindow="1300" windowWidth="23960" windowHeight="26880" xr2:uid="{CB898BA3-96B2-9F40-8B48-95B959498422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2" l="1"/>
  <c r="AC4" i="2" s="1"/>
  <c r="AD4" i="2" s="1"/>
  <c r="AE4" i="2" s="1"/>
  <c r="AF4" i="2" s="1"/>
  <c r="AG4" i="2" s="1"/>
  <c r="AH4" i="2" s="1"/>
  <c r="AI4" i="2" s="1"/>
  <c r="AA4" i="2"/>
  <c r="AA5" i="2" s="1"/>
  <c r="AL22" i="2"/>
  <c r="AL26" i="2"/>
  <c r="AL24" i="2"/>
  <c r="HZ3" i="2"/>
  <c r="IA3" i="2" s="1"/>
  <c r="HY3" i="2"/>
  <c r="HQ3" i="2"/>
  <c r="HR3" i="2" s="1"/>
  <c r="HS3" i="2" s="1"/>
  <c r="HT3" i="2" s="1"/>
  <c r="HU3" i="2" s="1"/>
  <c r="HV3" i="2" s="1"/>
  <c r="HW3" i="2" s="1"/>
  <c r="HX3" i="2" s="1"/>
  <c r="HA3" i="2"/>
  <c r="HB3" i="2" s="1"/>
  <c r="HC3" i="2" s="1"/>
  <c r="HD3" i="2" s="1"/>
  <c r="HE3" i="2" s="1"/>
  <c r="HF3" i="2" s="1"/>
  <c r="HG3" i="2" s="1"/>
  <c r="HH3" i="2" s="1"/>
  <c r="HI3" i="2" s="1"/>
  <c r="HJ3" i="2" s="1"/>
  <c r="HK3" i="2" s="1"/>
  <c r="HL3" i="2" s="1"/>
  <c r="HM3" i="2" s="1"/>
  <c r="HN3" i="2" s="1"/>
  <c r="HO3" i="2" s="1"/>
  <c r="HP3" i="2" s="1"/>
  <c r="FU3" i="2"/>
  <c r="FV3" i="2" s="1"/>
  <c r="FW3" i="2" s="1"/>
  <c r="FX3" i="2" s="1"/>
  <c r="FY3" i="2" s="1"/>
  <c r="FZ3" i="2" s="1"/>
  <c r="GA3" i="2" s="1"/>
  <c r="GB3" i="2" s="1"/>
  <c r="GC3" i="2" s="1"/>
  <c r="GD3" i="2" s="1"/>
  <c r="GE3" i="2" s="1"/>
  <c r="GF3" i="2" s="1"/>
  <c r="GG3" i="2" s="1"/>
  <c r="GH3" i="2" s="1"/>
  <c r="GI3" i="2" s="1"/>
  <c r="GJ3" i="2" s="1"/>
  <c r="GK3" i="2" s="1"/>
  <c r="GL3" i="2" s="1"/>
  <c r="GM3" i="2" s="1"/>
  <c r="GN3" i="2" s="1"/>
  <c r="GO3" i="2" s="1"/>
  <c r="GP3" i="2" s="1"/>
  <c r="GQ3" i="2" s="1"/>
  <c r="GR3" i="2" s="1"/>
  <c r="GS3" i="2" s="1"/>
  <c r="GT3" i="2" s="1"/>
  <c r="GU3" i="2" s="1"/>
  <c r="GV3" i="2" s="1"/>
  <c r="GW3" i="2" s="1"/>
  <c r="GX3" i="2" s="1"/>
  <c r="GY3" i="2" s="1"/>
  <c r="GZ3" i="2" s="1"/>
  <c r="FT3" i="2"/>
  <c r="AK3" i="2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FH3" i="2" s="1"/>
  <c r="FI3" i="2" s="1"/>
  <c r="FJ3" i="2" s="1"/>
  <c r="FK3" i="2" s="1"/>
  <c r="FL3" i="2" s="1"/>
  <c r="FM3" i="2" s="1"/>
  <c r="FN3" i="2" s="1"/>
  <c r="FO3" i="2" s="1"/>
  <c r="FP3" i="2" s="1"/>
  <c r="FQ3" i="2" s="1"/>
  <c r="FR3" i="2" s="1"/>
  <c r="FS3" i="2" s="1"/>
  <c r="AJ3" i="2"/>
  <c r="Z16" i="2"/>
  <c r="Z17" i="2"/>
  <c r="Z13" i="2"/>
  <c r="Z12" i="2"/>
  <c r="Z11" i="2"/>
  <c r="Z10" i="2"/>
  <c r="Z9" i="2"/>
  <c r="Z8" i="2"/>
  <c r="Z7" i="2"/>
  <c r="Z6" i="2"/>
  <c r="Z5" i="2"/>
  <c r="Z4" i="2"/>
  <c r="N17" i="2"/>
  <c r="N16" i="2"/>
  <c r="N13" i="2"/>
  <c r="N12" i="2"/>
  <c r="N11" i="2"/>
  <c r="N10" i="2"/>
  <c r="N9" i="2"/>
  <c r="N8" i="2"/>
  <c r="N7" i="2"/>
  <c r="N6" i="2"/>
  <c r="N5" i="2"/>
  <c r="N4" i="2"/>
  <c r="D49" i="2"/>
  <c r="E49" i="2" s="1"/>
  <c r="D48" i="2"/>
  <c r="E48" i="2" s="1"/>
  <c r="J49" i="2"/>
  <c r="H49" i="2"/>
  <c r="H48" i="2"/>
  <c r="H50" i="2" s="1"/>
  <c r="L49" i="2"/>
  <c r="M49" i="2" s="1"/>
  <c r="L48" i="2"/>
  <c r="M48" i="2" s="1"/>
  <c r="K50" i="2"/>
  <c r="G50" i="2"/>
  <c r="C50" i="2"/>
  <c r="I49" i="2"/>
  <c r="M19" i="2"/>
  <c r="L19" i="2"/>
  <c r="K19" i="2"/>
  <c r="J19" i="2"/>
  <c r="K41" i="2"/>
  <c r="K44" i="2" s="1"/>
  <c r="K30" i="2"/>
  <c r="J30" i="2"/>
  <c r="L41" i="2"/>
  <c r="L44" i="2" s="1"/>
  <c r="L30" i="2"/>
  <c r="J41" i="2"/>
  <c r="J44" i="2" s="1"/>
  <c r="M41" i="2"/>
  <c r="M44" i="2" s="1"/>
  <c r="M30" i="2"/>
  <c r="U17" i="2"/>
  <c r="E17" i="2"/>
  <c r="V16" i="2"/>
  <c r="U6" i="2"/>
  <c r="U9" i="2" s="1"/>
  <c r="U11" i="2" s="1"/>
  <c r="U13" i="2" s="1"/>
  <c r="W16" i="2"/>
  <c r="V6" i="2"/>
  <c r="V9" i="2" s="1"/>
  <c r="V11" i="2" s="1"/>
  <c r="V13" i="2" s="1"/>
  <c r="I16" i="2"/>
  <c r="H16" i="2"/>
  <c r="F12" i="2"/>
  <c r="F10" i="2"/>
  <c r="F8" i="2"/>
  <c r="F7" i="2"/>
  <c r="F5" i="2"/>
  <c r="F4" i="2"/>
  <c r="F6" i="2" s="1"/>
  <c r="F17" i="2" s="1"/>
  <c r="J12" i="2"/>
  <c r="J10" i="2"/>
  <c r="J8" i="2"/>
  <c r="J7" i="2"/>
  <c r="J5" i="2"/>
  <c r="J4" i="2"/>
  <c r="J6" i="2" s="1"/>
  <c r="J17" i="2" s="1"/>
  <c r="X16" i="2"/>
  <c r="Y16" i="2"/>
  <c r="W6" i="2"/>
  <c r="W9" i="2" s="1"/>
  <c r="W11" i="2" s="1"/>
  <c r="W13" i="2" s="1"/>
  <c r="X6" i="2"/>
  <c r="X9" i="2" s="1"/>
  <c r="X11" i="2" s="1"/>
  <c r="X13" i="2" s="1"/>
  <c r="Y6" i="2"/>
  <c r="Y9" i="2" s="1"/>
  <c r="Y11" i="2" s="1"/>
  <c r="Y13" i="2" s="1"/>
  <c r="G16" i="2"/>
  <c r="C6" i="2"/>
  <c r="C9" i="2" s="1"/>
  <c r="C11" i="2" s="1"/>
  <c r="C13" i="2" s="1"/>
  <c r="C51" i="2" s="1"/>
  <c r="D6" i="2"/>
  <c r="D9" i="2" s="1"/>
  <c r="D11" i="2" s="1"/>
  <c r="D13" i="2" s="1"/>
  <c r="D51" i="2" s="1"/>
  <c r="E6" i="2"/>
  <c r="E9" i="2" s="1"/>
  <c r="E11" i="2" s="1"/>
  <c r="E13" i="2" s="1"/>
  <c r="E51" i="2" s="1"/>
  <c r="K16" i="2"/>
  <c r="G6" i="2"/>
  <c r="G9" i="2" s="1"/>
  <c r="G11" i="2" s="1"/>
  <c r="G13" i="2" s="1"/>
  <c r="G51" i="2" s="1"/>
  <c r="K6" i="2"/>
  <c r="K9" i="2" s="1"/>
  <c r="K11" i="2" s="1"/>
  <c r="K13" i="2" s="1"/>
  <c r="K51" i="2" s="1"/>
  <c r="L16" i="2"/>
  <c r="H6" i="2"/>
  <c r="H9" i="2" s="1"/>
  <c r="H11" i="2" s="1"/>
  <c r="H13" i="2" s="1"/>
  <c r="H51" i="2" s="1"/>
  <c r="L6" i="2"/>
  <c r="L9" i="2" s="1"/>
  <c r="L11" i="2" s="1"/>
  <c r="L13" i="2" s="1"/>
  <c r="L51" i="2" s="1"/>
  <c r="M16" i="2"/>
  <c r="I6" i="2"/>
  <c r="I9" i="2" s="1"/>
  <c r="I11" i="2" s="1"/>
  <c r="I13" i="2" s="1"/>
  <c r="I51" i="2" s="1"/>
  <c r="M6" i="2"/>
  <c r="M9" i="2" s="1"/>
  <c r="M11" i="2" s="1"/>
  <c r="M13" i="2" s="1"/>
  <c r="M51" i="2" s="1"/>
  <c r="R3" i="2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I8" i="1"/>
  <c r="I7" i="1"/>
  <c r="H9" i="1"/>
  <c r="H8" i="1"/>
  <c r="H6" i="1"/>
  <c r="AA16" i="2" l="1"/>
  <c r="AA7" i="2"/>
  <c r="AA8" i="2"/>
  <c r="AA6" i="2"/>
  <c r="AA10" i="2"/>
  <c r="K54" i="2"/>
  <c r="F48" i="2"/>
  <c r="F49" i="2"/>
  <c r="H17" i="2"/>
  <c r="I48" i="2"/>
  <c r="I50" i="2" s="1"/>
  <c r="J48" i="2"/>
  <c r="J50" i="2" s="1"/>
  <c r="M53" i="2" s="1"/>
  <c r="F50" i="2"/>
  <c r="D50" i="2"/>
  <c r="G53" i="2" s="1"/>
  <c r="E50" i="2"/>
  <c r="M50" i="2"/>
  <c r="L50" i="2"/>
  <c r="J13" i="2"/>
  <c r="J51" i="2" s="1"/>
  <c r="M54" i="2" s="1"/>
  <c r="F13" i="2"/>
  <c r="F51" i="2" s="1"/>
  <c r="I54" i="2" s="1"/>
  <c r="J16" i="2"/>
  <c r="M17" i="2"/>
  <c r="I17" i="2"/>
  <c r="X17" i="2"/>
  <c r="Y17" i="2"/>
  <c r="J9" i="2"/>
  <c r="J11" i="2"/>
  <c r="F9" i="2"/>
  <c r="G17" i="2"/>
  <c r="V17" i="2"/>
  <c r="W17" i="2"/>
  <c r="F11" i="2"/>
  <c r="C17" i="2"/>
  <c r="K17" i="2"/>
  <c r="D17" i="2"/>
  <c r="L17" i="2"/>
  <c r="AA9" i="2" l="1"/>
  <c r="AA11" i="2" s="1"/>
  <c r="AA12" i="2" s="1"/>
  <c r="AA13" i="2" s="1"/>
  <c r="AA17" i="2"/>
  <c r="AB10" i="2"/>
  <c r="AB5" i="2"/>
  <c r="AC5" i="2" s="1"/>
  <c r="AB8" i="2"/>
  <c r="AC8" i="2" s="1"/>
  <c r="AB7" i="2"/>
  <c r="AC7" i="2" s="1"/>
  <c r="AB16" i="2"/>
  <c r="L53" i="2"/>
  <c r="J53" i="2"/>
  <c r="K53" i="2"/>
  <c r="F53" i="2"/>
  <c r="I53" i="2"/>
  <c r="F54" i="2"/>
  <c r="G54" i="2"/>
  <c r="H54" i="2"/>
  <c r="L54" i="2"/>
  <c r="H53" i="2"/>
  <c r="J54" i="2"/>
  <c r="AB6" i="2" l="1"/>
  <c r="AC16" i="2"/>
  <c r="AC10" i="2"/>
  <c r="AD10" i="2" s="1"/>
  <c r="AC6" i="2"/>
  <c r="AD8" i="2"/>
  <c r="AD5" i="2"/>
  <c r="AB9" i="2" l="1"/>
  <c r="AB11" i="2" s="1"/>
  <c r="AB17" i="2"/>
  <c r="AC17" i="2"/>
  <c r="AC9" i="2"/>
  <c r="AC11" i="2" s="1"/>
  <c r="AD16" i="2"/>
  <c r="AD6" i="2"/>
  <c r="AD7" i="2"/>
  <c r="AE16" i="2" l="1"/>
  <c r="AB12" i="2"/>
  <c r="AB13" i="2"/>
  <c r="AE8" i="2"/>
  <c r="AF8" i="2" s="1"/>
  <c r="AC12" i="2"/>
  <c r="AC13" i="2" s="1"/>
  <c r="AE7" i="2"/>
  <c r="AF7" i="2" s="1"/>
  <c r="AE10" i="2"/>
  <c r="AF10" i="2" s="1"/>
  <c r="AD17" i="2"/>
  <c r="AD9" i="2"/>
  <c r="AD11" i="2" s="1"/>
  <c r="AE5" i="2"/>
  <c r="AF5" i="2" s="1"/>
  <c r="AD12" i="2" l="1"/>
  <c r="AD13" i="2"/>
  <c r="AE6" i="2"/>
  <c r="AF16" i="2"/>
  <c r="AF6" i="2"/>
  <c r="AG16" i="2" l="1"/>
  <c r="AE17" i="2"/>
  <c r="AE9" i="2"/>
  <c r="AE11" i="2" s="1"/>
  <c r="AG7" i="2"/>
  <c r="AH7" i="2" s="1"/>
  <c r="AG10" i="2"/>
  <c r="AH10" i="2" s="1"/>
  <c r="AG8" i="2"/>
  <c r="AH8" i="2" s="1"/>
  <c r="AF17" i="2"/>
  <c r="AF9" i="2"/>
  <c r="AF11" i="2" s="1"/>
  <c r="AG5" i="2"/>
  <c r="AH5" i="2" s="1"/>
  <c r="AI8" i="2" l="1"/>
  <c r="AI5" i="2"/>
  <c r="AG6" i="2"/>
  <c r="AI10" i="2"/>
  <c r="AE12" i="2"/>
  <c r="AE13" i="2"/>
  <c r="AF12" i="2"/>
  <c r="AF13" i="2" s="1"/>
  <c r="AH6" i="2"/>
  <c r="AH16" i="2"/>
  <c r="AH9" i="2" l="1"/>
  <c r="AH11" i="2" s="1"/>
  <c r="AH17" i="2"/>
  <c r="AG9" i="2"/>
  <c r="AG11" i="2" s="1"/>
  <c r="AG17" i="2"/>
  <c r="AI16" i="2"/>
  <c r="AI6" i="2"/>
  <c r="AI7" i="2"/>
  <c r="AI9" i="2" l="1"/>
  <c r="AI11" i="2" s="1"/>
  <c r="AI17" i="2"/>
  <c r="AG12" i="2"/>
  <c r="AG13" i="2"/>
  <c r="AH12" i="2"/>
  <c r="AH13" i="2" s="1"/>
  <c r="AI12" i="2" l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EN13" i="2" s="1"/>
  <c r="EO13" i="2" s="1"/>
  <c r="EP13" i="2" s="1"/>
  <c r="EQ13" i="2" s="1"/>
  <c r="ER13" i="2" s="1"/>
  <c r="ES13" i="2" s="1"/>
  <c r="ET13" i="2" s="1"/>
  <c r="EU13" i="2" s="1"/>
  <c r="EV13" i="2" s="1"/>
  <c r="EW13" i="2" s="1"/>
  <c r="EX13" i="2" s="1"/>
  <c r="EY13" i="2" s="1"/>
  <c r="EZ13" i="2" s="1"/>
  <c r="FA13" i="2" s="1"/>
  <c r="FB13" i="2" s="1"/>
  <c r="FC13" i="2" s="1"/>
  <c r="FD13" i="2" s="1"/>
  <c r="FE13" i="2" s="1"/>
  <c r="FF13" i="2" s="1"/>
  <c r="FG13" i="2" s="1"/>
  <c r="FH13" i="2" s="1"/>
  <c r="FI13" i="2" s="1"/>
  <c r="FJ13" i="2" s="1"/>
  <c r="FK13" i="2" s="1"/>
  <c r="FL13" i="2" s="1"/>
  <c r="FM13" i="2" s="1"/>
  <c r="FN13" i="2" s="1"/>
  <c r="FO13" i="2" s="1"/>
  <c r="FP13" i="2" s="1"/>
  <c r="FQ13" i="2" s="1"/>
  <c r="FR13" i="2" s="1"/>
  <c r="FS13" i="2" s="1"/>
  <c r="FT13" i="2" s="1"/>
  <c r="FU13" i="2" s="1"/>
  <c r="FV13" i="2" s="1"/>
  <c r="FW13" i="2" s="1"/>
  <c r="FX13" i="2" s="1"/>
  <c r="FY13" i="2" s="1"/>
  <c r="FZ13" i="2" s="1"/>
  <c r="GA13" i="2" s="1"/>
  <c r="GB13" i="2" s="1"/>
  <c r="GC13" i="2" s="1"/>
  <c r="GD13" i="2" s="1"/>
  <c r="GE13" i="2" s="1"/>
  <c r="GF13" i="2" s="1"/>
  <c r="GG13" i="2" s="1"/>
  <c r="GH13" i="2" s="1"/>
  <c r="GI13" i="2" s="1"/>
  <c r="GJ13" i="2" s="1"/>
  <c r="GK13" i="2" s="1"/>
  <c r="GL13" i="2" s="1"/>
  <c r="GM13" i="2" s="1"/>
  <c r="GN13" i="2" s="1"/>
  <c r="GO13" i="2" s="1"/>
  <c r="GP13" i="2" s="1"/>
  <c r="GQ13" i="2" s="1"/>
  <c r="GR13" i="2" s="1"/>
  <c r="GS13" i="2" s="1"/>
  <c r="GT13" i="2" s="1"/>
  <c r="GU13" i="2" s="1"/>
  <c r="GV13" i="2" s="1"/>
  <c r="GW13" i="2" s="1"/>
  <c r="GX13" i="2" s="1"/>
  <c r="GY13" i="2" s="1"/>
  <c r="GZ13" i="2" s="1"/>
  <c r="HA13" i="2" s="1"/>
  <c r="HB13" i="2" s="1"/>
  <c r="HC13" i="2" s="1"/>
  <c r="HD13" i="2" s="1"/>
  <c r="HE13" i="2" s="1"/>
  <c r="HF13" i="2" s="1"/>
  <c r="HG13" i="2" s="1"/>
  <c r="HH13" i="2" s="1"/>
  <c r="HI13" i="2" s="1"/>
  <c r="HJ13" i="2" s="1"/>
  <c r="HK13" i="2" s="1"/>
  <c r="HL13" i="2" s="1"/>
  <c r="HM13" i="2" s="1"/>
  <c r="HN13" i="2" s="1"/>
  <c r="HO13" i="2" s="1"/>
  <c r="HP13" i="2" s="1"/>
  <c r="HQ13" i="2" s="1"/>
  <c r="HR13" i="2" s="1"/>
  <c r="HS13" i="2" s="1"/>
  <c r="HT13" i="2" s="1"/>
  <c r="HU13" i="2" s="1"/>
  <c r="HV13" i="2" s="1"/>
  <c r="HW13" i="2" s="1"/>
  <c r="HX13" i="2" s="1"/>
  <c r="HY13" i="2" s="1"/>
  <c r="HZ13" i="2" s="1"/>
  <c r="IA13" i="2" s="1"/>
  <c r="AL21" i="2" s="1"/>
  <c r="AL23" i="2" s="1"/>
  <c r="AL25" i="2" s="1"/>
  <c r="AL27" i="2" s="1"/>
</calcChain>
</file>

<file path=xl/sharedStrings.xml><?xml version="1.0" encoding="utf-8"?>
<sst xmlns="http://schemas.openxmlformats.org/spreadsheetml/2006/main" count="77" uniqueCount="74">
  <si>
    <t>P</t>
  </si>
  <si>
    <t>S</t>
  </si>
  <si>
    <t>MC</t>
  </si>
  <si>
    <t>C</t>
  </si>
  <si>
    <t>D</t>
  </si>
  <si>
    <t>EV</t>
  </si>
  <si>
    <t>Q324</t>
  </si>
  <si>
    <t>Q122</t>
  </si>
  <si>
    <t>Q322</t>
  </si>
  <si>
    <t>Q422</t>
  </si>
  <si>
    <t>Q123</t>
  </si>
  <si>
    <t>Q223</t>
  </si>
  <si>
    <t>Q323</t>
  </si>
  <si>
    <t>Q423</t>
  </si>
  <si>
    <t>Q224</t>
  </si>
  <si>
    <t>Q424</t>
  </si>
  <si>
    <t>Sales</t>
  </si>
  <si>
    <t>GP</t>
  </si>
  <si>
    <t>S&amp;M</t>
  </si>
  <si>
    <t>G&amp;A</t>
  </si>
  <si>
    <t xml:space="preserve">Operating Income </t>
  </si>
  <si>
    <t>Total Other Expense</t>
  </si>
  <si>
    <t>EBT</t>
  </si>
  <si>
    <t>Taxes</t>
  </si>
  <si>
    <t xml:space="preserve">Net Income </t>
  </si>
  <si>
    <t>EPS</t>
  </si>
  <si>
    <t>Q124</t>
  </si>
  <si>
    <t>S Y/Y</t>
  </si>
  <si>
    <t>Q222</t>
  </si>
  <si>
    <t>GM %</t>
  </si>
  <si>
    <t/>
  </si>
  <si>
    <t xml:space="preserve">CFO </t>
  </si>
  <si>
    <t xml:space="preserve">CEO </t>
  </si>
  <si>
    <t>Founded</t>
  </si>
  <si>
    <t xml:space="preserve">Cash </t>
  </si>
  <si>
    <t>A/R</t>
  </si>
  <si>
    <t>Inventories</t>
  </si>
  <si>
    <t>Prepaid Exp</t>
  </si>
  <si>
    <t>PPE</t>
  </si>
  <si>
    <t>Goodwill</t>
  </si>
  <si>
    <t>Other intangibles</t>
  </si>
  <si>
    <t>Op Lease</t>
  </si>
  <si>
    <t>Deferred I/T</t>
  </si>
  <si>
    <t>ONCA</t>
  </si>
  <si>
    <t xml:space="preserve">Total Assets </t>
  </si>
  <si>
    <t>A/P</t>
  </si>
  <si>
    <t>Accrued Exp</t>
  </si>
  <si>
    <t>Short term op L</t>
  </si>
  <si>
    <t>Current Debt</t>
  </si>
  <si>
    <t>Income Taxes Payable</t>
  </si>
  <si>
    <t>LTD</t>
  </si>
  <si>
    <t>Long Term Op L</t>
  </si>
  <si>
    <t>Deferred i/t</t>
  </si>
  <si>
    <t>ONCL</t>
  </si>
  <si>
    <t xml:space="preserve">Total Liabilities </t>
  </si>
  <si>
    <t>E</t>
  </si>
  <si>
    <t>Redeemable NC interest</t>
  </si>
  <si>
    <t>TL + E</t>
  </si>
  <si>
    <t xml:space="preserve">Net Cash </t>
  </si>
  <si>
    <t>CFFO</t>
  </si>
  <si>
    <t>Capex</t>
  </si>
  <si>
    <t>Free Cash Flow</t>
  </si>
  <si>
    <t>Net Income</t>
  </si>
  <si>
    <t>4Q FCF</t>
  </si>
  <si>
    <t>4Q NI</t>
  </si>
  <si>
    <t>Feb 20m</t>
  </si>
  <si>
    <t xml:space="preserve">Terminal </t>
  </si>
  <si>
    <t xml:space="preserve">Discount </t>
  </si>
  <si>
    <t>NPV</t>
  </si>
  <si>
    <t xml:space="preserve">Total Value </t>
  </si>
  <si>
    <t>Shares</t>
  </si>
  <si>
    <t xml:space="preserve">Estimate </t>
  </si>
  <si>
    <t>Current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</si>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</sst>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theme="1"/>
      <name val="ArialMT"/>
      <family val="2"/>
    </font>
    <font>
      <b/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4" fontId="0" fillId="0" borderId="0" xfId="0" applyNumberFormat="1"/>
    <xf numFmtId="1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3" fontId="0" fillId="0" borderId="0" xfId="0" quotePrefix="1" applyNumberFormat="1"/>
    <xf numFmtId="3" fontId="1" fillId="0" borderId="0" xfId="0" applyNumberFormat="1" applyFont="1"/>
    <xf numFmtId="3" fontId="1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26597</xdr:rowOff>
    </xdr:from>
    <xdr:to>
      <xdr:col>13</xdr:col>
      <xdr:colOff>19948</xdr:colOff>
      <xdr:row>59</xdr:row>
      <xdr:rowOff>159581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835F2C1-A46B-3FA0-AADF-5BED4989F9A4}"/>
            </a:ext>
          </a:extLst>
        </xdr:cNvPr>
        <xdr:cNvCxnSpPr/>
      </xdr:nvCxnSpPr>
      <xdr:spPr>
        <a:xfrm>
          <a:off x="6044136" y="26597"/>
          <a:ext cx="19948" cy="96081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13299</xdr:colOff>
      <xdr:row>0</xdr:row>
      <xdr:rowOff>13298</xdr:rowOff>
    </xdr:from>
    <xdr:to>
      <xdr:col>25</xdr:col>
      <xdr:colOff>22412</xdr:colOff>
      <xdr:row>60</xdr:row>
      <xdr:rowOff>82177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38DE8E0-1583-6D47-BE8E-F5B601B1F889}"/>
            </a:ext>
          </a:extLst>
        </xdr:cNvPr>
        <xdr:cNvCxnSpPr/>
      </xdr:nvCxnSpPr>
      <xdr:spPr>
        <a:xfrm>
          <a:off x="12578828" y="13298"/>
          <a:ext cx="9113" cy="993005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627E-5D09-1F4A-8D2F-D78296E06F01}">
  <dimension ref="B2:I9"/>
  <sheetViews>
    <sheetView tabSelected="1" topLeftCell="D1" zoomScale="291" workbookViewId="0">
      <selection activeCell="E3" sqref="E3"/>
    </sheetView>
  </sheetViews>
  <sheetFormatPr baseColWidth="10" defaultRowHeight="13"/>
  <cols>
    <col min="1" max="6" width="10.83203125" style="1"/>
    <col min="7" max="7" width="3.6640625" style="1" bestFit="1" customWidth="1"/>
    <col min="8" max="8" width="6.6640625" style="1" bestFit="1" customWidth="1"/>
    <col min="9" max="9" width="5.5" style="1" bestFit="1" customWidth="1"/>
    <col min="10" max="16384" width="10.83203125" style="1"/>
  </cols>
  <sheetData>
    <row r="2" spans="2:9">
      <c r="B2" s="1" t="s">
        <v>33</v>
      </c>
    </row>
    <row r="3" spans="2:9">
      <c r="B3" s="1" t="s">
        <v>32</v>
      </c>
    </row>
    <row r="4" spans="2:9">
      <c r="B4" s="1" t="s">
        <v>31</v>
      </c>
      <c r="G4" s="1" t="s">
        <v>0</v>
      </c>
      <c r="H4" s="2">
        <v>60.07</v>
      </c>
    </row>
    <row r="5" spans="2:9">
      <c r="G5" s="1" t="s">
        <v>1</v>
      </c>
      <c r="H5" s="1">
        <v>173.65287000000001</v>
      </c>
      <c r="I5" s="1" t="s">
        <v>6</v>
      </c>
    </row>
    <row r="6" spans="2:9">
      <c r="G6" s="1" t="s">
        <v>2</v>
      </c>
      <c r="H6" s="1">
        <f>+H5*H4</f>
        <v>10431.3279009</v>
      </c>
    </row>
    <row r="7" spans="2:9">
      <c r="G7" s="1" t="s">
        <v>3</v>
      </c>
      <c r="H7" s="1">
        <v>104.2</v>
      </c>
      <c r="I7" s="1" t="str">
        <f>+I5</f>
        <v>Q324</v>
      </c>
    </row>
    <row r="8" spans="2:9">
      <c r="G8" s="1" t="s">
        <v>4</v>
      </c>
      <c r="H8" s="1">
        <f>46.4+2227.1</f>
        <v>2273.5</v>
      </c>
      <c r="I8" s="1" t="str">
        <f>+I7</f>
        <v>Q324</v>
      </c>
    </row>
    <row r="9" spans="2:9">
      <c r="G9" s="1" t="s">
        <v>5</v>
      </c>
      <c r="H9" s="1">
        <f>+H6-H7+H8</f>
        <v>12600.627900899999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A0940-9023-EA42-A66C-8A92404F0C72}">
  <dimension ref="B2:IA54"/>
  <sheetViews>
    <sheetView zoomScale="130" zoomScaleNormal="130" workbookViewId="0">
      <pane xSplit="2" ySplit="3" topLeftCell="W4" activePane="bottomRight" state="frozen"/>
      <selection pane="topRight" activeCell="C1" sqref="C1"/>
      <selection pane="bottomLeft" activeCell="A3" sqref="A3"/>
      <selection pane="bottomRight" activeCell="AF25" sqref="AF25"/>
    </sheetView>
  </sheetViews>
  <sheetFormatPr baseColWidth="10" defaultRowHeight="13"/>
  <cols>
    <col min="1" max="1" width="1.1640625" style="1" customWidth="1"/>
    <col min="2" max="2" width="20.1640625" style="1" bestFit="1" customWidth="1"/>
    <col min="3" max="9" width="5.6640625" style="1" bestFit="1" customWidth="1"/>
    <col min="10" max="13" width="6.1640625" style="1" bestFit="1" customWidth="1"/>
    <col min="14" max="14" width="8" style="1" bestFit="1" customWidth="1"/>
    <col min="15" max="16" width="10.83203125" style="1"/>
    <col min="17" max="20" width="5.1640625" style="1" bestFit="1" customWidth="1"/>
    <col min="21" max="35" width="5.6640625" style="1" bestFit="1" customWidth="1"/>
    <col min="36" max="36" width="5.1640625" style="1" bestFit="1" customWidth="1"/>
    <col min="37" max="37" width="10.5" style="1" bestFit="1" customWidth="1"/>
    <col min="38" max="38" width="6.1640625" style="1" bestFit="1" customWidth="1"/>
    <col min="39" max="235" width="5.1640625" style="1" bestFit="1" customWidth="1"/>
    <col min="236" max="16384" width="10.83203125" style="1"/>
  </cols>
  <sheetData>
    <row r="2" spans="2:235">
      <c r="N2" s="1" t="s">
        <v>65</v>
      </c>
    </row>
    <row r="3" spans="2:235" s="3" customFormat="1">
      <c r="C3" s="3" t="s">
        <v>7</v>
      </c>
      <c r="D3" s="3" t="s">
        <v>28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26</v>
      </c>
      <c r="L3" s="3" t="s">
        <v>14</v>
      </c>
      <c r="M3" s="3" t="s">
        <v>6</v>
      </c>
      <c r="N3" s="3" t="s">
        <v>15</v>
      </c>
      <c r="Q3" s="3">
        <v>2015</v>
      </c>
      <c r="R3" s="3">
        <f>+Q3+1</f>
        <v>2016</v>
      </c>
      <c r="S3" s="3">
        <f t="shared" ref="S3:AL3" si="0">+R3+1</f>
        <v>2017</v>
      </c>
      <c r="T3" s="3">
        <f t="shared" si="0"/>
        <v>2018</v>
      </c>
      <c r="U3" s="3">
        <f t="shared" si="0"/>
        <v>2019</v>
      </c>
      <c r="V3" s="3">
        <f t="shared" si="0"/>
        <v>2020</v>
      </c>
      <c r="W3" s="3">
        <f t="shared" si="0"/>
        <v>2021</v>
      </c>
      <c r="X3" s="3">
        <f t="shared" si="0"/>
        <v>2022</v>
      </c>
      <c r="Y3" s="3">
        <f t="shared" si="0"/>
        <v>2023</v>
      </c>
      <c r="Z3" s="3">
        <f t="shared" si="0"/>
        <v>2024</v>
      </c>
      <c r="AA3" s="3">
        <f t="shared" si="0"/>
        <v>2025</v>
      </c>
      <c r="AB3" s="3">
        <f t="shared" si="0"/>
        <v>2026</v>
      </c>
      <c r="AC3" s="3">
        <f t="shared" si="0"/>
        <v>2027</v>
      </c>
      <c r="AD3" s="3">
        <f t="shared" si="0"/>
        <v>2028</v>
      </c>
      <c r="AE3" s="3">
        <f t="shared" si="0"/>
        <v>2029</v>
      </c>
      <c r="AF3" s="3">
        <f t="shared" si="0"/>
        <v>2030</v>
      </c>
      <c r="AG3" s="3">
        <f t="shared" si="0"/>
        <v>2031</v>
      </c>
      <c r="AH3" s="3">
        <f t="shared" si="0"/>
        <v>2032</v>
      </c>
      <c r="AI3" s="3">
        <f t="shared" si="0"/>
        <v>2033</v>
      </c>
      <c r="AJ3" s="3">
        <f>+AI3+1</f>
        <v>2034</v>
      </c>
      <c r="AK3" s="3">
        <f t="shared" ref="AK3:CV3" si="1">+AJ3+1</f>
        <v>2035</v>
      </c>
      <c r="AL3" s="3">
        <f t="shared" si="1"/>
        <v>2036</v>
      </c>
      <c r="AM3" s="3">
        <f t="shared" si="1"/>
        <v>2037</v>
      </c>
      <c r="AN3" s="3">
        <f t="shared" si="1"/>
        <v>2038</v>
      </c>
      <c r="AO3" s="3">
        <f t="shared" si="1"/>
        <v>2039</v>
      </c>
      <c r="AP3" s="3">
        <f t="shared" si="1"/>
        <v>2040</v>
      </c>
      <c r="AQ3" s="3">
        <f t="shared" si="1"/>
        <v>2041</v>
      </c>
      <c r="AR3" s="3">
        <f t="shared" si="1"/>
        <v>2042</v>
      </c>
      <c r="AS3" s="3">
        <f t="shared" si="1"/>
        <v>2043</v>
      </c>
      <c r="AT3" s="3">
        <f t="shared" si="1"/>
        <v>2044</v>
      </c>
      <c r="AU3" s="3">
        <f t="shared" si="1"/>
        <v>2045</v>
      </c>
      <c r="AV3" s="3">
        <f t="shared" si="1"/>
        <v>2046</v>
      </c>
      <c r="AW3" s="3">
        <f t="shared" si="1"/>
        <v>2047</v>
      </c>
      <c r="AX3" s="3">
        <f t="shared" si="1"/>
        <v>2048</v>
      </c>
      <c r="AY3" s="3">
        <f t="shared" si="1"/>
        <v>2049</v>
      </c>
      <c r="AZ3" s="3">
        <f t="shared" si="1"/>
        <v>2050</v>
      </c>
      <c r="BA3" s="3">
        <f t="shared" si="1"/>
        <v>2051</v>
      </c>
      <c r="BB3" s="3">
        <f t="shared" si="1"/>
        <v>2052</v>
      </c>
      <c r="BC3" s="3">
        <f t="shared" si="1"/>
        <v>2053</v>
      </c>
      <c r="BD3" s="3">
        <f t="shared" si="1"/>
        <v>2054</v>
      </c>
      <c r="BE3" s="3">
        <f t="shared" si="1"/>
        <v>2055</v>
      </c>
      <c r="BF3" s="3">
        <f t="shared" si="1"/>
        <v>2056</v>
      </c>
      <c r="BG3" s="3">
        <f t="shared" si="1"/>
        <v>2057</v>
      </c>
      <c r="BH3" s="3">
        <f t="shared" si="1"/>
        <v>2058</v>
      </c>
      <c r="BI3" s="3">
        <f t="shared" si="1"/>
        <v>2059</v>
      </c>
      <c r="BJ3" s="3">
        <f t="shared" si="1"/>
        <v>2060</v>
      </c>
      <c r="BK3" s="3">
        <f t="shared" si="1"/>
        <v>2061</v>
      </c>
      <c r="BL3" s="3">
        <f t="shared" si="1"/>
        <v>2062</v>
      </c>
      <c r="BM3" s="3">
        <f t="shared" si="1"/>
        <v>2063</v>
      </c>
      <c r="BN3" s="3">
        <f t="shared" si="1"/>
        <v>2064</v>
      </c>
      <c r="BO3" s="3">
        <f t="shared" si="1"/>
        <v>2065</v>
      </c>
      <c r="BP3" s="3">
        <f t="shared" si="1"/>
        <v>2066</v>
      </c>
      <c r="BQ3" s="3">
        <f t="shared" si="1"/>
        <v>2067</v>
      </c>
      <c r="BR3" s="3">
        <f t="shared" si="1"/>
        <v>2068</v>
      </c>
      <c r="BS3" s="3">
        <f t="shared" si="1"/>
        <v>2069</v>
      </c>
      <c r="BT3" s="3">
        <f t="shared" si="1"/>
        <v>2070</v>
      </c>
      <c r="BU3" s="3">
        <f t="shared" si="1"/>
        <v>2071</v>
      </c>
      <c r="BV3" s="3">
        <f t="shared" si="1"/>
        <v>2072</v>
      </c>
      <c r="BW3" s="3">
        <f t="shared" si="1"/>
        <v>2073</v>
      </c>
      <c r="BX3" s="3">
        <f t="shared" si="1"/>
        <v>2074</v>
      </c>
      <c r="BY3" s="3">
        <f t="shared" si="1"/>
        <v>2075</v>
      </c>
      <c r="BZ3" s="3">
        <f t="shared" si="1"/>
        <v>2076</v>
      </c>
      <c r="CA3" s="3">
        <f t="shared" si="1"/>
        <v>2077</v>
      </c>
      <c r="CB3" s="3">
        <f t="shared" si="1"/>
        <v>2078</v>
      </c>
      <c r="CC3" s="3">
        <f t="shared" si="1"/>
        <v>2079</v>
      </c>
      <c r="CD3" s="3">
        <f t="shared" si="1"/>
        <v>2080</v>
      </c>
      <c r="CE3" s="3">
        <f t="shared" si="1"/>
        <v>2081</v>
      </c>
      <c r="CF3" s="3">
        <f t="shared" si="1"/>
        <v>2082</v>
      </c>
      <c r="CG3" s="3">
        <f t="shared" si="1"/>
        <v>2083</v>
      </c>
      <c r="CH3" s="3">
        <f t="shared" si="1"/>
        <v>2084</v>
      </c>
      <c r="CI3" s="3">
        <f t="shared" si="1"/>
        <v>2085</v>
      </c>
      <c r="CJ3" s="3">
        <f t="shared" si="1"/>
        <v>2086</v>
      </c>
      <c r="CK3" s="3">
        <f t="shared" si="1"/>
        <v>2087</v>
      </c>
      <c r="CL3" s="3">
        <f t="shared" si="1"/>
        <v>2088</v>
      </c>
      <c r="CM3" s="3">
        <f t="shared" si="1"/>
        <v>2089</v>
      </c>
      <c r="CN3" s="3">
        <f t="shared" si="1"/>
        <v>2090</v>
      </c>
      <c r="CO3" s="3">
        <f t="shared" si="1"/>
        <v>2091</v>
      </c>
      <c r="CP3" s="3">
        <f t="shared" si="1"/>
        <v>2092</v>
      </c>
      <c r="CQ3" s="3">
        <f t="shared" si="1"/>
        <v>2093</v>
      </c>
      <c r="CR3" s="3">
        <f t="shared" si="1"/>
        <v>2094</v>
      </c>
      <c r="CS3" s="3">
        <f t="shared" si="1"/>
        <v>2095</v>
      </c>
      <c r="CT3" s="3">
        <f t="shared" si="1"/>
        <v>2096</v>
      </c>
      <c r="CU3" s="3">
        <f t="shared" si="1"/>
        <v>2097</v>
      </c>
      <c r="CV3" s="3">
        <f t="shared" si="1"/>
        <v>2098</v>
      </c>
      <c r="CW3" s="3">
        <f t="shared" ref="CW3:FH3" si="2">+CV3+1</f>
        <v>2099</v>
      </c>
      <c r="CX3" s="3">
        <f t="shared" si="2"/>
        <v>2100</v>
      </c>
      <c r="CY3" s="3">
        <f t="shared" si="2"/>
        <v>2101</v>
      </c>
      <c r="CZ3" s="3">
        <f t="shared" si="2"/>
        <v>2102</v>
      </c>
      <c r="DA3" s="3">
        <f t="shared" si="2"/>
        <v>2103</v>
      </c>
      <c r="DB3" s="3">
        <f t="shared" si="2"/>
        <v>2104</v>
      </c>
      <c r="DC3" s="3">
        <f t="shared" si="2"/>
        <v>2105</v>
      </c>
      <c r="DD3" s="3">
        <f t="shared" si="2"/>
        <v>2106</v>
      </c>
      <c r="DE3" s="3">
        <f t="shared" si="2"/>
        <v>2107</v>
      </c>
      <c r="DF3" s="3">
        <f t="shared" si="2"/>
        <v>2108</v>
      </c>
      <c r="DG3" s="3">
        <f t="shared" si="2"/>
        <v>2109</v>
      </c>
      <c r="DH3" s="3">
        <f t="shared" si="2"/>
        <v>2110</v>
      </c>
      <c r="DI3" s="3">
        <f t="shared" si="2"/>
        <v>2111</v>
      </c>
      <c r="DJ3" s="3">
        <f t="shared" si="2"/>
        <v>2112</v>
      </c>
      <c r="DK3" s="3">
        <f t="shared" si="2"/>
        <v>2113</v>
      </c>
      <c r="DL3" s="3">
        <f t="shared" si="2"/>
        <v>2114</v>
      </c>
      <c r="DM3" s="3">
        <f t="shared" si="2"/>
        <v>2115</v>
      </c>
      <c r="DN3" s="3">
        <f t="shared" si="2"/>
        <v>2116</v>
      </c>
      <c r="DO3" s="3">
        <f t="shared" si="2"/>
        <v>2117</v>
      </c>
      <c r="DP3" s="3">
        <f t="shared" si="2"/>
        <v>2118</v>
      </c>
      <c r="DQ3" s="3">
        <f t="shared" si="2"/>
        <v>2119</v>
      </c>
      <c r="DR3" s="3">
        <f t="shared" si="2"/>
        <v>2120</v>
      </c>
      <c r="DS3" s="3">
        <f t="shared" si="2"/>
        <v>2121</v>
      </c>
      <c r="DT3" s="3">
        <f t="shared" si="2"/>
        <v>2122</v>
      </c>
      <c r="DU3" s="3">
        <f t="shared" si="2"/>
        <v>2123</v>
      </c>
      <c r="DV3" s="3">
        <f t="shared" si="2"/>
        <v>2124</v>
      </c>
      <c r="DW3" s="3">
        <f t="shared" si="2"/>
        <v>2125</v>
      </c>
      <c r="DX3" s="3">
        <f t="shared" si="2"/>
        <v>2126</v>
      </c>
      <c r="DY3" s="3">
        <f t="shared" si="2"/>
        <v>2127</v>
      </c>
      <c r="DZ3" s="3">
        <f t="shared" si="2"/>
        <v>2128</v>
      </c>
      <c r="EA3" s="3">
        <f t="shared" si="2"/>
        <v>2129</v>
      </c>
      <c r="EB3" s="3">
        <f t="shared" si="2"/>
        <v>2130</v>
      </c>
      <c r="EC3" s="3">
        <f t="shared" si="2"/>
        <v>2131</v>
      </c>
      <c r="ED3" s="3">
        <f t="shared" si="2"/>
        <v>2132</v>
      </c>
      <c r="EE3" s="3">
        <f t="shared" si="2"/>
        <v>2133</v>
      </c>
      <c r="EF3" s="3">
        <f t="shared" si="2"/>
        <v>2134</v>
      </c>
      <c r="EG3" s="3">
        <f t="shared" si="2"/>
        <v>2135</v>
      </c>
      <c r="EH3" s="3">
        <f t="shared" si="2"/>
        <v>2136</v>
      </c>
      <c r="EI3" s="3">
        <f t="shared" si="2"/>
        <v>2137</v>
      </c>
      <c r="EJ3" s="3">
        <f t="shared" si="2"/>
        <v>2138</v>
      </c>
      <c r="EK3" s="3">
        <f t="shared" si="2"/>
        <v>2139</v>
      </c>
      <c r="EL3" s="3">
        <f t="shared" si="2"/>
        <v>2140</v>
      </c>
      <c r="EM3" s="3">
        <f t="shared" si="2"/>
        <v>2141</v>
      </c>
      <c r="EN3" s="3">
        <f t="shared" si="2"/>
        <v>2142</v>
      </c>
      <c r="EO3" s="3">
        <f t="shared" si="2"/>
        <v>2143</v>
      </c>
      <c r="EP3" s="3">
        <f t="shared" si="2"/>
        <v>2144</v>
      </c>
      <c r="EQ3" s="3">
        <f t="shared" si="2"/>
        <v>2145</v>
      </c>
      <c r="ER3" s="3">
        <f t="shared" si="2"/>
        <v>2146</v>
      </c>
      <c r="ES3" s="3">
        <f t="shared" si="2"/>
        <v>2147</v>
      </c>
      <c r="ET3" s="3">
        <f t="shared" si="2"/>
        <v>2148</v>
      </c>
      <c r="EU3" s="3">
        <f t="shared" si="2"/>
        <v>2149</v>
      </c>
      <c r="EV3" s="3">
        <f t="shared" si="2"/>
        <v>2150</v>
      </c>
      <c r="EW3" s="3">
        <f t="shared" si="2"/>
        <v>2151</v>
      </c>
      <c r="EX3" s="3">
        <f t="shared" si="2"/>
        <v>2152</v>
      </c>
      <c r="EY3" s="3">
        <f t="shared" si="2"/>
        <v>2153</v>
      </c>
      <c r="EZ3" s="3">
        <f t="shared" si="2"/>
        <v>2154</v>
      </c>
      <c r="FA3" s="3">
        <f t="shared" si="2"/>
        <v>2155</v>
      </c>
      <c r="FB3" s="3">
        <f t="shared" si="2"/>
        <v>2156</v>
      </c>
      <c r="FC3" s="3">
        <f t="shared" si="2"/>
        <v>2157</v>
      </c>
      <c r="FD3" s="3">
        <f t="shared" si="2"/>
        <v>2158</v>
      </c>
      <c r="FE3" s="3">
        <f t="shared" si="2"/>
        <v>2159</v>
      </c>
      <c r="FF3" s="3">
        <f t="shared" si="2"/>
        <v>2160</v>
      </c>
      <c r="FG3" s="3">
        <f t="shared" si="2"/>
        <v>2161</v>
      </c>
      <c r="FH3" s="3">
        <f t="shared" si="2"/>
        <v>2162</v>
      </c>
      <c r="FI3" s="3">
        <f t="shared" ref="FI3:HT3" si="3">+FH3+1</f>
        <v>2163</v>
      </c>
      <c r="FJ3" s="3">
        <f t="shared" si="3"/>
        <v>2164</v>
      </c>
      <c r="FK3" s="3">
        <f t="shared" si="3"/>
        <v>2165</v>
      </c>
      <c r="FL3" s="3">
        <f t="shared" si="3"/>
        <v>2166</v>
      </c>
      <c r="FM3" s="3">
        <f t="shared" si="3"/>
        <v>2167</v>
      </c>
      <c r="FN3" s="3">
        <f t="shared" si="3"/>
        <v>2168</v>
      </c>
      <c r="FO3" s="3">
        <f t="shared" si="3"/>
        <v>2169</v>
      </c>
      <c r="FP3" s="3">
        <f t="shared" si="3"/>
        <v>2170</v>
      </c>
      <c r="FQ3" s="3">
        <f t="shared" si="3"/>
        <v>2171</v>
      </c>
      <c r="FR3" s="3">
        <f t="shared" si="3"/>
        <v>2172</v>
      </c>
      <c r="FS3" s="3">
        <f t="shared" si="3"/>
        <v>2173</v>
      </c>
      <c r="FT3" s="3">
        <f t="shared" si="3"/>
        <v>2174</v>
      </c>
      <c r="FU3" s="3">
        <f t="shared" si="3"/>
        <v>2175</v>
      </c>
      <c r="FV3" s="3">
        <f t="shared" si="3"/>
        <v>2176</v>
      </c>
      <c r="FW3" s="3">
        <f t="shared" si="3"/>
        <v>2177</v>
      </c>
      <c r="FX3" s="3">
        <f t="shared" si="3"/>
        <v>2178</v>
      </c>
      <c r="FY3" s="3">
        <f t="shared" si="3"/>
        <v>2179</v>
      </c>
      <c r="FZ3" s="3">
        <f t="shared" si="3"/>
        <v>2180</v>
      </c>
      <c r="GA3" s="3">
        <f t="shared" si="3"/>
        <v>2181</v>
      </c>
      <c r="GB3" s="3">
        <f t="shared" si="3"/>
        <v>2182</v>
      </c>
      <c r="GC3" s="3">
        <f t="shared" si="3"/>
        <v>2183</v>
      </c>
      <c r="GD3" s="3">
        <f t="shared" si="3"/>
        <v>2184</v>
      </c>
      <c r="GE3" s="3">
        <f t="shared" si="3"/>
        <v>2185</v>
      </c>
      <c r="GF3" s="3">
        <f t="shared" si="3"/>
        <v>2186</v>
      </c>
      <c r="GG3" s="3">
        <f t="shared" si="3"/>
        <v>2187</v>
      </c>
      <c r="GH3" s="3">
        <f t="shared" si="3"/>
        <v>2188</v>
      </c>
      <c r="GI3" s="3">
        <f t="shared" si="3"/>
        <v>2189</v>
      </c>
      <c r="GJ3" s="3">
        <f t="shared" si="3"/>
        <v>2190</v>
      </c>
      <c r="GK3" s="3">
        <f t="shared" si="3"/>
        <v>2191</v>
      </c>
      <c r="GL3" s="3">
        <f t="shared" si="3"/>
        <v>2192</v>
      </c>
      <c r="GM3" s="3">
        <f t="shared" si="3"/>
        <v>2193</v>
      </c>
      <c r="GN3" s="3">
        <f t="shared" si="3"/>
        <v>2194</v>
      </c>
      <c r="GO3" s="3">
        <f t="shared" si="3"/>
        <v>2195</v>
      </c>
      <c r="GP3" s="3">
        <f t="shared" si="3"/>
        <v>2196</v>
      </c>
      <c r="GQ3" s="3">
        <f t="shared" si="3"/>
        <v>2197</v>
      </c>
      <c r="GR3" s="3">
        <f t="shared" si="3"/>
        <v>2198</v>
      </c>
      <c r="GS3" s="3">
        <f t="shared" si="3"/>
        <v>2199</v>
      </c>
      <c r="GT3" s="3">
        <f t="shared" si="3"/>
        <v>2200</v>
      </c>
      <c r="GU3" s="3">
        <f t="shared" si="3"/>
        <v>2201</v>
      </c>
      <c r="GV3" s="3">
        <f t="shared" si="3"/>
        <v>2202</v>
      </c>
      <c r="GW3" s="3">
        <f t="shared" si="3"/>
        <v>2203</v>
      </c>
      <c r="GX3" s="3">
        <f t="shared" si="3"/>
        <v>2204</v>
      </c>
      <c r="GY3" s="3">
        <f t="shared" si="3"/>
        <v>2205</v>
      </c>
      <c r="GZ3" s="3">
        <f t="shared" si="3"/>
        <v>2206</v>
      </c>
      <c r="HA3" s="3">
        <f t="shared" si="3"/>
        <v>2207</v>
      </c>
      <c r="HB3" s="3">
        <f t="shared" si="3"/>
        <v>2208</v>
      </c>
      <c r="HC3" s="3">
        <f t="shared" si="3"/>
        <v>2209</v>
      </c>
      <c r="HD3" s="3">
        <f t="shared" si="3"/>
        <v>2210</v>
      </c>
      <c r="HE3" s="3">
        <f t="shared" si="3"/>
        <v>2211</v>
      </c>
      <c r="HF3" s="3">
        <f t="shared" si="3"/>
        <v>2212</v>
      </c>
      <c r="HG3" s="3">
        <f t="shared" si="3"/>
        <v>2213</v>
      </c>
      <c r="HH3" s="3">
        <f t="shared" si="3"/>
        <v>2214</v>
      </c>
      <c r="HI3" s="3">
        <f t="shared" si="3"/>
        <v>2215</v>
      </c>
      <c r="HJ3" s="3">
        <f t="shared" si="3"/>
        <v>2216</v>
      </c>
      <c r="HK3" s="3">
        <f t="shared" si="3"/>
        <v>2217</v>
      </c>
      <c r="HL3" s="3">
        <f t="shared" si="3"/>
        <v>2218</v>
      </c>
      <c r="HM3" s="3">
        <f t="shared" si="3"/>
        <v>2219</v>
      </c>
      <c r="HN3" s="3">
        <f t="shared" si="3"/>
        <v>2220</v>
      </c>
      <c r="HO3" s="3">
        <f t="shared" si="3"/>
        <v>2221</v>
      </c>
      <c r="HP3" s="3">
        <f t="shared" si="3"/>
        <v>2222</v>
      </c>
      <c r="HQ3" s="3">
        <f t="shared" si="3"/>
        <v>2223</v>
      </c>
      <c r="HR3" s="3">
        <f t="shared" si="3"/>
        <v>2224</v>
      </c>
      <c r="HS3" s="3">
        <f t="shared" si="3"/>
        <v>2225</v>
      </c>
      <c r="HT3" s="3">
        <f t="shared" si="3"/>
        <v>2226</v>
      </c>
      <c r="HU3" s="3">
        <f t="shared" ref="HU3:IA3" si="4">+HT3+1</f>
        <v>2227</v>
      </c>
      <c r="HV3" s="3">
        <f t="shared" si="4"/>
        <v>2228</v>
      </c>
      <c r="HW3" s="3">
        <f t="shared" si="4"/>
        <v>2229</v>
      </c>
      <c r="HX3" s="3">
        <f t="shared" si="4"/>
        <v>2230</v>
      </c>
      <c r="HY3" s="3">
        <f t="shared" si="4"/>
        <v>2231</v>
      </c>
      <c r="HZ3" s="3">
        <f t="shared" si="4"/>
        <v>2232</v>
      </c>
      <c r="IA3" s="3">
        <f t="shared" si="4"/>
        <v>2233</v>
      </c>
    </row>
    <row r="4" spans="2:235">
      <c r="B4" s="1" t="s">
        <v>16</v>
      </c>
      <c r="C4" s="1">
        <v>1239.5</v>
      </c>
      <c r="D4" s="1">
        <v>1211</v>
      </c>
      <c r="E4" s="1">
        <v>1283.3</v>
      </c>
      <c r="F4" s="1">
        <f>+X4-SUM(C4:E4)</f>
        <v>1187.3999999999996</v>
      </c>
      <c r="G4" s="1">
        <v>1208.0999999999999</v>
      </c>
      <c r="H4" s="1">
        <v>1269.7</v>
      </c>
      <c r="I4" s="1">
        <v>1277.0999999999999</v>
      </c>
      <c r="J4" s="1">
        <f>+Y4-SUM(G4:I4)</f>
        <v>1170.4999999999995</v>
      </c>
      <c r="K4" s="1">
        <v>1189.4000000000001</v>
      </c>
      <c r="L4" s="1">
        <v>1233.5999999999999</v>
      </c>
      <c r="M4" s="1">
        <v>1300</v>
      </c>
      <c r="N4" s="1">
        <f>+J4*0.99</f>
        <v>1158.7949999999996</v>
      </c>
      <c r="U4" s="1">
        <v>3106</v>
      </c>
      <c r="V4" s="1">
        <v>3676.9</v>
      </c>
      <c r="W4" s="1">
        <v>4930.8</v>
      </c>
      <c r="X4" s="1">
        <v>4921.2</v>
      </c>
      <c r="Y4" s="1">
        <v>4925.3999999999996</v>
      </c>
      <c r="Z4" s="1">
        <f>SUM(K4:N4)</f>
        <v>4881.7950000000001</v>
      </c>
      <c r="AA4" s="1">
        <f>+Z4*1.01</f>
        <v>4930.6129499999997</v>
      </c>
      <c r="AB4" s="1">
        <f t="shared" ref="AB4:AI4" si="5">+AA4*1.01</f>
        <v>4979.9190794999995</v>
      </c>
      <c r="AC4" s="1">
        <f t="shared" si="5"/>
        <v>5029.7182702949995</v>
      </c>
      <c r="AD4" s="1">
        <f t="shared" si="5"/>
        <v>5080.0154529979491</v>
      </c>
      <c r="AE4" s="1">
        <f t="shared" si="5"/>
        <v>5130.8156075279285</v>
      </c>
      <c r="AF4" s="1">
        <f t="shared" si="5"/>
        <v>5182.1237636032074</v>
      </c>
      <c r="AG4" s="1">
        <f t="shared" si="5"/>
        <v>5233.9450012392399</v>
      </c>
      <c r="AH4" s="1">
        <f t="shared" si="5"/>
        <v>5286.2844512516322</v>
      </c>
      <c r="AI4" s="1">
        <f t="shared" si="5"/>
        <v>5339.1472957641481</v>
      </c>
    </row>
    <row r="5" spans="2:235">
      <c r="B5" s="1" t="s">
        <v>3</v>
      </c>
      <c r="C5" s="1">
        <v>716.7</v>
      </c>
      <c r="D5" s="1">
        <v>714.5</v>
      </c>
      <c r="E5" s="1">
        <v>742.2</v>
      </c>
      <c r="F5" s="1">
        <f>+X5-SUM(C5:E5)</f>
        <v>698.19999999999982</v>
      </c>
      <c r="G5" s="1">
        <v>708.2</v>
      </c>
      <c r="H5" s="1">
        <v>727.4</v>
      </c>
      <c r="I5" s="1">
        <v>703.4</v>
      </c>
      <c r="J5" s="1">
        <f>+Y5-SUM(G5:I5)</f>
        <v>657.69999999999982</v>
      </c>
      <c r="K5" s="1">
        <v>676.8</v>
      </c>
      <c r="L5" s="1">
        <v>679.4</v>
      </c>
      <c r="M5" s="1">
        <v>710.1</v>
      </c>
      <c r="N5" s="1">
        <f>+N$4*(M5/M$4)</f>
        <v>632.96948423076913</v>
      </c>
      <c r="U5" s="1">
        <v>1763.8</v>
      </c>
      <c r="V5" s="1">
        <v>2038.5</v>
      </c>
      <c r="W5" s="1">
        <v>2772.1</v>
      </c>
      <c r="X5" s="1">
        <v>2871.6</v>
      </c>
      <c r="Y5" s="1">
        <v>2796.7</v>
      </c>
      <c r="Z5" s="1">
        <f t="shared" ref="Z5:Z13" si="6">SUM(K5:N5)</f>
        <v>2699.2694842307687</v>
      </c>
      <c r="AA5" s="1">
        <f>+AA$4*(Z5/Z$4)</f>
        <v>2726.2621790730764</v>
      </c>
      <c r="AB5" s="1">
        <f t="shared" ref="AB5:AI5" si="7">+AB$4*(AA5/AA$4)</f>
        <v>2753.5248008638068</v>
      </c>
      <c r="AC5" s="1">
        <f t="shared" si="7"/>
        <v>2781.0600488724449</v>
      </c>
      <c r="AD5" s="1">
        <f t="shared" si="7"/>
        <v>2808.8706493611694</v>
      </c>
      <c r="AE5" s="1">
        <f t="shared" si="7"/>
        <v>2836.9593558547808</v>
      </c>
      <c r="AF5" s="1">
        <f t="shared" si="7"/>
        <v>2865.3289494133282</v>
      </c>
      <c r="AG5" s="1">
        <f t="shared" si="7"/>
        <v>2893.982238907462</v>
      </c>
      <c r="AH5" s="1">
        <f t="shared" si="7"/>
        <v>2922.9220612965364</v>
      </c>
      <c r="AI5" s="1">
        <f t="shared" si="7"/>
        <v>2952.1512819095019</v>
      </c>
    </row>
    <row r="6" spans="2:235">
      <c r="B6" s="1" t="s">
        <v>17</v>
      </c>
      <c r="C6" s="1">
        <f>+C4-C5</f>
        <v>522.79999999999995</v>
      </c>
      <c r="D6" s="1">
        <f>+D4-D5</f>
        <v>496.5</v>
      </c>
      <c r="E6" s="1">
        <f>+E4-E5</f>
        <v>541.09999999999991</v>
      </c>
      <c r="F6" s="1">
        <f t="shared" ref="C6:L6" si="8">+F4-F5</f>
        <v>489.19999999999982</v>
      </c>
      <c r="G6" s="1">
        <f>+G4-G5</f>
        <v>499.89999999999986</v>
      </c>
      <c r="H6" s="1">
        <f>+H4-H5</f>
        <v>542.30000000000007</v>
      </c>
      <c r="I6" s="1">
        <f>+I4-I5</f>
        <v>573.69999999999993</v>
      </c>
      <c r="J6" s="1">
        <f t="shared" si="8"/>
        <v>512.79999999999973</v>
      </c>
      <c r="K6" s="1">
        <f>+K4-K5</f>
        <v>512.60000000000014</v>
      </c>
      <c r="L6" s="1">
        <f>+L4-L5</f>
        <v>554.19999999999993</v>
      </c>
      <c r="M6" s="1">
        <f>+M4-M5</f>
        <v>589.9</v>
      </c>
      <c r="N6" s="1">
        <f>+N4-N5</f>
        <v>525.82551576923049</v>
      </c>
      <c r="U6" s="1">
        <f>+U4-U5</f>
        <v>1342.2</v>
      </c>
      <c r="V6" s="1">
        <f>+V4-V5</f>
        <v>1638.4</v>
      </c>
      <c r="W6" s="1">
        <f>+W4-W5</f>
        <v>2158.7000000000003</v>
      </c>
      <c r="X6" s="1">
        <f>+X4-X5</f>
        <v>2049.6</v>
      </c>
      <c r="Y6" s="1">
        <f>+Y4-Y5</f>
        <v>2128.6999999999998</v>
      </c>
      <c r="Z6" s="1">
        <f t="shared" si="6"/>
        <v>2182.5255157692309</v>
      </c>
      <c r="AA6" s="1">
        <f>+AA4-AA5</f>
        <v>2204.3507709269234</v>
      </c>
      <c r="AB6" s="1">
        <f t="shared" ref="AB6:AI6" si="9">+AB4-AB5</f>
        <v>2226.3942786361927</v>
      </c>
      <c r="AC6" s="1">
        <f t="shared" si="9"/>
        <v>2248.6582214225546</v>
      </c>
      <c r="AD6" s="1">
        <f t="shared" si="9"/>
        <v>2271.1448036367797</v>
      </c>
      <c r="AE6" s="1">
        <f t="shared" si="9"/>
        <v>2293.8562516731477</v>
      </c>
      <c r="AF6" s="1">
        <f t="shared" si="9"/>
        <v>2316.7948141898792</v>
      </c>
      <c r="AG6" s="1">
        <f t="shared" si="9"/>
        <v>2339.9627623317779</v>
      </c>
      <c r="AH6" s="1">
        <f t="shared" si="9"/>
        <v>2363.3623899550958</v>
      </c>
      <c r="AI6" s="1">
        <f t="shared" si="9"/>
        <v>2386.9960138546462</v>
      </c>
    </row>
    <row r="7" spans="2:235">
      <c r="B7" s="1" t="s">
        <v>18</v>
      </c>
      <c r="C7" s="1">
        <v>243.5</v>
      </c>
      <c r="D7" s="1">
        <v>252.9</v>
      </c>
      <c r="E7" s="1">
        <v>248.3</v>
      </c>
      <c r="F7" s="1">
        <f>+X7-SUM(C7:E7)</f>
        <v>247.79999999999995</v>
      </c>
      <c r="G7" s="1">
        <v>256.7</v>
      </c>
      <c r="H7" s="1">
        <v>270.2</v>
      </c>
      <c r="I7" s="1">
        <v>272.89999999999998</v>
      </c>
      <c r="J7" s="1">
        <f>+Y7-SUM(G7:I7)</f>
        <v>263.60000000000014</v>
      </c>
      <c r="K7" s="1">
        <v>265</v>
      </c>
      <c r="L7" s="1">
        <v>276.2</v>
      </c>
      <c r="M7" s="1">
        <v>272</v>
      </c>
      <c r="N7" s="1">
        <f>+N$4*(M7/M$4)</f>
        <v>242.45556923076913</v>
      </c>
      <c r="U7" s="1">
        <v>666.3</v>
      </c>
      <c r="V7" s="1">
        <v>740.2</v>
      </c>
      <c r="W7" s="1">
        <v>923.1</v>
      </c>
      <c r="X7" s="1">
        <v>992.5</v>
      </c>
      <c r="Y7" s="1">
        <v>1063.4000000000001</v>
      </c>
      <c r="Z7" s="1">
        <f t="shared" si="6"/>
        <v>1055.6555692307693</v>
      </c>
      <c r="AA7" s="1">
        <f>+AA$4*(Z7/Z$4)</f>
        <v>1066.2121249230768</v>
      </c>
      <c r="AB7" s="1">
        <f t="shared" ref="AB7:AI7" si="10">+AB$4*(AA7/AA$4)</f>
        <v>1076.8742461723075</v>
      </c>
      <c r="AC7" s="1">
        <f t="shared" si="10"/>
        <v>1087.6429886340304</v>
      </c>
      <c r="AD7" s="1">
        <f t="shared" si="10"/>
        <v>1098.5194185203707</v>
      </c>
      <c r="AE7" s="1">
        <f t="shared" si="10"/>
        <v>1109.5046127055743</v>
      </c>
      <c r="AF7" s="1">
        <f t="shared" si="10"/>
        <v>1120.59965883263</v>
      </c>
      <c r="AG7" s="1">
        <f t="shared" si="10"/>
        <v>1131.8056554209563</v>
      </c>
      <c r="AH7" s="1">
        <f t="shared" si="10"/>
        <v>1143.1237119751659</v>
      </c>
      <c r="AI7" s="1">
        <f t="shared" si="10"/>
        <v>1154.5549490949174</v>
      </c>
    </row>
    <row r="8" spans="2:235">
      <c r="B8" s="1" t="s">
        <v>19</v>
      </c>
      <c r="C8" s="1">
        <v>97.6</v>
      </c>
      <c r="D8" s="1">
        <v>102.3</v>
      </c>
      <c r="E8" s="1">
        <v>96.7</v>
      </c>
      <c r="F8" s="1">
        <f>+X8-SUM(C8:E8)</f>
        <v>101.00000000000006</v>
      </c>
      <c r="G8" s="1">
        <v>104.5</v>
      </c>
      <c r="H8" s="1">
        <v>117.5</v>
      </c>
      <c r="I8" s="1">
        <v>122.2</v>
      </c>
      <c r="J8" s="1">
        <f>+Y8-SUM(G8:I8)</f>
        <v>136.90000000000003</v>
      </c>
      <c r="K8" s="1">
        <v>121</v>
      </c>
      <c r="L8" s="1">
        <v>107.8</v>
      </c>
      <c r="M8" s="1">
        <v>118.6</v>
      </c>
      <c r="N8" s="1">
        <f>+N$4*(M8/M$4)</f>
        <v>105.71775923076919</v>
      </c>
      <c r="U8" s="1">
        <v>345.1</v>
      </c>
      <c r="V8" s="1">
        <v>382.5</v>
      </c>
      <c r="W8" s="1">
        <v>353.9</v>
      </c>
      <c r="X8" s="1">
        <v>397.6</v>
      </c>
      <c r="Y8" s="1">
        <v>481.1</v>
      </c>
      <c r="Z8" s="1">
        <f t="shared" si="6"/>
        <v>453.11775923076914</v>
      </c>
      <c r="AA8" s="1">
        <f>+AA$4*(Z8/Z$4)</f>
        <v>457.64893682307678</v>
      </c>
      <c r="AB8" s="1">
        <f t="shared" ref="AB8:AI8" si="11">+AB$4*(AA8/AA$4)</f>
        <v>462.22542619130758</v>
      </c>
      <c r="AC8" s="1">
        <f t="shared" si="11"/>
        <v>466.84768045322062</v>
      </c>
      <c r="AD8" s="1">
        <f t="shared" si="11"/>
        <v>471.51615725775281</v>
      </c>
      <c r="AE8" s="1">
        <f t="shared" si="11"/>
        <v>476.23131883033034</v>
      </c>
      <c r="AF8" s="1">
        <f t="shared" si="11"/>
        <v>480.9936320186336</v>
      </c>
      <c r="AG8" s="1">
        <f t="shared" si="11"/>
        <v>485.80356833881996</v>
      </c>
      <c r="AH8" s="1">
        <f t="shared" si="11"/>
        <v>490.66160402220817</v>
      </c>
      <c r="AI8" s="1">
        <f t="shared" si="11"/>
        <v>495.56822006243021</v>
      </c>
    </row>
    <row r="9" spans="2:235">
      <c r="B9" s="1" t="s">
        <v>20</v>
      </c>
      <c r="C9" s="1">
        <f>+C6-SUM(C7:C8)</f>
        <v>181.69999999999993</v>
      </c>
      <c r="D9" s="1">
        <f>+D6-SUM(D7:D8)</f>
        <v>141.30000000000001</v>
      </c>
      <c r="E9" s="1">
        <f>+E6-SUM(E7:E8)</f>
        <v>196.09999999999991</v>
      </c>
      <c r="F9" s="1">
        <f>+X9-SUM(C9:E9)</f>
        <v>140.40000000000009</v>
      </c>
      <c r="G9" s="1">
        <f>+G6-SUM(G7:G8)</f>
        <v>138.69999999999987</v>
      </c>
      <c r="H9" s="1">
        <f>+H6-SUM(H7:H8)</f>
        <v>154.60000000000008</v>
      </c>
      <c r="I9" s="1">
        <f>+I6-SUM(I7:I8)</f>
        <v>178.59999999999997</v>
      </c>
      <c r="J9" s="1">
        <f>+Y9-SUM(G9:I9)</f>
        <v>112.2999999999999</v>
      </c>
      <c r="K9" s="1">
        <f>+K6-SUM(K7:K8)</f>
        <v>126.60000000000014</v>
      </c>
      <c r="L9" s="1">
        <f>+L6-SUM(L7:L8)</f>
        <v>170.19999999999993</v>
      </c>
      <c r="M9" s="1">
        <f>+M6-SUM(M7:M8)</f>
        <v>199.29999999999995</v>
      </c>
      <c r="N9" s="1">
        <f>+N6-SUM(N7:N8)</f>
        <v>177.6521873076922</v>
      </c>
      <c r="U9" s="1">
        <f>+U6-SUM(U7:U8)</f>
        <v>330.80000000000007</v>
      </c>
      <c r="V9" s="1">
        <f>+V6-SUM(V7:V8)</f>
        <v>515.70000000000005</v>
      </c>
      <c r="W9" s="1">
        <f>+W6-SUM(W7:W8)</f>
        <v>881.70000000000027</v>
      </c>
      <c r="X9" s="1">
        <f>+X6-SUM(X7:X8)</f>
        <v>659.5</v>
      </c>
      <c r="Y9" s="1">
        <f>+Y6-SUM(Y7:Y8)</f>
        <v>584.19999999999982</v>
      </c>
      <c r="Z9" s="1">
        <f t="shared" si="6"/>
        <v>673.75218730769222</v>
      </c>
      <c r="AA9" s="1">
        <f>+AA6-SUM(AA7:AA8)</f>
        <v>680.48970918076975</v>
      </c>
      <c r="AB9" s="1">
        <f t="shared" ref="AB9:AI9" si="12">+AB6-SUM(AB7:AB8)</f>
        <v>687.29460627257754</v>
      </c>
      <c r="AC9" s="1">
        <f t="shared" si="12"/>
        <v>694.16755233530353</v>
      </c>
      <c r="AD9" s="1">
        <f t="shared" si="12"/>
        <v>701.10922785865614</v>
      </c>
      <c r="AE9" s="1">
        <f t="shared" si="12"/>
        <v>708.12032013724297</v>
      </c>
      <c r="AF9" s="1">
        <f t="shared" si="12"/>
        <v>715.20152333861552</v>
      </c>
      <c r="AG9" s="1">
        <f t="shared" si="12"/>
        <v>722.35353857200153</v>
      </c>
      <c r="AH9" s="1">
        <f t="shared" si="12"/>
        <v>729.57707395772172</v>
      </c>
      <c r="AI9" s="1">
        <f t="shared" si="12"/>
        <v>736.87284469729866</v>
      </c>
    </row>
    <row r="10" spans="2:235">
      <c r="B10" s="1" t="s">
        <v>21</v>
      </c>
      <c r="C10" s="1">
        <v>19.600000000000001</v>
      </c>
      <c r="D10" s="1">
        <v>24.4</v>
      </c>
      <c r="E10" s="1">
        <v>25.9</v>
      </c>
      <c r="F10" s="1">
        <f>+X10-SUM(C10:E10)</f>
        <v>33.5</v>
      </c>
      <c r="G10" s="1">
        <v>32.9</v>
      </c>
      <c r="H10" s="1">
        <v>33.4</v>
      </c>
      <c r="I10" s="1">
        <v>32.5</v>
      </c>
      <c r="J10" s="1">
        <f>+Y10-SUM(G10:I10)</f>
        <v>34.299999999999997</v>
      </c>
      <c r="K10" s="1">
        <v>34</v>
      </c>
      <c r="L10" s="1">
        <v>32.799999999999997</v>
      </c>
      <c r="M10" s="1">
        <v>31.2</v>
      </c>
      <c r="N10" s="1">
        <f>+N$4*(M10/M$4)</f>
        <v>27.81107999999999</v>
      </c>
      <c r="U10" s="1">
        <v>81.2</v>
      </c>
      <c r="V10" s="1">
        <v>79.7</v>
      </c>
      <c r="W10" s="1">
        <v>88.3</v>
      </c>
      <c r="X10" s="1">
        <v>103.4</v>
      </c>
      <c r="Y10" s="1">
        <v>133.1</v>
      </c>
      <c r="Z10" s="1">
        <f t="shared" si="6"/>
        <v>125.81107999999999</v>
      </c>
      <c r="AA10" s="1">
        <f>+AA$4*(Z10/Z$4)</f>
        <v>127.06919079999997</v>
      </c>
      <c r="AB10" s="1">
        <f t="shared" ref="AB10:AI10" si="13">+AB$4*(AA10/AA$4)</f>
        <v>128.33988270799998</v>
      </c>
      <c r="AC10" s="1">
        <f t="shared" si="13"/>
        <v>129.62328153507997</v>
      </c>
      <c r="AD10" s="1">
        <f t="shared" si="13"/>
        <v>130.91951435043075</v>
      </c>
      <c r="AE10" s="1">
        <f t="shared" si="13"/>
        <v>132.22870949393504</v>
      </c>
      <c r="AF10" s="1">
        <f t="shared" si="13"/>
        <v>133.5509965888744</v>
      </c>
      <c r="AG10" s="1">
        <f t="shared" si="13"/>
        <v>134.88650655476317</v>
      </c>
      <c r="AH10" s="1">
        <f t="shared" si="13"/>
        <v>136.23537162031081</v>
      </c>
      <c r="AI10" s="1">
        <f t="shared" si="13"/>
        <v>137.59772533651392</v>
      </c>
    </row>
    <row r="11" spans="2:235">
      <c r="B11" s="1" t="s">
        <v>22</v>
      </c>
      <c r="C11" s="1">
        <f>+C9-C10</f>
        <v>162.09999999999994</v>
      </c>
      <c r="D11" s="1">
        <f>+D9-D10</f>
        <v>116.9</v>
      </c>
      <c r="E11" s="1">
        <f>+E9-E10</f>
        <v>170.1999999999999</v>
      </c>
      <c r="F11" s="1">
        <f>+X11-SUM(C11:E11)</f>
        <v>106.9000000000002</v>
      </c>
      <c r="G11" s="1">
        <f>+G9-G10</f>
        <v>105.79999999999987</v>
      </c>
      <c r="H11" s="1">
        <f>+H9-H10</f>
        <v>121.20000000000007</v>
      </c>
      <c r="I11" s="1">
        <f>+I9-I10</f>
        <v>146.09999999999997</v>
      </c>
      <c r="J11" s="1">
        <f>+Y11-SUM(G11:I11)</f>
        <v>77.999999999999886</v>
      </c>
      <c r="K11" s="1">
        <f>+K9-K10</f>
        <v>92.600000000000136</v>
      </c>
      <c r="L11" s="1">
        <f>+L9-L10</f>
        <v>137.39999999999992</v>
      </c>
      <c r="M11" s="1">
        <f>+M9-M10</f>
        <v>168.09999999999997</v>
      </c>
      <c r="N11" s="1">
        <f>+N9-N10</f>
        <v>149.8411073076922</v>
      </c>
      <c r="U11" s="1">
        <f>+U9-U10</f>
        <v>249.60000000000008</v>
      </c>
      <c r="V11" s="1">
        <f>+V9-V10</f>
        <v>436.00000000000006</v>
      </c>
      <c r="W11" s="1">
        <f>+W9-W10</f>
        <v>793.40000000000032</v>
      </c>
      <c r="X11" s="1">
        <f>+X9-X10</f>
        <v>556.1</v>
      </c>
      <c r="Y11" s="1">
        <f>+Y9-Y10</f>
        <v>451.0999999999998</v>
      </c>
      <c r="Z11" s="1">
        <f t="shared" si="6"/>
        <v>547.94110730769216</v>
      </c>
      <c r="AA11" s="1">
        <f>+AA9-AA10</f>
        <v>553.42051838076975</v>
      </c>
      <c r="AB11" s="1">
        <f t="shared" ref="AB11:AI11" si="14">+AB9-AB10</f>
        <v>558.95472356457753</v>
      </c>
      <c r="AC11" s="1">
        <f t="shared" si="14"/>
        <v>564.54427080022356</v>
      </c>
      <c r="AD11" s="1">
        <f t="shared" si="14"/>
        <v>570.1897135082254</v>
      </c>
      <c r="AE11" s="1">
        <f t="shared" si="14"/>
        <v>575.8916106433079</v>
      </c>
      <c r="AF11" s="1">
        <f t="shared" si="14"/>
        <v>581.65052674974118</v>
      </c>
      <c r="AG11" s="1">
        <f t="shared" si="14"/>
        <v>587.46703201723835</v>
      </c>
      <c r="AH11" s="1">
        <f t="shared" si="14"/>
        <v>593.34170233741088</v>
      </c>
      <c r="AI11" s="1">
        <f t="shared" si="14"/>
        <v>599.27511936078474</v>
      </c>
    </row>
    <row r="12" spans="2:235">
      <c r="B12" s="1" t="s">
        <v>23</v>
      </c>
      <c r="C12" s="1">
        <v>-38.1</v>
      </c>
      <c r="D12" s="1">
        <v>-28.3</v>
      </c>
      <c r="E12" s="1">
        <v>-41.1</v>
      </c>
      <c r="F12" s="1">
        <f>+X12-SUM(C12:E12)</f>
        <v>-11.5</v>
      </c>
      <c r="G12" s="1">
        <v>-24.5</v>
      </c>
      <c r="H12" s="1">
        <v>-32.200000000000003</v>
      </c>
      <c r="I12" s="1">
        <v>-36.799999999999997</v>
      </c>
      <c r="J12" s="1">
        <f>+Y12-SUM(G12:I12)</f>
        <v>-9.9000000000000057</v>
      </c>
      <c r="K12" s="1">
        <v>-20.7</v>
      </c>
      <c r="L12" s="1">
        <v>-34</v>
      </c>
      <c r="M12" s="1">
        <v>-40.799999999999997</v>
      </c>
      <c r="N12" s="1">
        <f>+N11*(M12/M11)</f>
        <v>-36.368335384615364</v>
      </c>
      <c r="U12" s="1">
        <v>-74.7</v>
      </c>
      <c r="V12" s="1">
        <v>-102.6</v>
      </c>
      <c r="W12" s="1">
        <v>-198.3</v>
      </c>
      <c r="X12" s="1">
        <v>-119</v>
      </c>
      <c r="Y12" s="1">
        <v>-103.4</v>
      </c>
      <c r="Z12" s="1">
        <f t="shared" si="6"/>
        <v>-131.86833538461536</v>
      </c>
      <c r="AA12" s="1">
        <f>+AA11*(Z12/Z11)</f>
        <v>-133.18701873846166</v>
      </c>
      <c r="AB12" s="1">
        <f t="shared" ref="AB12:AI12" si="15">+AB11*(AA12/AA11)</f>
        <v>-134.51888892584628</v>
      </c>
      <c r="AC12" s="1">
        <f t="shared" si="15"/>
        <v>-135.86407781510479</v>
      </c>
      <c r="AD12" s="1">
        <f t="shared" si="15"/>
        <v>-137.22271859325576</v>
      </c>
      <c r="AE12" s="1">
        <f t="shared" si="15"/>
        <v>-138.59494577918838</v>
      </c>
      <c r="AF12" s="1">
        <f t="shared" si="15"/>
        <v>-139.98089523698033</v>
      </c>
      <c r="AG12" s="1">
        <f t="shared" si="15"/>
        <v>-141.38070418935007</v>
      </c>
      <c r="AH12" s="1">
        <f t="shared" si="15"/>
        <v>-142.7945112312436</v>
      </c>
      <c r="AI12" s="1">
        <f t="shared" si="15"/>
        <v>-144.22245634355596</v>
      </c>
    </row>
    <row r="13" spans="2:235">
      <c r="B13" s="1" t="s">
        <v>24</v>
      </c>
      <c r="C13" s="1">
        <f>+SUM(C11:C12)</f>
        <v>123.99999999999994</v>
      </c>
      <c r="D13" s="1">
        <f>+SUM(D11:D12)</f>
        <v>88.600000000000009</v>
      </c>
      <c r="E13" s="1">
        <f>+SUM(E11:E12)</f>
        <v>129.09999999999991</v>
      </c>
      <c r="F13" s="1">
        <f>+X13-SUM(C13:E13)</f>
        <v>95.400000000000148</v>
      </c>
      <c r="G13" s="1">
        <f>+SUM(G11:G12)</f>
        <v>81.299999999999869</v>
      </c>
      <c r="H13" s="1">
        <f>+SUM(H11:H12)</f>
        <v>89.000000000000071</v>
      </c>
      <c r="I13" s="1">
        <f>+SUM(I11:I12)</f>
        <v>109.29999999999997</v>
      </c>
      <c r="J13" s="1">
        <f>+Y13-SUM(G13:I13)</f>
        <v>68.099999999999909</v>
      </c>
      <c r="K13" s="1">
        <f>+SUM(K11:K12)</f>
        <v>71.900000000000134</v>
      </c>
      <c r="L13" s="1">
        <f>+SUM(L11:L12)</f>
        <v>103.39999999999992</v>
      </c>
      <c r="M13" s="1">
        <f>+SUM(M11:M12)</f>
        <v>127.29999999999997</v>
      </c>
      <c r="N13" s="1">
        <f>+SUM(N11:N12)</f>
        <v>113.47277192307683</v>
      </c>
      <c r="U13" s="1">
        <f>+SUM(U11:U12)</f>
        <v>174.90000000000009</v>
      </c>
      <c r="V13" s="1">
        <f>+SUM(V11:V12)</f>
        <v>333.40000000000009</v>
      </c>
      <c r="W13" s="1">
        <f>+SUM(W11:W12)</f>
        <v>595.10000000000036</v>
      </c>
      <c r="X13" s="1">
        <f>+SUM(X11:X12)</f>
        <v>437.1</v>
      </c>
      <c r="Y13" s="1">
        <f>+SUM(Y11:Y12)</f>
        <v>347.69999999999982</v>
      </c>
      <c r="Z13" s="1">
        <f t="shared" si="6"/>
        <v>416.07277192307686</v>
      </c>
      <c r="AA13" s="1">
        <f>+SUM(AA11:AA12)</f>
        <v>420.23349964230806</v>
      </c>
      <c r="AB13" s="1">
        <f>+SUM(AB11:AB12)</f>
        <v>424.43583463873125</v>
      </c>
      <c r="AC13" s="1">
        <f t="shared" ref="AB13:AI13" si="16">+SUM(AC11:AC12)</f>
        <v>428.68019298511877</v>
      </c>
      <c r="AD13" s="1">
        <f t="shared" si="16"/>
        <v>432.96699491496963</v>
      </c>
      <c r="AE13" s="1">
        <f t="shared" si="16"/>
        <v>437.29666486411952</v>
      </c>
      <c r="AF13" s="1">
        <f t="shared" si="16"/>
        <v>441.66963151276082</v>
      </c>
      <c r="AG13" s="1">
        <f t="shared" si="16"/>
        <v>446.08632782788828</v>
      </c>
      <c r="AH13" s="1">
        <f t="shared" si="16"/>
        <v>450.54719110616725</v>
      </c>
      <c r="AI13" s="1">
        <f t="shared" si="16"/>
        <v>455.05266301722878</v>
      </c>
      <c r="AJ13" s="1">
        <f>+AI13*(1+$AL$19)</f>
        <v>450.50213638705651</v>
      </c>
      <c r="AK13" s="1">
        <f t="shared" ref="AK13:CV13" si="17">+AJ13*(1+$AL$19)</f>
        <v>445.99711502318593</v>
      </c>
      <c r="AL13" s="1">
        <f t="shared" si="17"/>
        <v>441.53714387295406</v>
      </c>
      <c r="AM13" s="1">
        <f t="shared" si="17"/>
        <v>437.12177243422451</v>
      </c>
      <c r="AN13" s="1">
        <f t="shared" si="17"/>
        <v>432.75055470988224</v>
      </c>
      <c r="AO13" s="1">
        <f t="shared" si="17"/>
        <v>428.4230491627834</v>
      </c>
      <c r="AP13" s="1">
        <f t="shared" si="17"/>
        <v>424.13881867115555</v>
      </c>
      <c r="AQ13" s="1">
        <f t="shared" si="17"/>
        <v>419.89743048444399</v>
      </c>
      <c r="AR13" s="1">
        <f t="shared" si="17"/>
        <v>415.69845617959953</v>
      </c>
      <c r="AS13" s="1">
        <f t="shared" si="17"/>
        <v>411.54147161780355</v>
      </c>
      <c r="AT13" s="1">
        <f t="shared" si="17"/>
        <v>407.42605690162549</v>
      </c>
      <c r="AU13" s="1">
        <f t="shared" si="17"/>
        <v>403.35179633260924</v>
      </c>
      <c r="AV13" s="1">
        <f t="shared" si="17"/>
        <v>399.31827836928312</v>
      </c>
      <c r="AW13" s="1">
        <f t="shared" si="17"/>
        <v>395.3250955855903</v>
      </c>
      <c r="AX13" s="1">
        <f t="shared" si="17"/>
        <v>391.37184462973443</v>
      </c>
      <c r="AY13" s="1">
        <f t="shared" si="17"/>
        <v>387.45812618343706</v>
      </c>
      <c r="AZ13" s="1">
        <f t="shared" si="17"/>
        <v>383.58354492160271</v>
      </c>
      <c r="BA13" s="1">
        <f t="shared" si="17"/>
        <v>379.7477094723867</v>
      </c>
      <c r="BB13" s="1">
        <f t="shared" si="17"/>
        <v>375.95023237766281</v>
      </c>
      <c r="BC13" s="1">
        <f t="shared" si="17"/>
        <v>372.19073005388617</v>
      </c>
      <c r="BD13" s="1">
        <f t="shared" si="17"/>
        <v>368.4688227533473</v>
      </c>
      <c r="BE13" s="1">
        <f t="shared" si="17"/>
        <v>364.78413452581384</v>
      </c>
      <c r="BF13" s="1">
        <f t="shared" si="17"/>
        <v>361.1362931805557</v>
      </c>
      <c r="BG13" s="1">
        <f t="shared" si="17"/>
        <v>357.52493024875014</v>
      </c>
      <c r="BH13" s="1">
        <f t="shared" si="17"/>
        <v>353.94968094626262</v>
      </c>
      <c r="BI13" s="1">
        <f t="shared" si="17"/>
        <v>350.41018413680001</v>
      </c>
      <c r="BJ13" s="1">
        <f t="shared" si="17"/>
        <v>346.90608229543199</v>
      </c>
      <c r="BK13" s="1">
        <f t="shared" si="17"/>
        <v>343.43702147247768</v>
      </c>
      <c r="BL13" s="1">
        <f t="shared" si="17"/>
        <v>340.00265125775292</v>
      </c>
      <c r="BM13" s="1">
        <f t="shared" si="17"/>
        <v>336.60262474517538</v>
      </c>
      <c r="BN13" s="1">
        <f t="shared" si="17"/>
        <v>333.23659849772361</v>
      </c>
      <c r="BO13" s="1">
        <f t="shared" si="17"/>
        <v>329.90423251274638</v>
      </c>
      <c r="BP13" s="1">
        <f t="shared" si="17"/>
        <v>326.60519018761892</v>
      </c>
      <c r="BQ13" s="1">
        <f t="shared" si="17"/>
        <v>323.33913828574271</v>
      </c>
      <c r="BR13" s="1">
        <f t="shared" si="17"/>
        <v>320.1057469028853</v>
      </c>
      <c r="BS13" s="1">
        <f t="shared" si="17"/>
        <v>316.90468943385645</v>
      </c>
      <c r="BT13" s="1">
        <f t="shared" si="17"/>
        <v>313.73564253951787</v>
      </c>
      <c r="BU13" s="1">
        <f t="shared" si="17"/>
        <v>310.59828611412269</v>
      </c>
      <c r="BV13" s="1">
        <f t="shared" si="17"/>
        <v>307.49230325298146</v>
      </c>
      <c r="BW13" s="1">
        <f t="shared" si="17"/>
        <v>304.41738022045166</v>
      </c>
      <c r="BX13" s="1">
        <f t="shared" si="17"/>
        <v>301.37320641824715</v>
      </c>
      <c r="BY13" s="1">
        <f t="shared" si="17"/>
        <v>298.35947435406467</v>
      </c>
      <c r="BZ13" s="1">
        <f t="shared" si="17"/>
        <v>295.37587961052401</v>
      </c>
      <c r="CA13" s="1">
        <f t="shared" si="17"/>
        <v>292.42212081441875</v>
      </c>
      <c r="CB13" s="1">
        <f t="shared" si="17"/>
        <v>289.49789960627453</v>
      </c>
      <c r="CC13" s="1">
        <f t="shared" si="17"/>
        <v>286.60292061021175</v>
      </c>
      <c r="CD13" s="1">
        <f t="shared" si="17"/>
        <v>283.73689140410966</v>
      </c>
      <c r="CE13" s="1">
        <f t="shared" si="17"/>
        <v>280.89952249006853</v>
      </c>
      <c r="CF13" s="1">
        <f t="shared" si="17"/>
        <v>278.09052726516785</v>
      </c>
      <c r="CG13" s="1">
        <f t="shared" si="17"/>
        <v>275.30962199251616</v>
      </c>
      <c r="CH13" s="1">
        <f t="shared" si="17"/>
        <v>272.55652577259099</v>
      </c>
      <c r="CI13" s="1">
        <f t="shared" si="17"/>
        <v>269.83096051486507</v>
      </c>
      <c r="CJ13" s="1">
        <f t="shared" si="17"/>
        <v>267.1326509097164</v>
      </c>
      <c r="CK13" s="1">
        <f t="shared" si="17"/>
        <v>264.46132440061922</v>
      </c>
      <c r="CL13" s="1">
        <f t="shared" si="17"/>
        <v>261.816711156613</v>
      </c>
      <c r="CM13" s="1">
        <f t="shared" si="17"/>
        <v>259.19854404504684</v>
      </c>
      <c r="CN13" s="1">
        <f t="shared" si="17"/>
        <v>256.60655860459639</v>
      </c>
      <c r="CO13" s="1">
        <f t="shared" si="17"/>
        <v>254.04049301855042</v>
      </c>
      <c r="CP13" s="1">
        <f t="shared" si="17"/>
        <v>251.50008808836492</v>
      </c>
      <c r="CQ13" s="1">
        <f t="shared" si="17"/>
        <v>248.98508720748126</v>
      </c>
      <c r="CR13" s="1">
        <f t="shared" si="17"/>
        <v>246.49523633540645</v>
      </c>
      <c r="CS13" s="1">
        <f t="shared" si="17"/>
        <v>244.03028397205239</v>
      </c>
      <c r="CT13" s="1">
        <f t="shared" si="17"/>
        <v>241.58998113233187</v>
      </c>
      <c r="CU13" s="1">
        <f t="shared" si="17"/>
        <v>239.17408132100854</v>
      </c>
      <c r="CV13" s="1">
        <f t="shared" si="17"/>
        <v>236.78234050779847</v>
      </c>
      <c r="CW13" s="1">
        <f t="shared" ref="CW13:FH13" si="18">+CV13*(1+$AL$19)</f>
        <v>234.41451710272048</v>
      </c>
      <c r="CX13" s="1">
        <f t="shared" si="18"/>
        <v>232.07037193169327</v>
      </c>
      <c r="CY13" s="1">
        <f t="shared" si="18"/>
        <v>229.74966821237635</v>
      </c>
      <c r="CZ13" s="1">
        <f t="shared" si="18"/>
        <v>227.45217153025257</v>
      </c>
      <c r="DA13" s="1">
        <f t="shared" si="18"/>
        <v>225.17764981495003</v>
      </c>
      <c r="DB13" s="1">
        <f t="shared" si="18"/>
        <v>222.92587331680053</v>
      </c>
      <c r="DC13" s="1">
        <f t="shared" si="18"/>
        <v>220.69661458363254</v>
      </c>
      <c r="DD13" s="1">
        <f t="shared" si="18"/>
        <v>218.48964843779621</v>
      </c>
      <c r="DE13" s="1">
        <f t="shared" si="18"/>
        <v>216.30475195341825</v>
      </c>
      <c r="DF13" s="1">
        <f t="shared" si="18"/>
        <v>214.14170443388406</v>
      </c>
      <c r="DG13" s="1">
        <f t="shared" si="18"/>
        <v>212.00028738954521</v>
      </c>
      <c r="DH13" s="1">
        <f t="shared" si="18"/>
        <v>209.88028451564975</v>
      </c>
      <c r="DI13" s="1">
        <f t="shared" si="18"/>
        <v>207.78148167049324</v>
      </c>
      <c r="DJ13" s="1">
        <f t="shared" si="18"/>
        <v>205.70366685378829</v>
      </c>
      <c r="DK13" s="1">
        <f t="shared" si="18"/>
        <v>203.64663018525042</v>
      </c>
      <c r="DL13" s="1">
        <f t="shared" si="18"/>
        <v>201.61016388339792</v>
      </c>
      <c r="DM13" s="1">
        <f t="shared" si="18"/>
        <v>199.59406224456393</v>
      </c>
      <c r="DN13" s="1">
        <f t="shared" si="18"/>
        <v>197.5981216221183</v>
      </c>
      <c r="DO13" s="1">
        <f t="shared" si="18"/>
        <v>195.62214040589711</v>
      </c>
      <c r="DP13" s="1">
        <f t="shared" si="18"/>
        <v>193.66591900183815</v>
      </c>
      <c r="DQ13" s="1">
        <f t="shared" si="18"/>
        <v>191.72925981181976</v>
      </c>
      <c r="DR13" s="1">
        <f t="shared" si="18"/>
        <v>189.81196721370156</v>
      </c>
      <c r="DS13" s="1">
        <f t="shared" si="18"/>
        <v>187.91384754156454</v>
      </c>
      <c r="DT13" s="1">
        <f t="shared" si="18"/>
        <v>186.03470906614888</v>
      </c>
      <c r="DU13" s="1">
        <f t="shared" si="18"/>
        <v>184.17436197548739</v>
      </c>
      <c r="DV13" s="1">
        <f t="shared" si="18"/>
        <v>182.33261835573251</v>
      </c>
      <c r="DW13" s="1">
        <f t="shared" si="18"/>
        <v>180.50929217217518</v>
      </c>
      <c r="DX13" s="1">
        <f t="shared" si="18"/>
        <v>178.70419925045343</v>
      </c>
      <c r="DY13" s="1">
        <f t="shared" si="18"/>
        <v>176.9171572579489</v>
      </c>
      <c r="DZ13" s="1">
        <f t="shared" si="18"/>
        <v>175.14798568536941</v>
      </c>
      <c r="EA13" s="1">
        <f t="shared" si="18"/>
        <v>173.3965058285157</v>
      </c>
      <c r="EB13" s="1">
        <f t="shared" si="18"/>
        <v>171.66254077023055</v>
      </c>
      <c r="EC13" s="1">
        <f t="shared" si="18"/>
        <v>169.94591536252824</v>
      </c>
      <c r="ED13" s="1">
        <f t="shared" si="18"/>
        <v>168.24645620890297</v>
      </c>
      <c r="EE13" s="1">
        <f t="shared" si="18"/>
        <v>166.56399164681395</v>
      </c>
      <c r="EF13" s="1">
        <f t="shared" si="18"/>
        <v>164.89835173034581</v>
      </c>
      <c r="EG13" s="1">
        <f t="shared" si="18"/>
        <v>163.24936821304235</v>
      </c>
      <c r="EH13" s="1">
        <f t="shared" si="18"/>
        <v>161.61687453091193</v>
      </c>
      <c r="EI13" s="1">
        <f t="shared" si="18"/>
        <v>160.0007057856028</v>
      </c>
      <c r="EJ13" s="1">
        <f t="shared" si="18"/>
        <v>158.40069872774677</v>
      </c>
      <c r="EK13" s="1">
        <f t="shared" si="18"/>
        <v>156.81669174046931</v>
      </c>
      <c r="EL13" s="1">
        <f t="shared" si="18"/>
        <v>155.24852482306463</v>
      </c>
      <c r="EM13" s="1">
        <f t="shared" si="18"/>
        <v>153.69603957483397</v>
      </c>
      <c r="EN13" s="1">
        <f t="shared" si="18"/>
        <v>152.15907917908564</v>
      </c>
      <c r="EO13" s="1">
        <f t="shared" si="18"/>
        <v>150.63748838729478</v>
      </c>
      <c r="EP13" s="1">
        <f t="shared" si="18"/>
        <v>149.13111350342183</v>
      </c>
      <c r="EQ13" s="1">
        <f t="shared" si="18"/>
        <v>147.63980236838762</v>
      </c>
      <c r="ER13" s="1">
        <f t="shared" si="18"/>
        <v>146.16340434470374</v>
      </c>
      <c r="ES13" s="1">
        <f t="shared" si="18"/>
        <v>144.70177030125669</v>
      </c>
      <c r="ET13" s="1">
        <f t="shared" si="18"/>
        <v>143.25475259824412</v>
      </c>
      <c r="EU13" s="1">
        <f t="shared" si="18"/>
        <v>141.82220507226168</v>
      </c>
      <c r="EV13" s="1">
        <f t="shared" si="18"/>
        <v>140.40398302153906</v>
      </c>
      <c r="EW13" s="1">
        <f t="shared" si="18"/>
        <v>138.99994319132367</v>
      </c>
      <c r="EX13" s="1">
        <f t="shared" si="18"/>
        <v>137.60994375941044</v>
      </c>
      <c r="EY13" s="1">
        <f t="shared" si="18"/>
        <v>136.23384432181635</v>
      </c>
      <c r="EZ13" s="1">
        <f t="shared" si="18"/>
        <v>134.87150587859819</v>
      </c>
      <c r="FA13" s="1">
        <f t="shared" si="18"/>
        <v>133.5227908198122</v>
      </c>
      <c r="FB13" s="1">
        <f t="shared" si="18"/>
        <v>132.18756291161407</v>
      </c>
      <c r="FC13" s="1">
        <f t="shared" si="18"/>
        <v>130.86568728249793</v>
      </c>
      <c r="FD13" s="1">
        <f t="shared" si="18"/>
        <v>129.55703040967296</v>
      </c>
      <c r="FE13" s="1">
        <f t="shared" si="18"/>
        <v>128.26146010557622</v>
      </c>
      <c r="FF13" s="1">
        <f t="shared" si="18"/>
        <v>126.97884550452045</v>
      </c>
      <c r="FG13" s="1">
        <f t="shared" si="18"/>
        <v>125.70905704947525</v>
      </c>
      <c r="FH13" s="1">
        <f t="shared" si="18"/>
        <v>124.45196647898049</v>
      </c>
      <c r="FI13" s="1">
        <f t="shared" ref="FI13:HT13" si="19">+FH13*(1+$AL$19)</f>
        <v>123.20744681419069</v>
      </c>
      <c r="FJ13" s="1">
        <f t="shared" si="19"/>
        <v>121.97537234604879</v>
      </c>
      <c r="FK13" s="1">
        <f t="shared" si="19"/>
        <v>120.7556186225883</v>
      </c>
      <c r="FL13" s="1">
        <f t="shared" si="19"/>
        <v>119.54806243636241</v>
      </c>
      <c r="FM13" s="1">
        <f t="shared" si="19"/>
        <v>118.35258181199879</v>
      </c>
      <c r="FN13" s="1">
        <f t="shared" si="19"/>
        <v>117.1690559938788</v>
      </c>
      <c r="FO13" s="1">
        <f t="shared" si="19"/>
        <v>115.99736543394</v>
      </c>
      <c r="FP13" s="1">
        <f t="shared" si="19"/>
        <v>114.83739177960061</v>
      </c>
      <c r="FQ13" s="1">
        <f t="shared" si="19"/>
        <v>113.6890178618046</v>
      </c>
      <c r="FR13" s="1">
        <f t="shared" si="19"/>
        <v>112.55212768318655</v>
      </c>
      <c r="FS13" s="1">
        <f t="shared" si="19"/>
        <v>111.42660640635469</v>
      </c>
      <c r="FT13" s="1">
        <f t="shared" si="19"/>
        <v>110.31234034229115</v>
      </c>
      <c r="FU13" s="1">
        <f t="shared" si="19"/>
        <v>109.20921693886824</v>
      </c>
      <c r="FV13" s="1">
        <f t="shared" si="19"/>
        <v>108.11712476947956</v>
      </c>
      <c r="FW13" s="1">
        <f t="shared" si="19"/>
        <v>107.03595352178476</v>
      </c>
      <c r="FX13" s="1">
        <f t="shared" si="19"/>
        <v>105.96559398656692</v>
      </c>
      <c r="FY13" s="1">
        <f t="shared" si="19"/>
        <v>104.90593804670125</v>
      </c>
      <c r="FZ13" s="1">
        <f t="shared" si="19"/>
        <v>103.85687866623424</v>
      </c>
      <c r="GA13" s="1">
        <f t="shared" si="19"/>
        <v>102.8183098795719</v>
      </c>
      <c r="GB13" s="1">
        <f t="shared" si="19"/>
        <v>101.79012678077618</v>
      </c>
      <c r="GC13" s="1">
        <f t="shared" si="19"/>
        <v>100.77222551296842</v>
      </c>
      <c r="GD13" s="1">
        <f t="shared" si="19"/>
        <v>99.76450325783874</v>
      </c>
      <c r="GE13" s="1">
        <f t="shared" si="19"/>
        <v>98.76685822526035</v>
      </c>
      <c r="GF13" s="1">
        <f t="shared" si="19"/>
        <v>97.77918964300774</v>
      </c>
      <c r="GG13" s="1">
        <f t="shared" si="19"/>
        <v>96.801397746577663</v>
      </c>
      <c r="GH13" s="1">
        <f t="shared" si="19"/>
        <v>95.83338376911189</v>
      </c>
      <c r="GI13" s="1">
        <f t="shared" si="19"/>
        <v>94.875049931420776</v>
      </c>
      <c r="GJ13" s="1">
        <f t="shared" si="19"/>
        <v>93.926299432106561</v>
      </c>
      <c r="GK13" s="1">
        <f t="shared" si="19"/>
        <v>92.987036437785491</v>
      </c>
      <c r="GL13" s="1">
        <f t="shared" si="19"/>
        <v>92.057166073407629</v>
      </c>
      <c r="GM13" s="1">
        <f t="shared" si="19"/>
        <v>91.136594412673546</v>
      </c>
      <c r="GN13" s="1">
        <f t="shared" si="19"/>
        <v>90.225228468546803</v>
      </c>
      <c r="GO13" s="1">
        <f t="shared" si="19"/>
        <v>89.322976183861329</v>
      </c>
      <c r="GP13" s="1">
        <f t="shared" si="19"/>
        <v>88.429746422022717</v>
      </c>
      <c r="GQ13" s="1">
        <f t="shared" si="19"/>
        <v>87.545448957802492</v>
      </c>
      <c r="GR13" s="1">
        <f t="shared" si="19"/>
        <v>86.669994468224459</v>
      </c>
      <c r="GS13" s="1">
        <f t="shared" si="19"/>
        <v>85.80329452354222</v>
      </c>
      <c r="GT13" s="1">
        <f t="shared" si="19"/>
        <v>84.945261578306798</v>
      </c>
      <c r="GU13" s="1">
        <f t="shared" si="19"/>
        <v>84.095808962523733</v>
      </c>
      <c r="GV13" s="1">
        <f t="shared" si="19"/>
        <v>83.254850872898501</v>
      </c>
      <c r="GW13" s="1">
        <f t="shared" si="19"/>
        <v>82.422302364169511</v>
      </c>
      <c r="GX13" s="1">
        <f t="shared" si="19"/>
        <v>81.598079340527818</v>
      </c>
      <c r="GY13" s="1">
        <f t="shared" si="19"/>
        <v>80.782098547122544</v>
      </c>
      <c r="GZ13" s="1">
        <f t="shared" si="19"/>
        <v>79.97427756165132</v>
      </c>
      <c r="HA13" s="1">
        <f t="shared" si="19"/>
        <v>79.174534786034812</v>
      </c>
      <c r="HB13" s="1">
        <f t="shared" si="19"/>
        <v>78.38278943817447</v>
      </c>
      <c r="HC13" s="1">
        <f t="shared" si="19"/>
        <v>77.598961543792726</v>
      </c>
      <c r="HD13" s="1">
        <f t="shared" si="19"/>
        <v>76.822971928354804</v>
      </c>
      <c r="HE13" s="1">
        <f t="shared" si="19"/>
        <v>76.05474220907125</v>
      </c>
      <c r="HF13" s="1">
        <f t="shared" si="19"/>
        <v>75.29419478698054</v>
      </c>
      <c r="HG13" s="1">
        <f t="shared" si="19"/>
        <v>74.54125283911074</v>
      </c>
      <c r="HH13" s="1">
        <f t="shared" si="19"/>
        <v>73.795840310719626</v>
      </c>
      <c r="HI13" s="1">
        <f t="shared" si="19"/>
        <v>73.057881907612426</v>
      </c>
      <c r="HJ13" s="1">
        <f t="shared" si="19"/>
        <v>72.327303088536297</v>
      </c>
      <c r="HK13" s="1">
        <f t="shared" si="19"/>
        <v>71.604030057650931</v>
      </c>
      <c r="HL13" s="1">
        <f t="shared" si="19"/>
        <v>70.887989757074422</v>
      </c>
      <c r="HM13" s="1">
        <f t="shared" si="19"/>
        <v>70.179109859503683</v>
      </c>
      <c r="HN13" s="1">
        <f t="shared" si="19"/>
        <v>69.477318760908645</v>
      </c>
      <c r="HO13" s="1">
        <f t="shared" si="19"/>
        <v>68.782545573299558</v>
      </c>
      <c r="HP13" s="1">
        <f t="shared" si="19"/>
        <v>68.094720117566567</v>
      </c>
      <c r="HQ13" s="1">
        <f t="shared" si="19"/>
        <v>67.413772916390897</v>
      </c>
      <c r="HR13" s="1">
        <f t="shared" si="19"/>
        <v>66.739635187226995</v>
      </c>
      <c r="HS13" s="1">
        <f t="shared" si="19"/>
        <v>66.072238835354725</v>
      </c>
      <c r="HT13" s="1">
        <f t="shared" si="19"/>
        <v>65.411516447001176</v>
      </c>
      <c r="HU13" s="1">
        <f t="shared" ref="HU13:IA13" si="20">+HT13*(1+$AL$19)</f>
        <v>64.757401282531163</v>
      </c>
      <c r="HV13" s="1">
        <f t="shared" si="20"/>
        <v>64.109827269705846</v>
      </c>
      <c r="HW13" s="1">
        <f t="shared" si="20"/>
        <v>63.468728997008789</v>
      </c>
      <c r="HX13" s="1">
        <f t="shared" si="20"/>
        <v>62.834041707038701</v>
      </c>
      <c r="HY13" s="1">
        <f t="shared" si="20"/>
        <v>62.20570128996831</v>
      </c>
      <c r="HZ13" s="1">
        <f t="shared" si="20"/>
        <v>61.583644277068629</v>
      </c>
      <c r="IA13" s="1">
        <f t="shared" si="20"/>
        <v>60.967807834297943</v>
      </c>
    </row>
    <row r="14" spans="2:235">
      <c r="B14" s="1" t="s">
        <v>25</v>
      </c>
    </row>
    <row r="16" spans="2:235" s="5" customFormat="1">
      <c r="B16" s="5" t="s">
        <v>27</v>
      </c>
      <c r="G16" s="5">
        <f>+G4/C4-1</f>
        <v>-2.5332795482049253E-2</v>
      </c>
      <c r="H16" s="5">
        <f t="shared" ref="H16:J16" si="21">+H4/D4-1</f>
        <v>4.8472336911643321E-2</v>
      </c>
      <c r="I16" s="5">
        <f t="shared" si="21"/>
        <v>-4.831294319333046E-3</v>
      </c>
      <c r="J16" s="5">
        <f t="shared" si="21"/>
        <v>-1.4232777497052429E-2</v>
      </c>
      <c r="K16" s="5">
        <f>+K4/G4-1</f>
        <v>-1.5478851088485901E-2</v>
      </c>
      <c r="L16" s="5">
        <f>+L4/H4-1</f>
        <v>-2.8431913050326996E-2</v>
      </c>
      <c r="M16" s="5">
        <f>+M4/I4-1</f>
        <v>1.7931250489390038E-2</v>
      </c>
      <c r="N16" s="5">
        <f>+N4/J4-1</f>
        <v>-9.9999999999998979E-3</v>
      </c>
      <c r="V16" s="5">
        <f>+V4/U4-1</f>
        <v>0.18380553766902774</v>
      </c>
      <c r="W16" s="5">
        <f>+W4/V4-1</f>
        <v>0.34102096875084986</v>
      </c>
      <c r="X16" s="5">
        <f>+X4/W4-1</f>
        <v>-1.9469457288878722E-3</v>
      </c>
      <c r="Y16" s="5">
        <f>+Y4/X4-1</f>
        <v>8.5345037795647727E-4</v>
      </c>
      <c r="Z16" s="5">
        <f>+Z4/Y4-1</f>
        <v>-8.8530880740649298E-3</v>
      </c>
      <c r="AA16" s="5">
        <f>+AA4/Z4-1</f>
        <v>1.0000000000000009E-2</v>
      </c>
      <c r="AB16" s="5">
        <f>+AB4/AA4-1</f>
        <v>1.0000000000000009E-2</v>
      </c>
      <c r="AC16" s="5">
        <f>+AC4/AB4-1</f>
        <v>1.0000000000000009E-2</v>
      </c>
      <c r="AD16" s="5">
        <f>+AD4/AC4-1</f>
        <v>1.0000000000000009E-2</v>
      </c>
      <c r="AE16" s="5">
        <f>+AE4/AD4-1</f>
        <v>1.0000000000000009E-2</v>
      </c>
      <c r="AF16" s="5">
        <f>+AF4/AE4-1</f>
        <v>1.0000000000000009E-2</v>
      </c>
      <c r="AG16" s="5">
        <f>+AG4/AF4-1</f>
        <v>1.0000000000000009E-2</v>
      </c>
      <c r="AH16" s="5">
        <f>+AH4/AG4-1</f>
        <v>1.0000000000000009E-2</v>
      </c>
      <c r="AI16" s="5">
        <f>+AI4/AH4-1</f>
        <v>1.0000000000000009E-2</v>
      </c>
    </row>
    <row r="17" spans="2:38" s="4" customFormat="1">
      <c r="B17" s="4" t="s">
        <v>29</v>
      </c>
      <c r="C17" s="4">
        <f>+C6/C4</f>
        <v>0.42178297700685757</v>
      </c>
      <c r="D17" s="4">
        <f t="shared" ref="D17:M17" si="22">+D6/D4</f>
        <v>0.40999174236168456</v>
      </c>
      <c r="E17" s="4">
        <f t="shared" si="22"/>
        <v>0.42164731551468865</v>
      </c>
      <c r="F17" s="4">
        <f t="shared" si="22"/>
        <v>0.41199258884958728</v>
      </c>
      <c r="G17" s="4">
        <f t="shared" si="22"/>
        <v>0.41379024915156021</v>
      </c>
      <c r="H17" s="4">
        <f t="shared" si="22"/>
        <v>0.42710876585020086</v>
      </c>
      <c r="I17" s="4">
        <f t="shared" si="22"/>
        <v>0.44922089108135616</v>
      </c>
      <c r="J17" s="4">
        <f t="shared" si="22"/>
        <v>0.43810337462622806</v>
      </c>
      <c r="K17" s="4">
        <f t="shared" si="22"/>
        <v>0.43097360013452168</v>
      </c>
      <c r="L17" s="4">
        <f t="shared" si="22"/>
        <v>0.44925421530479892</v>
      </c>
      <c r="M17" s="4">
        <f t="shared" si="22"/>
        <v>0.45376923076923076</v>
      </c>
      <c r="N17" s="4">
        <f t="shared" ref="N17" si="23">+N6/N4</f>
        <v>0.4537692307692307</v>
      </c>
      <c r="U17" s="4">
        <f t="shared" ref="U17:Y17" si="24">+U6/U4</f>
        <v>0.43213135866065683</v>
      </c>
      <c r="V17" s="4">
        <f t="shared" si="24"/>
        <v>0.44559275476624333</v>
      </c>
      <c r="W17" s="4">
        <f t="shared" si="24"/>
        <v>0.43779914009896981</v>
      </c>
      <c r="X17" s="4">
        <f t="shared" si="24"/>
        <v>0.41648378444281881</v>
      </c>
      <c r="Y17" s="4">
        <f t="shared" si="24"/>
        <v>0.43218824867015876</v>
      </c>
      <c r="Z17" s="4">
        <f t="shared" ref="Z17:AI17" si="25">+Z6/Z4</f>
        <v>0.44707438877896977</v>
      </c>
      <c r="AA17" s="4">
        <f t="shared" si="25"/>
        <v>0.44707438877896988</v>
      </c>
      <c r="AB17" s="4">
        <f t="shared" si="25"/>
        <v>0.44707438877896988</v>
      </c>
      <c r="AC17" s="4">
        <f t="shared" si="25"/>
        <v>0.44707438877896988</v>
      </c>
      <c r="AD17" s="4">
        <f t="shared" si="25"/>
        <v>0.44707438877896982</v>
      </c>
      <c r="AE17" s="4">
        <f t="shared" si="25"/>
        <v>0.44707438877896988</v>
      </c>
      <c r="AF17" s="4">
        <f t="shared" si="25"/>
        <v>0.44707438877896993</v>
      </c>
      <c r="AG17" s="4">
        <f t="shared" si="25"/>
        <v>0.44707438877896988</v>
      </c>
      <c r="AH17" s="4">
        <f t="shared" si="25"/>
        <v>0.44707438877896988</v>
      </c>
      <c r="AI17" s="4">
        <f t="shared" si="25"/>
        <v>0.44707438877896982</v>
      </c>
    </row>
    <row r="18" spans="2:38">
      <c r="B18" s="6" t="s">
        <v>30</v>
      </c>
    </row>
    <row r="19" spans="2:38" s="7" customFormat="1">
      <c r="B19" s="8" t="s">
        <v>58</v>
      </c>
      <c r="J19" s="7">
        <f>+J20-J35-J37</f>
        <v>-2497</v>
      </c>
      <c r="K19" s="7">
        <f>+K20-K35-K37</f>
        <v>-2481.2000000000003</v>
      </c>
      <c r="L19" s="7">
        <f>+L20-L35-L37</f>
        <v>-2390.6999999999998</v>
      </c>
      <c r="M19" s="7">
        <f>+M20-M35-M37</f>
        <v>-2169.2999999999997</v>
      </c>
      <c r="AK19" s="7" t="s">
        <v>66</v>
      </c>
      <c r="AL19" s="5">
        <v>-0.01</v>
      </c>
    </row>
    <row r="20" spans="2:38">
      <c r="B20" s="1" t="s">
        <v>34</v>
      </c>
      <c r="J20" s="1">
        <v>74.900000000000006</v>
      </c>
      <c r="K20" s="1">
        <v>92.5</v>
      </c>
      <c r="L20" s="1">
        <v>95.8</v>
      </c>
      <c r="M20" s="1">
        <v>104.2</v>
      </c>
      <c r="AK20" s="1" t="s">
        <v>67</v>
      </c>
      <c r="AL20" s="4">
        <v>7.0000000000000007E-2</v>
      </c>
    </row>
    <row r="21" spans="2:38">
      <c r="B21" s="1" t="s">
        <v>35</v>
      </c>
      <c r="J21" s="1">
        <v>431.4</v>
      </c>
      <c r="K21" s="1">
        <v>483.6</v>
      </c>
      <c r="L21" s="1">
        <v>474</v>
      </c>
      <c r="M21" s="1">
        <v>467.6</v>
      </c>
      <c r="AK21" s="1" t="s">
        <v>68</v>
      </c>
      <c r="AL21" s="1">
        <f>NPV(AL20,Z13:IA13)</f>
        <v>5903.2186140428494</v>
      </c>
    </row>
    <row r="22" spans="2:38">
      <c r="B22" s="1" t="s">
        <v>36</v>
      </c>
      <c r="J22" s="1">
        <v>483.1</v>
      </c>
      <c r="K22" s="1">
        <v>489.6</v>
      </c>
      <c r="L22" s="1">
        <v>507.4</v>
      </c>
      <c r="M22" s="1">
        <v>496.2</v>
      </c>
      <c r="AK22" s="1" t="s">
        <v>58</v>
      </c>
      <c r="AL22" s="1">
        <f>+Main!H7-Main!H8</f>
        <v>-2169.3000000000002</v>
      </c>
    </row>
    <row r="23" spans="2:38">
      <c r="B23" s="1" t="s">
        <v>37</v>
      </c>
      <c r="J23" s="1">
        <v>113.8</v>
      </c>
      <c r="K23" s="1">
        <v>96.2</v>
      </c>
      <c r="L23" s="1">
        <v>84.5</v>
      </c>
      <c r="M23" s="1">
        <v>87.3</v>
      </c>
      <c r="AK23" s="1" t="s">
        <v>69</v>
      </c>
      <c r="AL23" s="1">
        <f>+SUM(AL21:AL22)</f>
        <v>3733.9186140428492</v>
      </c>
    </row>
    <row r="24" spans="2:38">
      <c r="B24" s="1" t="s">
        <v>38</v>
      </c>
      <c r="J24" s="1">
        <v>878.3</v>
      </c>
      <c r="K24" s="1">
        <v>875.8</v>
      </c>
      <c r="L24" s="1">
        <v>867.6</v>
      </c>
      <c r="M24" s="1">
        <v>843.8</v>
      </c>
      <c r="AK24" s="1" t="s">
        <v>70</v>
      </c>
      <c r="AL24" s="1">
        <f>+Main!H5</f>
        <v>173.65287000000001</v>
      </c>
    </row>
    <row r="25" spans="2:38">
      <c r="B25" s="1" t="s">
        <v>39</v>
      </c>
      <c r="J25" s="1">
        <v>1083.3</v>
      </c>
      <c r="K25" s="1">
        <v>1077.2</v>
      </c>
      <c r="L25" s="1">
        <v>1076</v>
      </c>
      <c r="M25" s="1">
        <v>1097.3</v>
      </c>
      <c r="AK25" s="1" t="s">
        <v>71</v>
      </c>
      <c r="AL25" s="1">
        <f>+AL23/AL24</f>
        <v>21.502199267094458</v>
      </c>
    </row>
    <row r="26" spans="2:38">
      <c r="B26" s="1" t="s">
        <v>40</v>
      </c>
      <c r="J26" s="1">
        <v>714.8</v>
      </c>
      <c r="K26" s="1">
        <v>710.3</v>
      </c>
      <c r="L26" s="1">
        <v>708.2</v>
      </c>
      <c r="M26" s="1">
        <v>714.6</v>
      </c>
      <c r="AK26" s="1" t="s">
        <v>72</v>
      </c>
      <c r="AL26" s="1">
        <f>+Main!H4</f>
        <v>60.07</v>
      </c>
    </row>
    <row r="27" spans="2:38">
      <c r="B27" s="1" t="s">
        <v>41</v>
      </c>
      <c r="J27" s="1">
        <v>636.5</v>
      </c>
      <c r="K27" s="1">
        <v>619.70000000000005</v>
      </c>
      <c r="L27" s="1">
        <v>618.5</v>
      </c>
      <c r="M27" s="1">
        <v>617.6</v>
      </c>
      <c r="AK27" s="1" t="s">
        <v>73</v>
      </c>
      <c r="AL27" s="4">
        <f>+AL25/AL26-1</f>
        <v>-0.64204762332121756</v>
      </c>
    </row>
    <row r="28" spans="2:38">
      <c r="B28" s="1" t="s">
        <v>42</v>
      </c>
      <c r="J28" s="1">
        <v>15.6</v>
      </c>
      <c r="K28" s="1">
        <v>15.4</v>
      </c>
      <c r="L28" s="1">
        <v>14.5</v>
      </c>
      <c r="M28" s="1">
        <v>14.2</v>
      </c>
    </row>
    <row r="29" spans="2:38">
      <c r="B29" s="1" t="s">
        <v>43</v>
      </c>
      <c r="J29" s="1">
        <v>122.2</v>
      </c>
      <c r="K29" s="1">
        <v>125.5</v>
      </c>
      <c r="L29" s="1">
        <v>131.5</v>
      </c>
      <c r="M29" s="1">
        <v>125.2</v>
      </c>
    </row>
    <row r="30" spans="2:38" s="7" customFormat="1">
      <c r="B30" s="7" t="s">
        <v>44</v>
      </c>
      <c r="J30" s="7">
        <f>+SUM(J20:J29)</f>
        <v>4553.9000000000005</v>
      </c>
      <c r="K30" s="7">
        <f>+SUM(K20:K29)</f>
        <v>4585.7999999999993</v>
      </c>
      <c r="L30" s="7">
        <f>+SUM(L20:L29)</f>
        <v>4578</v>
      </c>
      <c r="M30" s="7">
        <f>+SUM(M20:M29)</f>
        <v>4567.9999999999991</v>
      </c>
    </row>
    <row r="32" spans="2:38">
      <c r="B32" s="1" t="s">
        <v>45</v>
      </c>
      <c r="J32" s="1">
        <v>311.3</v>
      </c>
      <c r="K32" s="1">
        <v>345.2</v>
      </c>
      <c r="L32" s="1">
        <v>353.3</v>
      </c>
      <c r="M32" s="1">
        <v>346.8</v>
      </c>
    </row>
    <row r="33" spans="2:13">
      <c r="B33" s="1" t="s">
        <v>46</v>
      </c>
      <c r="J33" s="1">
        <v>427.1</v>
      </c>
      <c r="K33" s="1">
        <v>434.2</v>
      </c>
      <c r="L33" s="1">
        <v>415.2</v>
      </c>
      <c r="M33" s="1">
        <v>466.8</v>
      </c>
    </row>
    <row r="34" spans="2:13">
      <c r="B34" s="1" t="s">
        <v>47</v>
      </c>
      <c r="J34" s="1">
        <v>119.6</v>
      </c>
      <c r="K34" s="1">
        <v>121.5</v>
      </c>
      <c r="L34" s="1">
        <v>125.8</v>
      </c>
      <c r="M34" s="1">
        <v>129.9</v>
      </c>
    </row>
    <row r="35" spans="2:13">
      <c r="B35" s="1" t="s">
        <v>48</v>
      </c>
      <c r="J35" s="1">
        <v>44.9</v>
      </c>
      <c r="K35" s="1">
        <v>47.3</v>
      </c>
      <c r="L35" s="1">
        <v>48.4</v>
      </c>
      <c r="M35" s="1">
        <v>46.4</v>
      </c>
    </row>
    <row r="36" spans="2:13">
      <c r="B36" s="1" t="s">
        <v>49</v>
      </c>
      <c r="J36" s="1">
        <v>5.3</v>
      </c>
      <c r="K36" s="1">
        <v>10</v>
      </c>
      <c r="L36" s="1">
        <v>15.1</v>
      </c>
      <c r="M36" s="1">
        <v>21.9</v>
      </c>
    </row>
    <row r="37" spans="2:13">
      <c r="B37" s="1" t="s">
        <v>50</v>
      </c>
      <c r="J37" s="1">
        <v>2527</v>
      </c>
      <c r="K37" s="1">
        <v>2526.4</v>
      </c>
      <c r="L37" s="1">
        <v>2438.1</v>
      </c>
      <c r="M37" s="1">
        <v>2227.1</v>
      </c>
    </row>
    <row r="38" spans="2:13">
      <c r="B38" s="1" t="s">
        <v>51</v>
      </c>
      <c r="J38" s="1">
        <v>574.79999999999995</v>
      </c>
      <c r="K38" s="1">
        <v>558</v>
      </c>
      <c r="L38" s="1">
        <v>552.9</v>
      </c>
      <c r="M38" s="1">
        <v>548.70000000000005</v>
      </c>
    </row>
    <row r="39" spans="2:13">
      <c r="B39" s="1" t="s">
        <v>52</v>
      </c>
      <c r="J39" s="1">
        <v>127.9</v>
      </c>
      <c r="K39" s="1">
        <v>127.2</v>
      </c>
      <c r="L39" s="1">
        <v>127.1</v>
      </c>
      <c r="M39" s="1">
        <v>128.9</v>
      </c>
    </row>
    <row r="40" spans="2:13">
      <c r="B40" s="1" t="s">
        <v>53</v>
      </c>
      <c r="J40" s="1">
        <v>82.6</v>
      </c>
      <c r="K40" s="1">
        <v>80.599999999999994</v>
      </c>
      <c r="L40" s="1">
        <v>81.400000000000006</v>
      </c>
      <c r="M40" s="1">
        <v>78.3</v>
      </c>
    </row>
    <row r="41" spans="2:13">
      <c r="B41" s="1" t="s">
        <v>54</v>
      </c>
      <c r="J41" s="1">
        <f>+SUM(J32:J40)</f>
        <v>4220.5</v>
      </c>
      <c r="K41" s="1">
        <f>+SUM(K32:K40)</f>
        <v>4250.4000000000005</v>
      </c>
      <c r="L41" s="1">
        <f>+SUM(L32:L40)</f>
        <v>4157.2999999999993</v>
      </c>
      <c r="M41" s="1">
        <f>+SUM(M32:M40)</f>
        <v>3994.7999999999997</v>
      </c>
    </row>
    <row r="42" spans="2:13">
      <c r="B42" s="1" t="s">
        <v>56</v>
      </c>
      <c r="J42" s="1">
        <v>10</v>
      </c>
      <c r="K42" s="1">
        <v>8.8000000000000007</v>
      </c>
      <c r="L42" s="1">
        <v>8.9</v>
      </c>
      <c r="M42" s="1">
        <v>8.6999999999999993</v>
      </c>
    </row>
    <row r="43" spans="2:13">
      <c r="B43" s="1" t="s">
        <v>55</v>
      </c>
      <c r="J43" s="1">
        <v>323.39999999999998</v>
      </c>
      <c r="K43" s="1">
        <v>326.60000000000002</v>
      </c>
      <c r="L43" s="1">
        <v>411.8</v>
      </c>
      <c r="M43" s="1">
        <v>564.5</v>
      </c>
    </row>
    <row r="44" spans="2:13" s="7" customFormat="1">
      <c r="B44" s="7" t="s">
        <v>57</v>
      </c>
      <c r="J44" s="7">
        <f>+SUM(J41:J43)</f>
        <v>4553.8999999999996</v>
      </c>
      <c r="K44" s="7">
        <f>+SUM(K41:K43)</f>
        <v>4585.8000000000011</v>
      </c>
      <c r="L44" s="7">
        <f>+SUM(L41:L43)</f>
        <v>4577.9999999999991</v>
      </c>
      <c r="M44" s="7">
        <f>+SUM(M41:M43)</f>
        <v>4568</v>
      </c>
    </row>
    <row r="48" spans="2:13">
      <c r="B48" s="1" t="s">
        <v>59</v>
      </c>
      <c r="C48" s="1">
        <v>85.6</v>
      </c>
      <c r="D48" s="1">
        <f>66.5-SUM(C48)</f>
        <v>-19.099999999999994</v>
      </c>
      <c r="E48" s="1">
        <f>283.5-SUM(C48:D48)</f>
        <v>217</v>
      </c>
      <c r="F48" s="1">
        <f>378.8-SUM(C48:E48)</f>
        <v>95.300000000000011</v>
      </c>
      <c r="G48" s="1">
        <v>99.8</v>
      </c>
      <c r="H48" s="1">
        <f>250.5-G48</f>
        <v>150.69999999999999</v>
      </c>
      <c r="I48" s="1">
        <f>479.2-SUM(G48:H48)</f>
        <v>228.7</v>
      </c>
      <c r="J48" s="1">
        <f>570.3-SUM(G48:I48)</f>
        <v>91.099999999999966</v>
      </c>
      <c r="K48" s="1">
        <v>130.19999999999999</v>
      </c>
      <c r="L48" s="1">
        <f>280.8-K48</f>
        <v>150.60000000000002</v>
      </c>
      <c r="M48" s="1">
        <f>537.4-SUM(K48:L48)</f>
        <v>256.59999999999997</v>
      </c>
    </row>
    <row r="49" spans="2:13">
      <c r="B49" s="1" t="s">
        <v>60</v>
      </c>
      <c r="C49" s="1">
        <v>-60.3</v>
      </c>
      <c r="D49" s="1">
        <f>+-130.2-C49</f>
        <v>-69.899999999999991</v>
      </c>
      <c r="E49" s="1">
        <f>+-216-SUM(C49:D49)</f>
        <v>-85.800000000000011</v>
      </c>
      <c r="F49" s="1">
        <f>+-306.5-SUM(C49:E49)</f>
        <v>-90.5</v>
      </c>
      <c r="G49" s="1">
        <v>-52.1</v>
      </c>
      <c r="H49" s="1">
        <f>+-112.7-G49</f>
        <v>-60.6</v>
      </c>
      <c r="I49" s="1">
        <f>+-153.3-SUM(G49:H49)</f>
        <v>-40.600000000000009</v>
      </c>
      <c r="J49" s="1">
        <f>+-185.4-SUM(G49:I49)</f>
        <v>-32.099999999999994</v>
      </c>
      <c r="K49" s="1">
        <v>-31.5</v>
      </c>
      <c r="L49" s="1">
        <f>-60-K49</f>
        <v>-28.5</v>
      </c>
      <c r="M49" s="1">
        <f>+-76.4-SUM(K49:L49)</f>
        <v>-16.400000000000006</v>
      </c>
    </row>
    <row r="50" spans="2:13" s="7" customFormat="1">
      <c r="B50" s="7" t="s">
        <v>61</v>
      </c>
      <c r="C50" s="7">
        <f t="shared" ref="C50:L50" si="26">+SUM(C48:C49)</f>
        <v>25.299999999999997</v>
      </c>
      <c r="D50" s="7">
        <f t="shared" si="26"/>
        <v>-88.999999999999986</v>
      </c>
      <c r="E50" s="7">
        <f t="shared" si="26"/>
        <v>131.19999999999999</v>
      </c>
      <c r="F50" s="7">
        <f t="shared" si="26"/>
        <v>4.8000000000000114</v>
      </c>
      <c r="G50" s="7">
        <f t="shared" si="26"/>
        <v>47.699999999999996</v>
      </c>
      <c r="H50" s="7">
        <f t="shared" si="26"/>
        <v>90.1</v>
      </c>
      <c r="I50" s="7">
        <f t="shared" si="26"/>
        <v>188.09999999999997</v>
      </c>
      <c r="J50" s="7">
        <f t="shared" si="26"/>
        <v>58.999999999999972</v>
      </c>
      <c r="K50" s="7">
        <f t="shared" si="26"/>
        <v>98.699999999999989</v>
      </c>
      <c r="L50" s="7">
        <f t="shared" si="26"/>
        <v>122.10000000000002</v>
      </c>
      <c r="M50" s="7">
        <f>+SUM(M48:M49)</f>
        <v>240.19999999999996</v>
      </c>
    </row>
    <row r="51" spans="2:13">
      <c r="B51" s="1" t="s">
        <v>62</v>
      </c>
      <c r="C51" s="1">
        <f>+C13</f>
        <v>123.99999999999994</v>
      </c>
      <c r="D51" s="1">
        <f t="shared" ref="D51:M51" si="27">+D13</f>
        <v>88.600000000000009</v>
      </c>
      <c r="E51" s="1">
        <f t="shared" si="27"/>
        <v>129.09999999999991</v>
      </c>
      <c r="F51" s="1">
        <f t="shared" si="27"/>
        <v>95.400000000000148</v>
      </c>
      <c r="G51" s="1">
        <f t="shared" si="27"/>
        <v>81.299999999999869</v>
      </c>
      <c r="H51" s="1">
        <f t="shared" si="27"/>
        <v>89.000000000000071</v>
      </c>
      <c r="I51" s="1">
        <f t="shared" si="27"/>
        <v>109.29999999999997</v>
      </c>
      <c r="J51" s="1">
        <f t="shared" si="27"/>
        <v>68.099999999999909</v>
      </c>
      <c r="K51" s="1">
        <f t="shared" si="27"/>
        <v>71.900000000000134</v>
      </c>
      <c r="L51" s="1">
        <f t="shared" si="27"/>
        <v>103.39999999999992</v>
      </c>
      <c r="M51" s="1">
        <f t="shared" si="27"/>
        <v>127.29999999999997</v>
      </c>
    </row>
    <row r="53" spans="2:13">
      <c r="B53" s="1" t="s">
        <v>63</v>
      </c>
      <c r="F53" s="1">
        <f t="shared" ref="F53:L53" si="28">SUM(C50:F50)</f>
        <v>72.300000000000011</v>
      </c>
      <c r="G53" s="1">
        <f t="shared" si="28"/>
        <v>94.700000000000017</v>
      </c>
      <c r="H53" s="1">
        <f t="shared" si="28"/>
        <v>273.79999999999995</v>
      </c>
      <c r="I53" s="1">
        <f t="shared" si="28"/>
        <v>330.69999999999993</v>
      </c>
      <c r="J53" s="1">
        <f t="shared" si="28"/>
        <v>384.9</v>
      </c>
      <c r="K53" s="1">
        <f t="shared" si="28"/>
        <v>435.89999999999992</v>
      </c>
      <c r="L53" s="1">
        <f t="shared" si="28"/>
        <v>467.9</v>
      </c>
      <c r="M53" s="1">
        <f>SUM(J50:M50)</f>
        <v>519.99999999999989</v>
      </c>
    </row>
    <row r="54" spans="2:13">
      <c r="B54" s="1" t="s">
        <v>64</v>
      </c>
      <c r="F54" s="1">
        <f t="shared" ref="F54:L54" si="29">SUM(C51:F51)</f>
        <v>437.1</v>
      </c>
      <c r="G54" s="1">
        <f t="shared" si="29"/>
        <v>394.4</v>
      </c>
      <c r="H54" s="1">
        <f t="shared" si="29"/>
        <v>394.8</v>
      </c>
      <c r="I54" s="1">
        <f t="shared" si="29"/>
        <v>375.00000000000006</v>
      </c>
      <c r="J54" s="1">
        <f t="shared" si="29"/>
        <v>347.69999999999982</v>
      </c>
      <c r="K54" s="1">
        <f t="shared" si="29"/>
        <v>338.30000000000013</v>
      </c>
      <c r="L54" s="1">
        <f t="shared" si="29"/>
        <v>352.69999999999993</v>
      </c>
      <c r="M54" s="1">
        <f>SUM(J51:M51)</f>
        <v>370.69999999999993</v>
      </c>
    </row>
  </sheetData>
  <pageMargins left="0.7" right="0.7" top="0.75" bottom="0.75" header="0.3" footer="0.3"/>
  <ignoredErrors>
    <ignoredError sqref="D6:J13 Z6:AI8 Z13 AC13:AI13 Z12:AI12 Z11 AB11:AI11 Z10:AI10 Z9 AA9:AI9 N6:N1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2025-01-25T21:15:44Z</dcterms:created>
  <dcterms:modified xsi:type="dcterms:W3CDTF">2025-01-25T22:37:40Z</dcterms:modified>
</cp:coreProperties>
</file>