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CF0A8DB1-FAEB-704B-A927-01AC30E74EF8}" xr6:coauthVersionLast="47" xr6:coauthVersionMax="47" xr10:uidLastSave="{00000000-0000-0000-0000-000000000000}"/>
  <bookViews>
    <workbookView xWindow="11760" yWindow="2240" windowWidth="30960" windowHeight="21480" xr2:uid="{6F292046-E60D-BB45-B827-ACE9FA2B5CC0}"/>
  </bookViews>
  <sheets>
    <sheet name="Main" sheetId="1" r:id="rId1"/>
    <sheet name="Bonds" sheetId="3" r:id="rId2"/>
    <sheet name="M Curve" sheetId="4" r:id="rId3"/>
  </sheets>
  <definedNames>
    <definedName name="_xlnm._FilterDatabase" localSheetId="1" hidden="1">Bonds!$B$3:$U$34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I17" i="4"/>
  <c r="I16" i="4"/>
  <c r="I15" i="4"/>
  <c r="I14" i="4"/>
  <c r="I13" i="4"/>
  <c r="I12" i="4"/>
  <c r="I11" i="4"/>
  <c r="I10" i="4"/>
  <c r="I9" i="4"/>
  <c r="H8" i="4" l="1"/>
  <c r="F8" i="4"/>
  <c r="G8" i="4"/>
  <c r="E8" i="4"/>
  <c r="D8" i="4"/>
  <c r="M49" i="3" l="1"/>
  <c r="Q34" i="3"/>
  <c r="U34" i="3"/>
  <c r="Q33" i="3"/>
  <c r="U33" i="3"/>
  <c r="Q32" i="3"/>
  <c r="U32" i="3"/>
  <c r="Q21" i="3" l="1"/>
  <c r="U21" i="3"/>
  <c r="Q31" i="3"/>
  <c r="U31" i="3"/>
  <c r="Q30" i="3"/>
  <c r="U30" i="3"/>
  <c r="Q29" i="3"/>
  <c r="U29" i="3"/>
  <c r="Q28" i="3"/>
  <c r="U28" i="3"/>
  <c r="Q27" i="3"/>
  <c r="U27" i="3"/>
  <c r="U26" i="3"/>
  <c r="Q26" i="3"/>
  <c r="Q25" i="3"/>
  <c r="U25" i="3"/>
  <c r="Q24" i="3"/>
  <c r="U24" i="3"/>
  <c r="Q23" i="3"/>
  <c r="U23" i="3"/>
  <c r="U22" i="3" l="1"/>
  <c r="U20" i="3"/>
  <c r="U19" i="3"/>
  <c r="U18" i="3"/>
  <c r="U17" i="3"/>
  <c r="Q22" i="3"/>
  <c r="Q20" i="3"/>
  <c r="Q19" i="3"/>
  <c r="Q18" i="3"/>
  <c r="Q17" i="3"/>
  <c r="AE13" i="1" l="1"/>
  <c r="W13" i="1"/>
  <c r="AF3" i="1"/>
  <c r="AG3" i="1" s="1"/>
  <c r="AH3" i="1" s="1"/>
  <c r="AI3" i="1" s="1"/>
  <c r="AJ3" i="1" s="1"/>
  <c r="AK3" i="1" s="1"/>
  <c r="AL3" i="1" s="1"/>
  <c r="X3" i="1"/>
  <c r="Y3" i="1" s="1"/>
  <c r="Z3" i="1" s="1"/>
  <c r="AA3" i="1" s="1"/>
  <c r="AB3" i="1" s="1"/>
  <c r="AC3" i="1" s="1"/>
  <c r="AD3" i="1" s="1"/>
  <c r="P3" i="1"/>
  <c r="Q3" i="1" s="1"/>
  <c r="R3" i="1" s="1"/>
  <c r="S3" i="1" s="1"/>
  <c r="T3" i="1" s="1"/>
  <c r="U3" i="1" s="1"/>
  <c r="V3" i="1" s="1"/>
  <c r="Q1" i="3"/>
  <c r="T33" i="3" l="1"/>
  <c r="T34" i="3"/>
  <c r="J34" i="3"/>
  <c r="T32" i="3"/>
  <c r="J32" i="3"/>
  <c r="J33" i="3"/>
  <c r="J21" i="3"/>
  <c r="P21" i="3" s="1"/>
  <c r="R21" i="3" s="1"/>
  <c r="S21" i="3" s="1"/>
  <c r="T21" i="3"/>
  <c r="J31" i="3"/>
  <c r="T31" i="3"/>
  <c r="J30" i="3"/>
  <c r="T30" i="3"/>
  <c r="J29" i="3"/>
  <c r="T29" i="3"/>
  <c r="J28" i="3"/>
  <c r="T28" i="3"/>
  <c r="J27" i="3"/>
  <c r="T27" i="3"/>
  <c r="T26" i="3"/>
  <c r="J26" i="3"/>
  <c r="J25" i="3"/>
  <c r="T25" i="3"/>
  <c r="J24" i="3"/>
  <c r="T24" i="3"/>
  <c r="J23" i="3"/>
  <c r="T23" i="3"/>
  <c r="J22" i="3"/>
  <c r="T17" i="3"/>
  <c r="T20" i="3"/>
  <c r="T19" i="3"/>
  <c r="T18" i="3"/>
  <c r="T22" i="3"/>
  <c r="J20" i="3"/>
  <c r="P20" i="3" s="1"/>
  <c r="R20" i="3" s="1"/>
  <c r="J19" i="3"/>
  <c r="P19" i="3" s="1"/>
  <c r="R19" i="3" s="1"/>
  <c r="S19" i="3" s="1"/>
  <c r="J18" i="3"/>
  <c r="P18" i="3" s="1"/>
  <c r="R18" i="3" s="1"/>
  <c r="S18" i="3" s="1"/>
  <c r="J4" i="3"/>
  <c r="J17" i="3"/>
  <c r="P17" i="3" s="1"/>
  <c r="R17" i="3" s="1"/>
  <c r="S17" i="3" s="1"/>
  <c r="J8" i="3"/>
  <c r="J9" i="3"/>
  <c r="J10" i="3"/>
  <c r="J11" i="3"/>
  <c r="J12" i="3"/>
  <c r="J5" i="3"/>
  <c r="J13" i="3"/>
  <c r="J14" i="3"/>
  <c r="J6" i="3"/>
  <c r="J7" i="3"/>
  <c r="J15" i="3"/>
  <c r="J16" i="3"/>
  <c r="S20" i="3" l="1"/>
  <c r="P28" i="3"/>
  <c r="R28" i="3" s="1"/>
  <c r="S28" i="3" s="1"/>
  <c r="P33" i="3"/>
  <c r="R33" i="3" s="1"/>
  <c r="S33" i="3" s="1"/>
  <c r="P25" i="3"/>
  <c r="R25" i="3" s="1"/>
  <c r="S25" i="3" s="1"/>
  <c r="P29" i="3"/>
  <c r="R29" i="3" s="1"/>
  <c r="S29" i="3" s="1"/>
  <c r="P32" i="3"/>
  <c r="R32" i="3" s="1"/>
  <c r="S32" i="3" s="1"/>
  <c r="P30" i="3"/>
  <c r="R30" i="3" s="1"/>
  <c r="S30" i="3" s="1"/>
  <c r="P34" i="3"/>
  <c r="R34" i="3" s="1"/>
  <c r="S34" i="3" s="1"/>
  <c r="P26" i="3"/>
  <c r="R26" i="3" s="1"/>
  <c r="S26" i="3" s="1"/>
  <c r="P24" i="3"/>
  <c r="R24" i="3" s="1"/>
  <c r="S24" i="3" s="1"/>
  <c r="P23" i="3"/>
  <c r="R23" i="3" s="1"/>
  <c r="S23" i="3" s="1"/>
  <c r="P27" i="3"/>
  <c r="R27" i="3" s="1"/>
  <c r="S27" i="3" s="1"/>
  <c r="P31" i="3"/>
  <c r="R31" i="3" s="1"/>
  <c r="S31" i="3" s="1"/>
  <c r="P22" i="3"/>
  <c r="R22" i="3" s="1"/>
  <c r="S22" i="3" s="1"/>
  <c r="H5" i="1"/>
  <c r="H4" i="1"/>
  <c r="E4" i="1"/>
  <c r="F6" i="1" l="1"/>
  <c r="I6" i="1" s="1"/>
  <c r="F5" i="1"/>
  <c r="I5" i="1" s="1"/>
  <c r="F4" i="1"/>
  <c r="I4" i="1" s="1"/>
</calcChain>
</file>

<file path=xl/sharedStrings.xml><?xml version="1.0" encoding="utf-8"?>
<sst xmlns="http://schemas.openxmlformats.org/spreadsheetml/2006/main" count="226" uniqueCount="121">
  <si>
    <t>Ticker</t>
  </si>
  <si>
    <t>Price</t>
  </si>
  <si>
    <t>Shares</t>
  </si>
  <si>
    <t>Cash</t>
  </si>
  <si>
    <t>Debt</t>
  </si>
  <si>
    <t>DDS</t>
  </si>
  <si>
    <t>M</t>
  </si>
  <si>
    <t>JWN</t>
  </si>
  <si>
    <t>KSS</t>
  </si>
  <si>
    <t>Dillards</t>
  </si>
  <si>
    <t>Macy's</t>
  </si>
  <si>
    <t>Nordstrom</t>
  </si>
  <si>
    <t xml:space="preserve">Kohl's </t>
  </si>
  <si>
    <t xml:space="preserve">Company </t>
  </si>
  <si>
    <t>EV</t>
  </si>
  <si>
    <t>MC</t>
  </si>
  <si>
    <t>LastQ</t>
  </si>
  <si>
    <t xml:space="preserve">JcPenney </t>
  </si>
  <si>
    <t xml:space="preserve">Sears </t>
  </si>
  <si>
    <t xml:space="preserve">Private </t>
  </si>
  <si>
    <t>Defunct/Absorbed</t>
  </si>
  <si>
    <t>Marshall Field's</t>
  </si>
  <si>
    <t>Filene's</t>
  </si>
  <si>
    <t>Wanamaker's</t>
  </si>
  <si>
    <t>Monthomery Ward</t>
  </si>
  <si>
    <t>Mervyn's</t>
  </si>
  <si>
    <t>SHLDC</t>
  </si>
  <si>
    <t>2018 bankruptcy but still trades pink sheets, privately owned by Transformco</t>
  </si>
  <si>
    <t>JCP</t>
  </si>
  <si>
    <t xml:space="preserve">2020 bankrupcy, restructured as Catalyst Brands </t>
  </si>
  <si>
    <t>2025 taken private by Nordstrom family and El Puerto de Liverpool</t>
  </si>
  <si>
    <t>Bankrupt / Restructured</t>
  </si>
  <si>
    <t xml:space="preserve">2006 Absorbed into Macy's </t>
  </si>
  <si>
    <t xml:space="preserve">1995 Absorbed into Hecht's, then Macy's </t>
  </si>
  <si>
    <t xml:space="preserve">2001 Liquidated 2001, brand revived online only </t>
  </si>
  <si>
    <t>2008 Bankrupt</t>
  </si>
  <si>
    <t>Belk</t>
  </si>
  <si>
    <t>2015 taken private by Sycamore Partners</t>
  </si>
  <si>
    <t xml:space="preserve">Discount </t>
  </si>
  <si>
    <t>NPV</t>
  </si>
  <si>
    <t>Symbol</t>
  </si>
  <si>
    <t>CUSIP</t>
  </si>
  <si>
    <t>Type</t>
  </si>
  <si>
    <t>Coupon</t>
  </si>
  <si>
    <t>Maturity</t>
  </si>
  <si>
    <t>Years</t>
  </si>
  <si>
    <t>Coupons</t>
  </si>
  <si>
    <t>Capital Gain</t>
  </si>
  <si>
    <t>Total Return $</t>
  </si>
  <si>
    <t>Return</t>
  </si>
  <si>
    <t>IRR</t>
  </si>
  <si>
    <t>Corp</t>
  </si>
  <si>
    <t>SHLDQ3675201</t>
  </si>
  <si>
    <t>ELN</t>
  </si>
  <si>
    <t>708130AD1</t>
  </si>
  <si>
    <t xml:space="preserve">Issue Date </t>
  </si>
  <si>
    <t>708160CB0</t>
  </si>
  <si>
    <t>USU7083NAB74</t>
  </si>
  <si>
    <t>708160CF1</t>
  </si>
  <si>
    <t>USU7083NAC57</t>
  </si>
  <si>
    <t>708160CD6</t>
  </si>
  <si>
    <t>708160BR6</t>
  </si>
  <si>
    <t>708160BK1</t>
  </si>
  <si>
    <t>708130AC3</t>
  </si>
  <si>
    <t>708130BS4</t>
  </si>
  <si>
    <t>708160BL9</t>
  </si>
  <si>
    <t xml:space="preserve">Underlying </t>
  </si>
  <si>
    <t>708160BE5</t>
  </si>
  <si>
    <t>Moody</t>
  </si>
  <si>
    <t>C</t>
  </si>
  <si>
    <t>WR</t>
  </si>
  <si>
    <t>Returns</t>
  </si>
  <si>
    <t>Notes</t>
  </si>
  <si>
    <t xml:space="preserve">Debt to Capital </t>
  </si>
  <si>
    <t xml:space="preserve">Capital </t>
  </si>
  <si>
    <t xml:space="preserve">Cash to Debt </t>
  </si>
  <si>
    <t>KSS.GI</t>
  </si>
  <si>
    <t>500255AQ7</t>
  </si>
  <si>
    <t>Callable</t>
  </si>
  <si>
    <t>Y</t>
  </si>
  <si>
    <t>KSS.GG</t>
  </si>
  <si>
    <t>500255AN4</t>
  </si>
  <si>
    <t>KSS4268838</t>
  </si>
  <si>
    <t>500255AV6</t>
  </si>
  <si>
    <t xml:space="preserve">Curr Yield </t>
  </si>
  <si>
    <t>KSS5159081</t>
  </si>
  <si>
    <t>500255AX2</t>
  </si>
  <si>
    <t>B3</t>
  </si>
  <si>
    <t>S&amp;P</t>
  </si>
  <si>
    <t>BB-</t>
  </si>
  <si>
    <t>S&amp;P Last R</t>
  </si>
  <si>
    <t>Moody Last R</t>
  </si>
  <si>
    <t>N</t>
  </si>
  <si>
    <t>Ba3</t>
  </si>
  <si>
    <t>BB+</t>
  </si>
  <si>
    <t>M.AJ</t>
  </si>
  <si>
    <t>55616XAC1</t>
  </si>
  <si>
    <t>Ba2</t>
  </si>
  <si>
    <t>M4184487</t>
  </si>
  <si>
    <t>55616XAM9</t>
  </si>
  <si>
    <t>M.AA</t>
  </si>
  <si>
    <t>55616XAG2</t>
  </si>
  <si>
    <t>M390952</t>
  </si>
  <si>
    <t>55616XAJ6</t>
  </si>
  <si>
    <t>314275AC2</t>
  </si>
  <si>
    <t>5516XAM9</t>
  </si>
  <si>
    <t>USU5562LAF68</t>
  </si>
  <si>
    <t>USU5562LAJ80</t>
  </si>
  <si>
    <t>USU5562LAH25</t>
  </si>
  <si>
    <t>31410HAQ4</t>
  </si>
  <si>
    <t>SHLD</t>
  </si>
  <si>
    <t>USU5003PAC15</t>
  </si>
  <si>
    <t>254063AU4</t>
  </si>
  <si>
    <t>254063AW0</t>
  </si>
  <si>
    <t>254067AN1</t>
  </si>
  <si>
    <t>Baa3</t>
  </si>
  <si>
    <t>Next E Date</t>
  </si>
  <si>
    <t xml:space="preserve">Status </t>
  </si>
  <si>
    <t>Q225</t>
  </si>
  <si>
    <t>V</t>
  </si>
  <si>
    <t>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</si>
</sst>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x"/>
    <numFmt numFmtId="165" formatCode="0.0"/>
    <numFmt numFmtId="166" formatCode="0.0%"/>
    <numFmt numFmtId="167" formatCode="0.000"/>
  </numFmts>
  <fonts count="13">
    <font>
      <sz val="10"/>
      <color theme="1"/>
      <name val="ArialMT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0"/>
      <color theme="10"/>
      <name val="ArialMT"/>
      <family val="2"/>
    </font>
    <font>
      <sz val="10"/>
      <color theme="1"/>
      <name val="Aptos"/>
    </font>
    <font>
      <u/>
      <sz val="10"/>
      <color theme="10"/>
      <name val="Aptos"/>
    </font>
    <font>
      <u/>
      <sz val="10"/>
      <color theme="1"/>
      <name val="Aptos"/>
    </font>
    <font>
      <b/>
      <u/>
      <sz val="10"/>
      <color theme="1"/>
      <name val="Aptos"/>
    </font>
    <font>
      <b/>
      <sz val="10"/>
      <name val="Aptos"/>
    </font>
    <font>
      <b/>
      <sz val="10"/>
      <color theme="1"/>
      <name val="Aptos"/>
    </font>
    <font>
      <sz val="10"/>
      <color theme="1"/>
      <name val="ArialMT"/>
      <family val="2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3FFFB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2"/>
    <xf numFmtId="14" fontId="3" fillId="0" borderId="0" xfId="2" applyNumberFormat="1"/>
    <xf numFmtId="1" fontId="3" fillId="0" borderId="0" xfId="2" applyNumberFormat="1" applyAlignment="1">
      <alignment horizontal="center"/>
    </xf>
    <xf numFmtId="0" fontId="3" fillId="0" borderId="1" xfId="2" applyBorder="1" applyAlignment="1">
      <alignment horizontal="center"/>
    </xf>
    <xf numFmtId="14" fontId="3" fillId="0" borderId="1" xfId="2" applyNumberFormat="1" applyBorder="1" applyAlignment="1">
      <alignment horizontal="center"/>
    </xf>
    <xf numFmtId="1" fontId="3" fillId="0" borderId="1" xfId="2" applyNumberFormat="1" applyBorder="1" applyAlignment="1">
      <alignment horizontal="center"/>
    </xf>
    <xf numFmtId="0" fontId="3" fillId="0" borderId="0" xfId="2" applyAlignment="1">
      <alignment horizontal="center"/>
    </xf>
    <xf numFmtId="165" fontId="3" fillId="0" borderId="0" xfId="2" applyNumberFormat="1" applyAlignment="1">
      <alignment horizontal="center"/>
    </xf>
    <xf numFmtId="9" fontId="3" fillId="0" borderId="0" xfId="2" applyNumberFormat="1" applyAlignment="1">
      <alignment horizontal="center"/>
    </xf>
    <xf numFmtId="166" fontId="0" fillId="0" borderId="0" xfId="3" applyNumberFormat="1" applyFont="1" applyAlignment="1">
      <alignment horizontal="center"/>
    </xf>
    <xf numFmtId="14" fontId="3" fillId="0" borderId="0" xfId="2" applyNumberFormat="1" applyAlignment="1">
      <alignment horizontal="center"/>
    </xf>
    <xf numFmtId="10" fontId="3" fillId="0" borderId="0" xfId="2" applyNumberFormat="1" applyAlignment="1">
      <alignment horizontal="center"/>
    </xf>
    <xf numFmtId="167" fontId="3" fillId="0" borderId="0" xfId="2" applyNumberForma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3" fontId="6" fillId="0" borderId="0" xfId="1" applyNumberFormat="1" applyFont="1"/>
    <xf numFmtId="164" fontId="5" fillId="0" borderId="0" xfId="0" applyNumberFormat="1" applyFont="1"/>
    <xf numFmtId="9" fontId="5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0" fontId="4" fillId="0" borderId="0" xfId="1"/>
    <xf numFmtId="3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3" fontId="5" fillId="6" borderId="2" xfId="0" applyNumberFormat="1" applyFont="1" applyFill="1" applyBorder="1"/>
    <xf numFmtId="3" fontId="5" fillId="3" borderId="2" xfId="0" applyNumberFormat="1" applyFont="1" applyFill="1" applyBorder="1"/>
    <xf numFmtId="9" fontId="5" fillId="3" borderId="2" xfId="4" applyFont="1" applyFill="1" applyBorder="1"/>
    <xf numFmtId="9" fontId="5" fillId="7" borderId="2" xfId="0" applyNumberFormat="1" applyFont="1" applyFill="1" applyBorder="1"/>
    <xf numFmtId="3" fontId="5" fillId="6" borderId="3" xfId="0" applyNumberFormat="1" applyFont="1" applyFill="1" applyBorder="1"/>
    <xf numFmtId="9" fontId="5" fillId="3" borderId="3" xfId="4" applyFont="1" applyFill="1" applyBorder="1"/>
    <xf numFmtId="3" fontId="5" fillId="3" borderId="3" xfId="0" applyNumberFormat="1" applyFont="1" applyFill="1" applyBorder="1"/>
    <xf numFmtId="9" fontId="5" fillId="7" borderId="3" xfId="0" applyNumberFormat="1" applyFont="1" applyFill="1" applyBorder="1"/>
    <xf numFmtId="0" fontId="2" fillId="0" borderId="0" xfId="2" applyFont="1"/>
    <xf numFmtId="14" fontId="2" fillId="0" borderId="0" xfId="2" applyNumberFormat="1" applyFont="1" applyAlignment="1">
      <alignment horizontal="center"/>
    </xf>
    <xf numFmtId="0" fontId="2" fillId="0" borderId="0" xfId="2" applyFont="1" applyAlignment="1">
      <alignment horizontal="center"/>
    </xf>
    <xf numFmtId="0" fontId="12" fillId="3" borderId="0" xfId="2" applyFont="1" applyFill="1" applyAlignment="1">
      <alignment horizontal="center"/>
    </xf>
    <xf numFmtId="10" fontId="12" fillId="3" borderId="0" xfId="2" applyNumberFormat="1" applyFont="1" applyFill="1" applyAlignment="1">
      <alignment horizontal="center"/>
    </xf>
    <xf numFmtId="14" fontId="12" fillId="3" borderId="0" xfId="2" applyNumberFormat="1" applyFont="1" applyFill="1" applyAlignment="1">
      <alignment horizontal="center"/>
    </xf>
    <xf numFmtId="1" fontId="12" fillId="3" borderId="0" xfId="2" applyNumberFormat="1" applyFont="1" applyFill="1" applyAlignment="1">
      <alignment horizontal="center"/>
    </xf>
    <xf numFmtId="165" fontId="12" fillId="3" borderId="0" xfId="2" applyNumberFormat="1" applyFont="1" applyFill="1" applyAlignment="1">
      <alignment horizontal="center"/>
    </xf>
    <xf numFmtId="9" fontId="12" fillId="3" borderId="0" xfId="2" applyNumberFormat="1" applyFont="1" applyFill="1" applyAlignment="1">
      <alignment horizontal="center"/>
    </xf>
    <xf numFmtId="9" fontId="5" fillId="3" borderId="2" xfId="0" applyNumberFormat="1" applyFont="1" applyFill="1" applyBorder="1"/>
    <xf numFmtId="9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3" fontId="9" fillId="4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10" fillId="5" borderId="1" xfId="0" applyNumberFormat="1" applyFont="1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0" fontId="1" fillId="0" borderId="0" xfId="2" applyFont="1" applyAlignment="1">
      <alignment horizontal="center"/>
    </xf>
    <xf numFmtId="14" fontId="5" fillId="0" borderId="0" xfId="0" applyNumberFormat="1" applyFont="1" applyAlignment="1">
      <alignment horizontal="left"/>
    </xf>
    <xf numFmtId="10" fontId="0" fillId="8" borderId="2" xfId="3" applyNumberFormat="1" applyFont="1" applyFill="1" applyBorder="1" applyAlignment="1">
      <alignment horizontal="center"/>
    </xf>
    <xf numFmtId="10" fontId="3" fillId="8" borderId="2" xfId="2" applyNumberFormat="1" applyFill="1" applyBorder="1" applyAlignment="1">
      <alignment horizontal="center"/>
    </xf>
    <xf numFmtId="10" fontId="12" fillId="8" borderId="2" xfId="2" applyNumberFormat="1" applyFont="1" applyFill="1" applyBorder="1" applyAlignment="1">
      <alignment horizontal="center"/>
    </xf>
    <xf numFmtId="9" fontId="0" fillId="0" borderId="0" xfId="4" applyFont="1"/>
    <xf numFmtId="14" fontId="0" fillId="0" borderId="0" xfId="0" applyNumberFormat="1"/>
    <xf numFmtId="1" fontId="0" fillId="0" borderId="0" xfId="0" applyNumberFormat="1"/>
  </cellXfs>
  <cellStyles count="5">
    <cellStyle name="Hyperlink" xfId="1" builtinId="8"/>
    <cellStyle name="Normal" xfId="0" builtinId="0"/>
    <cellStyle name="Normal 2" xfId="2" xr:uid="{9413A073-2E63-674B-8274-1C94DEB5C9D6}"/>
    <cellStyle name="Percent" xfId="4" builtinId="5"/>
    <cellStyle name="Percent 2" xfId="3" xr:uid="{E3B6FAAF-DC0F-1045-8992-CB981B5CFD2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8"/>
      <color rgb="FFE6D5FF"/>
      <color rgb="FFE3F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 Curve'!$G$8</c:f>
              <c:strCache>
                <c:ptCount val="1"/>
                <c:pt idx="0">
                  <c:v>Coupon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Curve'!$F$9:$F$18</c:f>
              <c:numCache>
                <c:formatCode>m/d/yy</c:formatCode>
                <c:ptCount val="10"/>
                <c:pt idx="0">
                  <c:v>46798</c:v>
                </c:pt>
                <c:pt idx="1">
                  <c:v>49293</c:v>
                </c:pt>
                <c:pt idx="2">
                  <c:v>51881</c:v>
                </c:pt>
                <c:pt idx="3">
                  <c:v>52277</c:v>
                </c:pt>
                <c:pt idx="4">
                  <c:v>50114</c:v>
                </c:pt>
                <c:pt idx="5">
                  <c:v>49293</c:v>
                </c:pt>
                <c:pt idx="6">
                  <c:v>49140</c:v>
                </c:pt>
                <c:pt idx="7">
                  <c:v>48288</c:v>
                </c:pt>
                <c:pt idx="8">
                  <c:v>47557</c:v>
                </c:pt>
                <c:pt idx="9">
                  <c:v>47209</c:v>
                </c:pt>
              </c:numCache>
            </c:numRef>
          </c:xVal>
          <c:yVal>
            <c:numRef>
              <c:f>'M Curve'!$G$9:$G$18</c:f>
              <c:numCache>
                <c:formatCode>0%</c:formatCode>
                <c:ptCount val="10"/>
                <c:pt idx="0">
                  <c:v>7.0000000000000007E-2</c:v>
                </c:pt>
                <c:pt idx="1">
                  <c:v>4.4999999999999998E-2</c:v>
                </c:pt>
                <c:pt idx="2">
                  <c:v>5.1249999999999997E-2</c:v>
                </c:pt>
                <c:pt idx="3">
                  <c:v>4.2999999999999997E-2</c:v>
                </c:pt>
                <c:pt idx="4">
                  <c:v>6.3750000000000001E-2</c:v>
                </c:pt>
                <c:pt idx="5">
                  <c:v>4.4999999999999998E-2</c:v>
                </c:pt>
                <c:pt idx="6">
                  <c:v>6.7000000000000004E-2</c:v>
                </c:pt>
                <c:pt idx="7">
                  <c:v>6.1249999999999999E-2</c:v>
                </c:pt>
                <c:pt idx="8">
                  <c:v>5.8749999999999997E-2</c:v>
                </c:pt>
                <c:pt idx="9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E-5645-9EA9-1F254B80623A}"/>
            </c:ext>
          </c:extLst>
        </c:ser>
        <c:ser>
          <c:idx val="1"/>
          <c:order val="1"/>
          <c:tx>
            <c:strRef>
              <c:f>'M Curve'!$H$8</c:f>
              <c:strCache>
                <c:ptCount val="1"/>
                <c:pt idx="0">
                  <c:v>IRR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 Curve'!$F$9:$F$18</c:f>
              <c:numCache>
                <c:formatCode>m/d/yy</c:formatCode>
                <c:ptCount val="10"/>
                <c:pt idx="0">
                  <c:v>46798</c:v>
                </c:pt>
                <c:pt idx="1">
                  <c:v>49293</c:v>
                </c:pt>
                <c:pt idx="2">
                  <c:v>51881</c:v>
                </c:pt>
                <c:pt idx="3">
                  <c:v>52277</c:v>
                </c:pt>
                <c:pt idx="4">
                  <c:v>50114</c:v>
                </c:pt>
                <c:pt idx="5">
                  <c:v>49293</c:v>
                </c:pt>
                <c:pt idx="6">
                  <c:v>49140</c:v>
                </c:pt>
                <c:pt idx="7">
                  <c:v>48288</c:v>
                </c:pt>
                <c:pt idx="8">
                  <c:v>47557</c:v>
                </c:pt>
                <c:pt idx="9">
                  <c:v>47209</c:v>
                </c:pt>
              </c:numCache>
            </c:numRef>
          </c:xVal>
          <c:yVal>
            <c:numRef>
              <c:f>'M Curve'!$H$9:$H$18</c:f>
              <c:numCache>
                <c:formatCode>0%</c:formatCode>
                <c:ptCount val="10"/>
                <c:pt idx="0">
                  <c:v>3.9466984869582764E-2</c:v>
                </c:pt>
                <c:pt idx="1">
                  <c:v>7.09894823807692E-2</c:v>
                </c:pt>
                <c:pt idx="2">
                  <c:v>8.1377607433126539E-2</c:v>
                </c:pt>
                <c:pt idx="3">
                  <c:v>7.7691498964706632E-2</c:v>
                </c:pt>
                <c:pt idx="4">
                  <c:v>8.4906104019185608E-2</c:v>
                </c:pt>
                <c:pt idx="5">
                  <c:v>7.0935991586962496E-2</c:v>
                </c:pt>
                <c:pt idx="6">
                  <c:v>8.6958411276012088E-2</c:v>
                </c:pt>
                <c:pt idx="7">
                  <c:v>6.5495372567920845E-2</c:v>
                </c:pt>
                <c:pt idx="8">
                  <c:v>6.0670294378422363E-2</c:v>
                </c:pt>
                <c:pt idx="9">
                  <c:v>4.1740475182577105E-2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E-5645-9EA9-1F254B80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11087"/>
        <c:axId val="1243399711"/>
      </c:scatterChart>
      <c:valAx>
        <c:axId val="1837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99711"/>
        <c:crosses val="autoZero"/>
        <c:crossBetween val="midCat"/>
      </c:valAx>
      <c:valAx>
        <c:axId val="1243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Macy Bond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 Curve'!$I$8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111111111111135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4-6D49-878D-26D29AF87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 Curve'!$F$9:$F$18</c:f>
              <c:numCache>
                <c:formatCode>m/d/yy</c:formatCode>
                <c:ptCount val="10"/>
                <c:pt idx="0">
                  <c:v>46798</c:v>
                </c:pt>
                <c:pt idx="1">
                  <c:v>49293</c:v>
                </c:pt>
                <c:pt idx="2">
                  <c:v>51881</c:v>
                </c:pt>
                <c:pt idx="3">
                  <c:v>52277</c:v>
                </c:pt>
                <c:pt idx="4">
                  <c:v>50114</c:v>
                </c:pt>
                <c:pt idx="5">
                  <c:v>49293</c:v>
                </c:pt>
                <c:pt idx="6">
                  <c:v>49140</c:v>
                </c:pt>
                <c:pt idx="7">
                  <c:v>48288</c:v>
                </c:pt>
                <c:pt idx="8">
                  <c:v>47557</c:v>
                </c:pt>
                <c:pt idx="9">
                  <c:v>47209</c:v>
                </c:pt>
              </c:numCache>
            </c:numRef>
          </c:xVal>
          <c:yVal>
            <c:numRef>
              <c:f>'M Curve'!$I$9:$I$18</c:f>
              <c:numCache>
                <c:formatCode>0</c:formatCode>
                <c:ptCount val="10"/>
                <c:pt idx="0">
                  <c:v>107.1</c:v>
                </c:pt>
                <c:pt idx="1">
                  <c:v>82.52</c:v>
                </c:pt>
                <c:pt idx="2">
                  <c:v>72.992000000000004</c:v>
                </c:pt>
                <c:pt idx="3">
                  <c:v>67.141000000000005</c:v>
                </c:pt>
                <c:pt idx="4">
                  <c:v>84.616</c:v>
                </c:pt>
                <c:pt idx="5">
                  <c:v>82.552000000000007</c:v>
                </c:pt>
                <c:pt idx="6">
                  <c:v>87.813000000000002</c:v>
                </c:pt>
                <c:pt idx="7">
                  <c:v>97.764499999999998</c:v>
                </c:pt>
                <c:pt idx="8">
                  <c:v>99.242999999999995</c:v>
                </c:pt>
                <c:pt idx="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6D49-878D-26D29AF8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11087"/>
        <c:axId val="1243399711"/>
      </c:scatterChart>
      <c:valAx>
        <c:axId val="183761108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99711"/>
        <c:crosses val="autoZero"/>
        <c:crossBetween val="midCat"/>
      </c:valAx>
      <c:valAx>
        <c:axId val="124339971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376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233948</xdr:colOff>
      <xdr:row>19</xdr:row>
      <xdr:rowOff>95584</xdr:rowOff>
    </xdr:from>
    <xdr:to>
      <xdr:col>8</xdr:col>
      <xdr:colOff>588211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65155-44D1-166E-A465-D3CBD7E3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708526</xdr:colOff>
      <xdr:row>17</xdr:row>
      <xdr:rowOff>53474</xdr:rowOff>
    </xdr:from>
    <xdr:to>
      <xdr:col>15</xdr:col>
      <xdr:colOff>307473</xdr:colOff>
      <xdr:row>33</xdr:row>
      <xdr:rowOff>122989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3E5F9-467A-7F4F-BD72-13C837316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0.0848</cdr:x>
      <cdr:y>0.27534</cdr:y>
    </cdr:from>
    <cdr:to>
      <cdr:x>0.86842</cdr:x>
      <cdr:y>0.27778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A3969C0-1B02-36E1-27BC-448B2A282F44}"/>
            </a:ext>
          </a:extLst>
        </cdr:cNvPr>
        <cdr:cNvCxnSpPr/>
      </cdr:nvCxnSpPr>
      <cdr:spPr>
        <a:xfrm xmlns:a="http://schemas.openxmlformats.org/drawingml/2006/main" flipV="1">
          <a:off x="387684" y="755316"/>
          <a:ext cx="3582737" cy="66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0.72807</cdr:x>
      <cdr:y>0.21199</cdr:y>
    </cdr:from>
    <cdr:to>
      <cdr:x>1</cdr:x>
      <cdr:y>0.28265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197661C-E71D-6A9E-8BBC-39A927A20F8E}"/>
            </a:ext>
          </a:extLst>
        </cdr:cNvPr>
        <cdr:cNvSpPr txBox="1"/>
      </cdr:nvSpPr>
      <cdr:spPr>
        <a:xfrm xmlns:a="http://schemas.openxmlformats.org/drawingml/2006/main">
          <a:off x="3328737" y="581526"/>
          <a:ext cx="1243263" cy="193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kern="1200"/>
            <a:t>discount below line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KSS.xlsx" TargetMode="External"/><Relationship Id="rId2" Type="http://schemas.openxmlformats.org/officeDocument/2006/relationships/hyperlink" Target="M.xlsx" TargetMode="External"/><Relationship Id="rId1" Type="http://schemas.openxmlformats.org/officeDocument/2006/relationships/hyperlink" Target="DDS.xlsx" TargetMode="External"/><Relationship Id="rId5" Type="http://schemas.openxmlformats.org/officeDocument/2006/relationships/hyperlink" Target="JCP.xlsx" TargetMode="External"/><Relationship Id="rId4" Type="http://schemas.openxmlformats.org/officeDocument/2006/relationships/hyperlink" Target="JWN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ra.org/finra-data/fixed-income/bond?symbol=M3930952&amp;bondType=CORP" TargetMode="External"/><Relationship Id="rId3" Type="http://schemas.openxmlformats.org/officeDocument/2006/relationships/hyperlink" Target="https://www.finra.org/finra-data/fixed-income/bond?symbol=KSS4268838&amp;bondType=CORP" TargetMode="External"/><Relationship Id="rId7" Type="http://schemas.openxmlformats.org/officeDocument/2006/relationships/hyperlink" Target="https://www.finra.org/finra-data/fixed-income/bond?symbol=M.AA&amp;bondType=CORP" TargetMode="External"/><Relationship Id="rId2" Type="http://schemas.openxmlformats.org/officeDocument/2006/relationships/hyperlink" Target="https://www.finra.org/finra-data/fixed-income/bond?symbol=KSS.GG&amp;bondType=CORP" TargetMode="External"/><Relationship Id="rId1" Type="http://schemas.openxmlformats.org/officeDocument/2006/relationships/hyperlink" Target="https://www.finra.org/finra-data/fixed-income/bond?symbol=KSS.GI&amp;bondType=CORP" TargetMode="External"/><Relationship Id="rId6" Type="http://schemas.openxmlformats.org/officeDocument/2006/relationships/hyperlink" Target="https://www.finra.org/finra-data/fixed-income/bond?symbol=M4184487&amp;bondType=CORP" TargetMode="External"/><Relationship Id="rId5" Type="http://schemas.openxmlformats.org/officeDocument/2006/relationships/hyperlink" Target="https://www.finra.org/finra-data/fixed-income/bond?symbol=M.AJ&amp;bondType=CORP" TargetMode="External"/><Relationship Id="rId4" Type="http://schemas.openxmlformats.org/officeDocument/2006/relationships/hyperlink" Target="https://www.finra.org/finra-data/fixed-income/bond?symbol=KSS5159081&amp;bondType=COR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F5D9-84F1-4047-9452-132D89298966}">
  <dimension ref="B2:AR21"/>
  <sheetViews>
    <sheetView showGridLines="0" tabSelected="1" zoomScale="17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baseColWidth="10" defaultRowHeight="14"/>
  <cols>
    <col min="1" max="1" width="2" style="14" customWidth="1"/>
    <col min="2" max="2" width="20.1640625" style="14" bestFit="1" customWidth="1"/>
    <col min="3" max="3" width="6.5" style="23" bestFit="1" customWidth="1"/>
    <col min="4" max="4" width="4.6640625" style="23" bestFit="1" customWidth="1"/>
    <col min="5" max="5" width="6.1640625" style="23" bestFit="1" customWidth="1"/>
    <col min="6" max="9" width="5" style="23" bestFit="1" customWidth="1"/>
    <col min="10" max="10" width="5.33203125" style="23" bestFit="1" customWidth="1"/>
    <col min="11" max="11" width="9.33203125" style="23" bestFit="1" customWidth="1"/>
    <col min="12" max="12" width="8.1640625" style="23" bestFit="1" customWidth="1"/>
    <col min="13" max="13" width="5" style="23" bestFit="1" customWidth="1"/>
    <col min="14" max="14" width="5" style="23" customWidth="1"/>
    <col min="15" max="16" width="5.83203125" style="14" bestFit="1" customWidth="1"/>
    <col min="17" max="21" width="5" style="14" bestFit="1" customWidth="1"/>
    <col min="22" max="22" width="4.5" style="14" bestFit="1" customWidth="1"/>
    <col min="23" max="29" width="5" style="14" bestFit="1" customWidth="1"/>
    <col min="30" max="33" width="4.5" style="14" bestFit="1" customWidth="1"/>
    <col min="34" max="37" width="5" style="14" bestFit="1" customWidth="1"/>
    <col min="38" max="38" width="4.5" style="14" bestFit="1" customWidth="1"/>
    <col min="39" max="39" width="58.1640625" style="23" bestFit="1" customWidth="1"/>
    <col min="40" max="40" width="6.6640625" style="14" bestFit="1" customWidth="1"/>
    <col min="41" max="41" width="5.6640625" style="14" bestFit="1" customWidth="1"/>
    <col min="42" max="43" width="6.6640625" style="14" bestFit="1" customWidth="1"/>
    <col min="44" max="44" width="10.83203125" style="14"/>
    <col min="45" max="45" width="5.6640625" style="14" bestFit="1" customWidth="1"/>
    <col min="46" max="16384" width="10.83203125" style="14"/>
  </cols>
  <sheetData>
    <row r="2" spans="2:44">
      <c r="O2" s="45" t="s">
        <v>74</v>
      </c>
      <c r="P2" s="45"/>
      <c r="Q2" s="45"/>
      <c r="R2" s="45"/>
      <c r="S2" s="45"/>
      <c r="T2" s="45"/>
      <c r="U2" s="45"/>
      <c r="V2" s="45"/>
      <c r="W2" s="46" t="s">
        <v>73</v>
      </c>
      <c r="X2" s="46"/>
      <c r="Y2" s="46"/>
      <c r="Z2" s="46"/>
      <c r="AA2" s="46"/>
      <c r="AB2" s="46"/>
      <c r="AC2" s="46"/>
      <c r="AD2" s="46"/>
      <c r="AE2" s="47" t="s">
        <v>75</v>
      </c>
      <c r="AF2" s="47"/>
      <c r="AG2" s="47"/>
      <c r="AH2" s="47"/>
      <c r="AI2" s="47"/>
      <c r="AJ2" s="47"/>
      <c r="AK2" s="47"/>
      <c r="AL2" s="47"/>
    </row>
    <row r="3" spans="2:44">
      <c r="B3" s="14" t="s">
        <v>13</v>
      </c>
      <c r="C3" s="23" t="s">
        <v>0</v>
      </c>
      <c r="D3" s="23" t="s">
        <v>1</v>
      </c>
      <c r="E3" s="23" t="s">
        <v>2</v>
      </c>
      <c r="F3" s="23" t="s">
        <v>15</v>
      </c>
      <c r="G3" s="23" t="s">
        <v>3</v>
      </c>
      <c r="H3" s="23" t="s">
        <v>4</v>
      </c>
      <c r="I3" s="23" t="s">
        <v>14</v>
      </c>
      <c r="J3" s="23" t="s">
        <v>16</v>
      </c>
      <c r="K3" s="23" t="s">
        <v>116</v>
      </c>
      <c r="L3" s="23" t="s">
        <v>38</v>
      </c>
      <c r="M3" s="23" t="s">
        <v>39</v>
      </c>
      <c r="N3" s="23" t="s">
        <v>117</v>
      </c>
      <c r="O3" s="16">
        <v>2019</v>
      </c>
      <c r="P3" s="16">
        <f>+O3+1</f>
        <v>2020</v>
      </c>
      <c r="Q3" s="16">
        <f t="shared" ref="Q3:V3" si="0">+P3+1</f>
        <v>2021</v>
      </c>
      <c r="R3" s="16">
        <f t="shared" si="0"/>
        <v>2022</v>
      </c>
      <c r="S3" s="16">
        <f t="shared" si="0"/>
        <v>2023</v>
      </c>
      <c r="T3" s="16">
        <f t="shared" si="0"/>
        <v>2024</v>
      </c>
      <c r="U3" s="16">
        <f t="shared" si="0"/>
        <v>2025</v>
      </c>
      <c r="V3" s="16">
        <f t="shared" si="0"/>
        <v>2026</v>
      </c>
      <c r="W3" s="16">
        <v>2019</v>
      </c>
      <c r="X3" s="16">
        <f>+W3+1</f>
        <v>2020</v>
      </c>
      <c r="Y3" s="16">
        <f t="shared" ref="Y3:AD3" si="1">+X3+1</f>
        <v>2021</v>
      </c>
      <c r="Z3" s="16">
        <f t="shared" si="1"/>
        <v>2022</v>
      </c>
      <c r="AA3" s="16">
        <f t="shared" si="1"/>
        <v>2023</v>
      </c>
      <c r="AB3" s="16">
        <f t="shared" si="1"/>
        <v>2024</v>
      </c>
      <c r="AC3" s="16">
        <f t="shared" si="1"/>
        <v>2025</v>
      </c>
      <c r="AD3" s="16">
        <f t="shared" si="1"/>
        <v>2026</v>
      </c>
      <c r="AE3" s="16">
        <v>2019</v>
      </c>
      <c r="AF3" s="16">
        <f>+AE3+1</f>
        <v>2020</v>
      </c>
      <c r="AG3" s="16">
        <f t="shared" ref="AG3:AL3" si="2">+AF3+1</f>
        <v>2021</v>
      </c>
      <c r="AH3" s="16">
        <f t="shared" si="2"/>
        <v>2022</v>
      </c>
      <c r="AI3" s="16">
        <f t="shared" si="2"/>
        <v>2023</v>
      </c>
      <c r="AJ3" s="16">
        <f t="shared" si="2"/>
        <v>2024</v>
      </c>
      <c r="AK3" s="16">
        <f t="shared" si="2"/>
        <v>2025</v>
      </c>
      <c r="AL3" s="16">
        <f t="shared" si="2"/>
        <v>2026</v>
      </c>
      <c r="AM3" s="23" t="s">
        <v>72</v>
      </c>
      <c r="AN3" s="15"/>
    </row>
    <row r="4" spans="2:44">
      <c r="B4" s="17" t="s">
        <v>9</v>
      </c>
      <c r="C4" s="23" t="s">
        <v>5</v>
      </c>
      <c r="D4" s="23">
        <v>532.70000000000005</v>
      </c>
      <c r="E4" s="23">
        <f>11.651202+3.986233</f>
        <v>15.637435</v>
      </c>
      <c r="F4" s="23">
        <f>+D4*E4</f>
        <v>8330.0616245000001</v>
      </c>
      <c r="G4" s="23">
        <v>900.50400000000002</v>
      </c>
      <c r="H4" s="23">
        <f>321.594+200</f>
        <v>521.59400000000005</v>
      </c>
      <c r="I4" s="23">
        <f>+F4-G4+H4</f>
        <v>7951.1516245000003</v>
      </c>
      <c r="J4" s="24" t="s">
        <v>118</v>
      </c>
      <c r="K4" s="50">
        <v>45883</v>
      </c>
      <c r="L4" s="43">
        <v>0.08</v>
      </c>
      <c r="M4" s="23">
        <v>7455</v>
      </c>
      <c r="N4" s="23" t="s">
        <v>120</v>
      </c>
      <c r="O4" s="25">
        <v>2243.9499999999998</v>
      </c>
      <c r="P4" s="25">
        <v>2188.9679999999998</v>
      </c>
      <c r="Q4" s="25">
        <v>2006.857</v>
      </c>
      <c r="R4" s="25">
        <v>2017.2650000000001</v>
      </c>
      <c r="S4" s="25">
        <v>2218.529</v>
      </c>
      <c r="T4" s="25">
        <v>2317.8000000000002</v>
      </c>
      <c r="U4" s="25">
        <v>2380</v>
      </c>
      <c r="V4" s="25"/>
      <c r="W4" s="42">
        <v>0.25204171215936183</v>
      </c>
      <c r="X4" s="42">
        <v>0.25843639559829112</v>
      </c>
      <c r="Y4" s="42">
        <v>0.28195780765644984</v>
      </c>
      <c r="Z4" s="42">
        <v>0.28060121005420707</v>
      </c>
      <c r="AA4" s="42">
        <v>0.23504808817013437</v>
      </c>
      <c r="AB4" s="42">
        <v>0.2250409871429804</v>
      </c>
      <c r="AC4" s="42">
        <v>0.22</v>
      </c>
      <c r="AD4" s="26"/>
      <c r="AE4" s="28">
        <v>0.21838007387250719</v>
      </c>
      <c r="AF4" s="28">
        <v>0.48978715205167317</v>
      </c>
      <c r="AG4" s="28">
        <v>0.63681123409248763</v>
      </c>
      <c r="AH4" s="28">
        <v>1.2662535089842362</v>
      </c>
      <c r="AI4" s="28">
        <v>1.833930054213067</v>
      </c>
      <c r="AJ4" s="28">
        <v>2.0007668711656441</v>
      </c>
      <c r="AK4" s="28">
        <v>2.2200000000000002</v>
      </c>
      <c r="AL4" s="28"/>
      <c r="AP4" s="19"/>
      <c r="AQ4" s="19"/>
      <c r="AR4" s="19"/>
    </row>
    <row r="5" spans="2:44">
      <c r="B5" s="17" t="s">
        <v>10</v>
      </c>
      <c r="C5" s="23" t="s">
        <v>6</v>
      </c>
      <c r="D5" s="23">
        <v>15</v>
      </c>
      <c r="E5" s="23">
        <v>271.53952600000002</v>
      </c>
      <c r="F5" s="23">
        <f>+D5*E5</f>
        <v>4073.0928900000004</v>
      </c>
      <c r="G5" s="23">
        <v>932</v>
      </c>
      <c r="H5" s="23">
        <f>6+2774</f>
        <v>2780</v>
      </c>
      <c r="I5" s="23">
        <f>+F5-G5+H5</f>
        <v>5921.0928899999999</v>
      </c>
      <c r="J5" s="24" t="s">
        <v>118</v>
      </c>
      <c r="K5" s="50">
        <v>45903</v>
      </c>
      <c r="L5" s="43">
        <v>0.08</v>
      </c>
      <c r="M5" s="23">
        <v>2203</v>
      </c>
      <c r="O5" s="25">
        <v>11187</v>
      </c>
      <c r="P5" s="25">
        <v>10537</v>
      </c>
      <c r="Q5" s="25">
        <v>7412</v>
      </c>
      <c r="R5" s="25">
        <v>7078</v>
      </c>
      <c r="S5" s="25">
        <v>7033</v>
      </c>
      <c r="T5" s="25">
        <v>7331</v>
      </c>
      <c r="U5" s="25">
        <v>7231</v>
      </c>
      <c r="V5" s="25"/>
      <c r="W5" s="27">
        <v>0.42468937159202647</v>
      </c>
      <c r="X5" s="27">
        <v>0.39479927873208692</v>
      </c>
      <c r="Y5" s="27">
        <v>0.65555855369670801</v>
      </c>
      <c r="Z5" s="27">
        <v>0.42328341339361403</v>
      </c>
      <c r="AA5" s="27">
        <v>0.42627612683065547</v>
      </c>
      <c r="AB5" s="27">
        <v>0.37907516027827037</v>
      </c>
      <c r="AC5" s="27">
        <v>0.38</v>
      </c>
      <c r="AD5" s="26"/>
      <c r="AE5" s="28">
        <v>0.24458008840244158</v>
      </c>
      <c r="AF5" s="28">
        <v>0.16466346153846154</v>
      </c>
      <c r="AG5" s="28">
        <v>0.34554435068944228</v>
      </c>
      <c r="AH5" s="28">
        <v>0.28771695594125501</v>
      </c>
      <c r="AI5" s="28">
        <v>0.34489659773182124</v>
      </c>
      <c r="AJ5" s="28">
        <v>0.46995322058294353</v>
      </c>
      <c r="AK5" s="28">
        <v>0.34</v>
      </c>
      <c r="AL5" s="28"/>
      <c r="AM5" s="24"/>
      <c r="AN5" s="18"/>
      <c r="AP5" s="19"/>
      <c r="AQ5" s="19"/>
      <c r="AR5" s="19"/>
    </row>
    <row r="6" spans="2:44">
      <c r="B6" s="17" t="s">
        <v>12</v>
      </c>
      <c r="C6" s="23" t="s">
        <v>8</v>
      </c>
      <c r="D6" s="23">
        <v>13.89</v>
      </c>
      <c r="E6" s="23">
        <v>112</v>
      </c>
      <c r="F6" s="23">
        <f>+D6*E6</f>
        <v>1555.68</v>
      </c>
      <c r="G6" s="23">
        <v>153</v>
      </c>
      <c r="H6" s="23">
        <v>2072</v>
      </c>
      <c r="I6" s="23">
        <f>+F6-G6+H6</f>
        <v>3474.6800000000003</v>
      </c>
      <c r="J6" s="24" t="s">
        <v>119</v>
      </c>
      <c r="K6" s="50">
        <v>45896</v>
      </c>
      <c r="L6" s="43">
        <v>0.1</v>
      </c>
      <c r="M6" s="23">
        <v>2115</v>
      </c>
      <c r="N6" s="23" t="s">
        <v>120</v>
      </c>
      <c r="O6" s="29">
        <v>7567</v>
      </c>
      <c r="P6" s="29">
        <v>7354</v>
      </c>
      <c r="Q6" s="29">
        <v>7647</v>
      </c>
      <c r="R6" s="29">
        <v>5760</v>
      </c>
      <c r="S6" s="29">
        <v>5623</v>
      </c>
      <c r="T6" s="29">
        <v>5616</v>
      </c>
      <c r="U6" s="29">
        <v>5851</v>
      </c>
      <c r="V6" s="29"/>
      <c r="W6" s="30">
        <v>0.26959164794502444</v>
      </c>
      <c r="X6" s="30">
        <v>0.25890671743268967</v>
      </c>
      <c r="Y6" s="30">
        <v>0.32051785013730877</v>
      </c>
      <c r="Z6" s="30">
        <v>0.34670138888888891</v>
      </c>
      <c r="AA6" s="30">
        <v>0.30766494753690199</v>
      </c>
      <c r="AB6" s="30">
        <v>0.32336714717921339</v>
      </c>
      <c r="AC6" s="30">
        <v>0.3541274995727226</v>
      </c>
      <c r="AD6" s="31"/>
      <c r="AE6" s="32">
        <v>0.45784313725490194</v>
      </c>
      <c r="AF6" s="32">
        <v>0.3797268907563025</v>
      </c>
      <c r="AG6" s="32">
        <v>0.9265605875152999</v>
      </c>
      <c r="AH6" s="32">
        <v>7.6614922383575368E-2</v>
      </c>
      <c r="AI6" s="32">
        <v>0.10578034682080925</v>
      </c>
      <c r="AJ6" s="32">
        <v>7.374793615850303E-2</v>
      </c>
      <c r="AK6" s="32">
        <v>7.0000000000000007E-2</v>
      </c>
      <c r="AL6" s="32"/>
      <c r="AM6" s="24"/>
      <c r="AN6" s="18"/>
    </row>
    <row r="7" spans="2:44">
      <c r="J7" s="24"/>
      <c r="K7" s="24"/>
      <c r="L7" s="43"/>
      <c r="AE7" s="19"/>
      <c r="AF7" s="19"/>
      <c r="AG7" s="19"/>
      <c r="AH7" s="19"/>
      <c r="AI7" s="19"/>
      <c r="AJ7" s="19"/>
      <c r="AK7" s="19"/>
      <c r="AL7" s="19"/>
      <c r="AM7" s="24"/>
      <c r="AN7" s="18"/>
    </row>
    <row r="8" spans="2:44">
      <c r="B8" s="20" t="s">
        <v>19</v>
      </c>
      <c r="J8" s="24"/>
      <c r="K8" s="24"/>
      <c r="L8" s="24"/>
      <c r="AE8" s="18"/>
      <c r="AF8" s="18"/>
      <c r="AG8" s="18"/>
      <c r="AH8" s="18"/>
      <c r="AI8" s="18"/>
      <c r="AJ8" s="18"/>
      <c r="AK8" s="18"/>
      <c r="AL8" s="18"/>
      <c r="AM8" s="24"/>
      <c r="AN8" s="18"/>
    </row>
    <row r="9" spans="2:44">
      <c r="B9" s="17" t="s">
        <v>11</v>
      </c>
      <c r="C9" s="23" t="s">
        <v>7</v>
      </c>
      <c r="J9" s="24"/>
      <c r="K9" s="24"/>
      <c r="L9" s="24"/>
      <c r="AE9" s="18"/>
      <c r="AF9" s="18"/>
      <c r="AG9" s="18"/>
      <c r="AH9" s="18"/>
      <c r="AI9" s="18"/>
      <c r="AJ9" s="18"/>
      <c r="AK9" s="18"/>
      <c r="AL9" s="18"/>
      <c r="AM9" s="23" t="s">
        <v>30</v>
      </c>
      <c r="AN9" s="18"/>
    </row>
    <row r="10" spans="2:44">
      <c r="B10" s="17" t="s">
        <v>36</v>
      </c>
      <c r="J10" s="24"/>
      <c r="K10" s="24"/>
      <c r="L10" s="24"/>
      <c r="AE10" s="18"/>
      <c r="AF10" s="18"/>
      <c r="AG10" s="18"/>
      <c r="AH10" s="18"/>
      <c r="AI10" s="18"/>
      <c r="AJ10" s="18"/>
      <c r="AK10" s="18"/>
      <c r="AL10" s="18"/>
      <c r="AM10" s="23" t="s">
        <v>37</v>
      </c>
      <c r="AN10" s="18"/>
    </row>
    <row r="11" spans="2:44">
      <c r="B11" s="17"/>
      <c r="J11" s="24"/>
      <c r="K11" s="24"/>
      <c r="L11" s="24"/>
      <c r="AE11" s="18"/>
      <c r="AF11" s="18"/>
      <c r="AG11" s="18"/>
      <c r="AH11" s="18"/>
      <c r="AI11" s="18"/>
      <c r="AJ11" s="18"/>
      <c r="AK11" s="18"/>
      <c r="AL11" s="18"/>
      <c r="AN11" s="18"/>
    </row>
    <row r="12" spans="2:44">
      <c r="B12" s="21" t="s">
        <v>31</v>
      </c>
      <c r="J12" s="24"/>
      <c r="K12" s="24"/>
      <c r="L12" s="24"/>
      <c r="AE12" s="18"/>
      <c r="AF12" s="18"/>
      <c r="AG12" s="18"/>
      <c r="AH12" s="18"/>
      <c r="AI12" s="18"/>
      <c r="AJ12" s="18"/>
      <c r="AK12" s="18"/>
      <c r="AL12" s="18"/>
      <c r="AN12" s="18"/>
    </row>
    <row r="13" spans="2:44">
      <c r="B13" s="17" t="s">
        <v>17</v>
      </c>
      <c r="C13" s="23" t="s">
        <v>28</v>
      </c>
      <c r="D13" s="44">
        <v>0.13</v>
      </c>
      <c r="G13" s="23">
        <v>386</v>
      </c>
      <c r="H13" s="23">
        <v>3721</v>
      </c>
      <c r="J13" s="24"/>
      <c r="K13" s="24"/>
      <c r="L13" s="24"/>
      <c r="O13" s="14">
        <v>4550</v>
      </c>
      <c r="W13" s="19">
        <f>+H13/O13</f>
        <v>0.81780219780219776</v>
      </c>
      <c r="AE13" s="19">
        <f>+G13/H13</f>
        <v>0.10373555495834454</v>
      </c>
      <c r="AF13" s="18"/>
      <c r="AG13" s="18"/>
      <c r="AH13" s="18"/>
      <c r="AI13" s="18"/>
      <c r="AJ13" s="18"/>
      <c r="AK13" s="18"/>
      <c r="AL13" s="18"/>
      <c r="AM13" s="23" t="s">
        <v>29</v>
      </c>
      <c r="AN13" s="18"/>
    </row>
    <row r="14" spans="2:44">
      <c r="B14" s="14" t="s">
        <v>18</v>
      </c>
      <c r="C14" s="23" t="s">
        <v>26</v>
      </c>
      <c r="J14" s="24"/>
      <c r="K14" s="24"/>
      <c r="L14" s="24"/>
      <c r="AE14" s="18"/>
      <c r="AF14" s="18"/>
      <c r="AG14" s="18"/>
      <c r="AH14" s="18"/>
      <c r="AI14" s="18"/>
      <c r="AJ14" s="18"/>
      <c r="AK14" s="18"/>
      <c r="AL14" s="18"/>
      <c r="AM14" s="23" t="s">
        <v>27</v>
      </c>
      <c r="AN14" s="18"/>
    </row>
    <row r="15" spans="2:44">
      <c r="J15" s="24"/>
      <c r="K15" s="24"/>
      <c r="L15" s="24"/>
      <c r="AE15" s="18"/>
      <c r="AF15" s="18"/>
      <c r="AG15" s="18"/>
      <c r="AH15" s="18"/>
      <c r="AI15" s="18"/>
      <c r="AJ15" s="18"/>
      <c r="AK15" s="18"/>
      <c r="AL15" s="18"/>
      <c r="AN15" s="18"/>
    </row>
    <row r="16" spans="2:44">
      <c r="B16" s="20" t="s">
        <v>20</v>
      </c>
    </row>
    <row r="17" spans="2:39">
      <c r="B17" s="14" t="s">
        <v>21</v>
      </c>
      <c r="AM17" s="23" t="s">
        <v>32</v>
      </c>
    </row>
    <row r="18" spans="2:39">
      <c r="B18" s="14" t="s">
        <v>22</v>
      </c>
      <c r="AM18" s="23" t="s">
        <v>32</v>
      </c>
    </row>
    <row r="19" spans="2:39">
      <c r="B19" s="14" t="s">
        <v>23</v>
      </c>
      <c r="AM19" s="23" t="s">
        <v>33</v>
      </c>
    </row>
    <row r="20" spans="2:39">
      <c r="B20" s="14" t="s">
        <v>24</v>
      </c>
      <c r="AM20" s="23" t="s">
        <v>34</v>
      </c>
    </row>
    <row r="21" spans="2:39">
      <c r="B21" s="14" t="s">
        <v>25</v>
      </c>
      <c r="AM21" s="23" t="s">
        <v>35</v>
      </c>
    </row>
  </sheetData>
  <mergeCells count="3">
    <mergeCell ref="O2:V2"/>
    <mergeCell ref="W2:AD2"/>
    <mergeCell ref="AE2:AL2"/>
  </mergeCells>
  <hyperlinks>
    <hyperlink ref="B4" r:id="rId1" xr:uid="{65A2DA0C-9FAE-914F-8417-F0877D3E5EAB}"/>
    <hyperlink ref="B5" r:id="rId2" xr:uid="{3D1BC507-2457-4E46-9600-0936C9EBCC06}"/>
    <hyperlink ref="B6" r:id="rId3" xr:uid="{D112D604-AF99-D74D-B1F5-D1FD94DAC1A9}"/>
    <hyperlink ref="B9" r:id="rId4" xr:uid="{366E4211-A022-B14C-BC73-2A23C0AEDA5D}"/>
    <hyperlink ref="B13" r:id="rId5" xr:uid="{F5E6CB65-704E-B04E-B2B0-916776A0AA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C54C-064D-714B-971E-DD248ECCE84E}">
  <sheetPr filterMode="1"/>
  <dimension ref="B1:V49"/>
  <sheetViews>
    <sheetView showGridLines="0" zoomScale="139" workbookViewId="0">
      <pane xSplit="2" ySplit="3" topLeftCell="E17" activePane="bottomRight" state="frozen"/>
      <selection pane="topRight" activeCell="C1" sqref="C1"/>
      <selection pane="bottomLeft" activeCell="A4" sqref="A4"/>
      <selection pane="bottomRight" activeCell="G21" sqref="G21"/>
    </sheetView>
  </sheetViews>
  <sheetFormatPr baseColWidth="10" defaultRowHeight="16"/>
  <cols>
    <col min="1" max="2" width="10.83203125" style="1"/>
    <col min="3" max="3" width="14" style="1" bestFit="1" customWidth="1"/>
    <col min="4" max="4" width="14.1640625" style="1" bestFit="1" customWidth="1"/>
    <col min="5" max="5" width="5.1640625" style="1" bestFit="1" customWidth="1"/>
    <col min="6" max="6" width="7.5" style="1" bestFit="1" customWidth="1"/>
    <col min="7" max="7" width="10" style="1" bestFit="1" customWidth="1"/>
    <col min="8" max="8" width="8.5" style="2" bestFit="1" customWidth="1"/>
    <col min="9" max="9" width="8" style="2" bestFit="1" customWidth="1"/>
    <col min="10" max="10" width="5.6640625" style="3" bestFit="1" customWidth="1"/>
    <col min="11" max="11" width="14.6640625" style="1" bestFit="1" customWidth="1"/>
    <col min="12" max="12" width="7.1640625" style="1" customWidth="1"/>
    <col min="13" max="13" width="9.5" style="1" bestFit="1" customWidth="1"/>
    <col min="14" max="14" width="6.5" style="1" bestFit="1" customWidth="1"/>
    <col min="15" max="15" width="11.6640625" style="1" bestFit="1" customWidth="1"/>
    <col min="16" max="16" width="12.6640625" style="1" bestFit="1" customWidth="1"/>
    <col min="17" max="17" width="16.33203125" style="1" bestFit="1" customWidth="1"/>
    <col min="18" max="18" width="14.33203125" style="1" bestFit="1" customWidth="1"/>
    <col min="19" max="16384" width="10.83203125" style="1"/>
  </cols>
  <sheetData>
    <row r="1" spans="2:22">
      <c r="Q1" s="2">
        <f ca="1">TODAY()</f>
        <v>45897</v>
      </c>
      <c r="R1" s="1">
        <v>100</v>
      </c>
    </row>
    <row r="2" spans="2:22">
      <c r="P2" s="48" t="s">
        <v>71</v>
      </c>
      <c r="Q2" s="48"/>
      <c r="R2" s="48"/>
      <c r="S2" s="48"/>
      <c r="T2" s="48"/>
    </row>
    <row r="3" spans="2:22">
      <c r="B3" s="4" t="s">
        <v>66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55</v>
      </c>
      <c r="H3" s="5" t="s">
        <v>44</v>
      </c>
      <c r="I3" s="5" t="s">
        <v>78</v>
      </c>
      <c r="J3" s="6" t="s">
        <v>45</v>
      </c>
      <c r="K3" s="4" t="s">
        <v>1</v>
      </c>
      <c r="L3" s="4" t="s">
        <v>88</v>
      </c>
      <c r="M3" s="4" t="s">
        <v>90</v>
      </c>
      <c r="N3" s="4" t="s">
        <v>68</v>
      </c>
      <c r="O3" s="4" t="s">
        <v>91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7" t="s">
        <v>84</v>
      </c>
      <c r="V3" s="7"/>
    </row>
    <row r="4" spans="2:22" hidden="1">
      <c r="B4" s="33" t="s">
        <v>110</v>
      </c>
      <c r="C4" s="7" t="s">
        <v>52</v>
      </c>
      <c r="D4" s="7">
        <v>812404408</v>
      </c>
      <c r="E4" s="7" t="s">
        <v>53</v>
      </c>
      <c r="F4" s="12">
        <v>7.0000000000000007E-2</v>
      </c>
      <c r="G4" s="9"/>
      <c r="H4" s="11">
        <v>52062</v>
      </c>
      <c r="I4" s="11"/>
      <c r="J4" s="3">
        <f t="shared" ref="J4:J34" ca="1" si="0">(H4-$Q$1)/365</f>
        <v>16.890410958904109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2:22" hidden="1">
      <c r="B5" s="1" t="s">
        <v>28</v>
      </c>
      <c r="C5" s="7"/>
      <c r="D5" s="7" t="s">
        <v>54</v>
      </c>
      <c r="E5" s="7"/>
      <c r="F5" s="12">
        <v>5.6500000000000002E-2</v>
      </c>
      <c r="G5" s="11">
        <v>40322</v>
      </c>
      <c r="H5" s="11">
        <v>43983</v>
      </c>
      <c r="I5" s="11"/>
      <c r="J5" s="3">
        <f t="shared" ca="1" si="0"/>
        <v>-5.2438356164383562</v>
      </c>
      <c r="K5" s="13">
        <v>0.17299999999999999</v>
      </c>
      <c r="L5" s="7"/>
      <c r="M5" s="7"/>
      <c r="N5" s="7" t="s">
        <v>70</v>
      </c>
      <c r="O5" s="7"/>
      <c r="P5" s="3"/>
      <c r="Q5" s="3"/>
      <c r="R5" s="8"/>
      <c r="S5" s="9"/>
      <c r="T5" s="10"/>
      <c r="U5" s="7"/>
      <c r="V5" s="7"/>
    </row>
    <row r="6" spans="2:22" hidden="1">
      <c r="B6" s="1" t="s">
        <v>28</v>
      </c>
      <c r="C6" s="7"/>
      <c r="D6" s="7" t="s">
        <v>56</v>
      </c>
      <c r="E6" s="7"/>
      <c r="F6" s="12">
        <v>5.8749999999999997E-2</v>
      </c>
      <c r="G6" s="11">
        <v>42544</v>
      </c>
      <c r="H6" s="11">
        <v>45108</v>
      </c>
      <c r="I6" s="11"/>
      <c r="J6" s="3">
        <f t="shared" ca="1" si="0"/>
        <v>-2.1616438356164385</v>
      </c>
      <c r="K6" s="13">
        <v>0.17299999999999999</v>
      </c>
      <c r="L6" s="7"/>
      <c r="M6" s="7"/>
      <c r="N6" s="7" t="s">
        <v>70</v>
      </c>
      <c r="O6" s="7"/>
      <c r="P6" s="3"/>
      <c r="Q6" s="3"/>
      <c r="R6" s="8"/>
      <c r="S6" s="9"/>
      <c r="T6" s="10"/>
      <c r="U6" s="7"/>
      <c r="V6" s="7"/>
    </row>
    <row r="7" spans="2:22" hidden="1">
      <c r="B7" s="1" t="s">
        <v>28</v>
      </c>
      <c r="C7" s="7"/>
      <c r="D7" s="7" t="s">
        <v>57</v>
      </c>
      <c r="E7" s="7"/>
      <c r="F7" s="12">
        <v>5.8749999999999997E-2</v>
      </c>
      <c r="G7" s="11">
        <v>42544</v>
      </c>
      <c r="H7" s="11">
        <v>45108</v>
      </c>
      <c r="I7" s="11"/>
      <c r="J7" s="3">
        <f t="shared" ca="1" si="0"/>
        <v>-2.1616438356164385</v>
      </c>
      <c r="K7" s="13">
        <v>8</v>
      </c>
      <c r="L7" s="7"/>
      <c r="M7" s="7"/>
      <c r="N7" s="7"/>
      <c r="O7" s="7"/>
      <c r="P7" s="3"/>
      <c r="Q7" s="3"/>
      <c r="R7" s="8"/>
      <c r="S7" s="9"/>
      <c r="T7" s="10"/>
      <c r="U7" s="7"/>
      <c r="V7" s="7"/>
    </row>
    <row r="8" spans="2:22" hidden="1">
      <c r="B8" s="1" t="s">
        <v>28</v>
      </c>
      <c r="C8" s="7"/>
      <c r="D8" s="7" t="s">
        <v>58</v>
      </c>
      <c r="E8" s="7"/>
      <c r="F8" s="12">
        <v>0</v>
      </c>
      <c r="G8" s="11">
        <v>42544</v>
      </c>
      <c r="H8" s="11">
        <v>45108</v>
      </c>
      <c r="I8" s="11"/>
      <c r="J8" s="3">
        <f t="shared" ca="1" si="0"/>
        <v>-2.1616438356164385</v>
      </c>
      <c r="K8" s="13">
        <v>3</v>
      </c>
      <c r="L8" s="7"/>
      <c r="M8" s="7"/>
      <c r="N8" s="7" t="s">
        <v>69</v>
      </c>
      <c r="O8" s="7"/>
      <c r="P8" s="3"/>
      <c r="Q8" s="3"/>
      <c r="R8" s="8"/>
      <c r="S8" s="9"/>
      <c r="T8" s="10"/>
      <c r="U8" s="7"/>
      <c r="V8" s="7"/>
    </row>
    <row r="9" spans="2:22" hidden="1">
      <c r="B9" s="1" t="s">
        <v>28</v>
      </c>
      <c r="C9" s="7"/>
      <c r="D9" s="7" t="s">
        <v>67</v>
      </c>
      <c r="E9" s="7"/>
      <c r="F9" s="12">
        <v>7.1249999999999994E-2</v>
      </c>
      <c r="G9" s="11">
        <v>34296</v>
      </c>
      <c r="H9" s="11">
        <v>45245</v>
      </c>
      <c r="I9" s="11"/>
      <c r="J9" s="3">
        <f t="shared" ca="1" si="0"/>
        <v>-1.7863013698630137</v>
      </c>
      <c r="K9" s="13">
        <v>3</v>
      </c>
      <c r="L9" s="7"/>
      <c r="M9" s="7"/>
      <c r="N9" s="7"/>
      <c r="O9" s="7"/>
      <c r="P9" s="3"/>
      <c r="Q9" s="3"/>
      <c r="R9" s="8"/>
      <c r="S9" s="9"/>
      <c r="T9" s="10"/>
      <c r="U9" s="7"/>
      <c r="V9" s="7"/>
    </row>
    <row r="10" spans="2:22" hidden="1">
      <c r="B10" s="1" t="s">
        <v>28</v>
      </c>
      <c r="C10" s="7"/>
      <c r="D10" s="7" t="s">
        <v>59</v>
      </c>
      <c r="E10" s="7"/>
      <c r="F10" s="12">
        <v>8.6249999999999993E-2</v>
      </c>
      <c r="G10" s="11">
        <v>43171</v>
      </c>
      <c r="H10" s="11">
        <v>45731</v>
      </c>
      <c r="I10" s="11"/>
      <c r="J10" s="3">
        <f t="shared" ca="1" si="0"/>
        <v>-0.45479452054794522</v>
      </c>
      <c r="K10" s="13">
        <v>0.39500000000000002</v>
      </c>
      <c r="L10" s="7"/>
      <c r="M10" s="7"/>
      <c r="N10" s="7" t="s">
        <v>70</v>
      </c>
      <c r="O10" s="7"/>
      <c r="P10" s="3"/>
      <c r="Q10" s="3"/>
      <c r="R10" s="8"/>
      <c r="S10" s="9"/>
      <c r="T10" s="10"/>
      <c r="U10" s="7"/>
      <c r="V10" s="7"/>
    </row>
    <row r="11" spans="2:22" hidden="1">
      <c r="B11" s="1" t="s">
        <v>28</v>
      </c>
      <c r="C11" s="7"/>
      <c r="D11" s="7" t="s">
        <v>60</v>
      </c>
      <c r="E11" s="7"/>
      <c r="F11" s="12">
        <v>8.6249999999999993E-2</v>
      </c>
      <c r="G11" s="11">
        <v>43171</v>
      </c>
      <c r="H11" s="11">
        <v>45731</v>
      </c>
      <c r="I11" s="11"/>
      <c r="J11" s="3">
        <f t="shared" ca="1" si="0"/>
        <v>-0.45479452054794522</v>
      </c>
      <c r="K11" s="13">
        <v>0.39500000000000002</v>
      </c>
      <c r="L11" s="7"/>
      <c r="M11" s="7"/>
      <c r="N11" s="7" t="s">
        <v>69</v>
      </c>
      <c r="O11" s="7"/>
      <c r="P11" s="3"/>
      <c r="Q11" s="3"/>
      <c r="R11" s="8"/>
      <c r="S11" s="9"/>
      <c r="T11" s="10"/>
      <c r="U11" s="7"/>
      <c r="V11" s="7"/>
    </row>
    <row r="12" spans="2:22" hidden="1">
      <c r="B12" s="1" t="s">
        <v>28</v>
      </c>
      <c r="C12" s="7"/>
      <c r="D12" s="7" t="s">
        <v>62</v>
      </c>
      <c r="E12" s="7"/>
      <c r="F12" s="12">
        <v>6.9000000000000006E-2</v>
      </c>
      <c r="G12" s="11">
        <v>35296</v>
      </c>
      <c r="H12" s="11">
        <v>46249</v>
      </c>
      <c r="I12" s="11"/>
      <c r="J12" s="3">
        <f t="shared" ca="1" si="0"/>
        <v>0.96438356164383565</v>
      </c>
      <c r="K12" s="13">
        <v>1</v>
      </c>
      <c r="L12" s="7"/>
      <c r="M12" s="7"/>
      <c r="N12" s="7" t="s">
        <v>69</v>
      </c>
      <c r="O12" s="7"/>
      <c r="P12" s="3"/>
      <c r="Q12" s="3"/>
      <c r="R12" s="8"/>
      <c r="S12" s="9"/>
      <c r="T12" s="10"/>
      <c r="U12" s="7"/>
      <c r="V12" s="7"/>
    </row>
    <row r="13" spans="2:22" hidden="1">
      <c r="B13" s="1" t="s">
        <v>28</v>
      </c>
      <c r="C13" s="7"/>
      <c r="D13" s="7" t="s">
        <v>61</v>
      </c>
      <c r="E13" s="7"/>
      <c r="F13" s="12">
        <v>0</v>
      </c>
      <c r="G13" s="11">
        <v>35534</v>
      </c>
      <c r="H13" s="11">
        <v>46478</v>
      </c>
      <c r="I13" s="11"/>
      <c r="J13" s="3">
        <f t="shared" ca="1" si="0"/>
        <v>1.5917808219178082</v>
      </c>
      <c r="K13" s="13">
        <v>1</v>
      </c>
      <c r="L13" s="7"/>
      <c r="M13" s="7"/>
      <c r="N13" s="7" t="s">
        <v>69</v>
      </c>
      <c r="O13" s="7"/>
      <c r="P13" s="3"/>
      <c r="Q13" s="3"/>
      <c r="R13" s="8"/>
      <c r="S13" s="9"/>
      <c r="T13" s="10"/>
      <c r="U13" s="7"/>
      <c r="V13" s="7"/>
    </row>
    <row r="14" spans="2:22" hidden="1">
      <c r="B14" s="1" t="s">
        <v>28</v>
      </c>
      <c r="C14" s="7"/>
      <c r="D14" s="7" t="s">
        <v>63</v>
      </c>
      <c r="E14" s="7"/>
      <c r="F14" s="12">
        <v>6.3750000000000001E-2</v>
      </c>
      <c r="G14" s="11">
        <v>43948</v>
      </c>
      <c r="H14" s="11">
        <v>45214</v>
      </c>
      <c r="I14" s="11"/>
      <c r="J14" s="3">
        <f t="shared" ca="1" si="0"/>
        <v>-1.8712328767123287</v>
      </c>
      <c r="K14" s="13">
        <v>0.7</v>
      </c>
      <c r="L14" s="7"/>
      <c r="M14" s="7"/>
      <c r="N14" s="7" t="s">
        <v>69</v>
      </c>
      <c r="O14" s="7"/>
      <c r="P14" s="3"/>
      <c r="Q14" s="3"/>
      <c r="R14" s="8"/>
      <c r="S14" s="9"/>
      <c r="T14" s="10"/>
      <c r="U14" s="7"/>
      <c r="V14" s="7"/>
    </row>
    <row r="15" spans="2:22" hidden="1">
      <c r="B15" s="1" t="s">
        <v>28</v>
      </c>
      <c r="C15" s="7"/>
      <c r="D15" s="7" t="s">
        <v>64</v>
      </c>
      <c r="E15" s="7"/>
      <c r="F15" s="7">
        <v>7.4</v>
      </c>
      <c r="G15" s="11">
        <v>35534</v>
      </c>
      <c r="H15" s="11">
        <v>50131</v>
      </c>
      <c r="I15" s="11"/>
      <c r="J15" s="3">
        <f t="shared" ca="1" si="0"/>
        <v>11.6</v>
      </c>
      <c r="K15" s="13">
        <v>0.7</v>
      </c>
      <c r="L15" s="7"/>
      <c r="M15" s="7"/>
      <c r="N15" s="7" t="s">
        <v>69</v>
      </c>
      <c r="O15" s="7"/>
      <c r="P15" s="3"/>
      <c r="Q15" s="3"/>
      <c r="R15" s="8"/>
      <c r="S15" s="9"/>
      <c r="T15" s="10"/>
      <c r="U15" s="7"/>
      <c r="V15" s="7"/>
    </row>
    <row r="16" spans="2:22" hidden="1">
      <c r="B16" s="1" t="s">
        <v>28</v>
      </c>
      <c r="C16" s="7"/>
      <c r="D16" s="7" t="s">
        <v>65</v>
      </c>
      <c r="E16" s="7"/>
      <c r="F16" s="7">
        <v>7.625</v>
      </c>
      <c r="G16" s="11">
        <v>35486</v>
      </c>
      <c r="H16" s="11">
        <v>72015</v>
      </c>
      <c r="I16" s="11"/>
      <c r="J16" s="3">
        <f t="shared" ca="1" si="0"/>
        <v>71.556164383561651</v>
      </c>
      <c r="K16" s="13">
        <v>6.95</v>
      </c>
      <c r="L16" s="7"/>
      <c r="M16" s="7"/>
      <c r="N16" s="7" t="s">
        <v>69</v>
      </c>
      <c r="O16" s="7"/>
      <c r="P16" s="3"/>
      <c r="Q16" s="3"/>
      <c r="R16" s="8"/>
      <c r="S16" s="9"/>
      <c r="T16" s="10"/>
      <c r="U16" s="7"/>
      <c r="V16" s="7"/>
    </row>
    <row r="17" spans="2:21">
      <c r="B17" s="1" t="s">
        <v>8</v>
      </c>
      <c r="C17" s="22" t="s">
        <v>76</v>
      </c>
      <c r="D17" s="49" t="s">
        <v>77</v>
      </c>
      <c r="E17" s="7" t="s">
        <v>51</v>
      </c>
      <c r="F17" s="12">
        <v>6.8750000000000006E-2</v>
      </c>
      <c r="G17" s="12"/>
      <c r="H17" s="11">
        <v>50389</v>
      </c>
      <c r="I17" s="11" t="s">
        <v>92</v>
      </c>
      <c r="J17" s="3">
        <f t="shared" ca="1" si="0"/>
        <v>12.306849315068494</v>
      </c>
      <c r="K17" s="7">
        <v>68.83</v>
      </c>
      <c r="L17" s="7" t="s">
        <v>89</v>
      </c>
      <c r="M17" s="11">
        <v>45645</v>
      </c>
      <c r="N17" s="7" t="s">
        <v>87</v>
      </c>
      <c r="O17" s="11">
        <v>45790</v>
      </c>
      <c r="P17" s="3">
        <f t="shared" ref="P17:P34" ca="1" si="1">+(F17*$R$1) * J17</f>
        <v>84.609589041095902</v>
      </c>
      <c r="Q17" s="3">
        <f t="shared" ref="Q17:Q34" si="2">($R$1-K17)</f>
        <v>31.17</v>
      </c>
      <c r="R17" s="8">
        <f t="shared" ref="R17:R25" ca="1" si="3">SUM(P17:Q17)</f>
        <v>115.7795890410959</v>
      </c>
      <c r="S17" s="9">
        <f t="shared" ref="S17:S34" ca="1" si="4">+R17/$K17</f>
        <v>1.6821093860394583</v>
      </c>
      <c r="T17" s="51">
        <f t="shared" ref="T17:T34" ca="1" si="5">IFERROR(YIELD($Q$1,H17,F17,K17,$R$1,2,0), "")</f>
        <v>0.11719010547656893</v>
      </c>
      <c r="U17" s="12">
        <f t="shared" ref="U17:U34" si="6">+IFERROR((F17*$R$1)/K17, "")</f>
        <v>9.988377161121606E-2</v>
      </c>
    </row>
    <row r="18" spans="2:21">
      <c r="B18" s="1" t="s">
        <v>8</v>
      </c>
      <c r="C18" s="22" t="s">
        <v>80</v>
      </c>
      <c r="D18" s="49" t="s">
        <v>81</v>
      </c>
      <c r="E18" s="7" t="s">
        <v>51</v>
      </c>
      <c r="F18" s="12">
        <v>0.06</v>
      </c>
      <c r="G18" s="7"/>
      <c r="H18" s="11">
        <v>48594</v>
      </c>
      <c r="I18" s="11" t="s">
        <v>92</v>
      </c>
      <c r="J18" s="3">
        <f t="shared" ca="1" si="0"/>
        <v>7.3890410958904109</v>
      </c>
      <c r="K18" s="7">
        <v>72.5</v>
      </c>
      <c r="L18" s="7" t="s">
        <v>89</v>
      </c>
      <c r="M18" s="11">
        <v>45645</v>
      </c>
      <c r="N18" s="7" t="s">
        <v>87</v>
      </c>
      <c r="O18" s="11">
        <v>45790</v>
      </c>
      <c r="P18" s="3">
        <f t="shared" ca="1" si="1"/>
        <v>44.334246575342462</v>
      </c>
      <c r="Q18" s="3">
        <f t="shared" si="2"/>
        <v>27.5</v>
      </c>
      <c r="R18" s="8">
        <f t="shared" ca="1" si="3"/>
        <v>71.834246575342462</v>
      </c>
      <c r="S18" s="9">
        <f t="shared" ca="1" si="4"/>
        <v>0.99081719414265468</v>
      </c>
      <c r="T18" s="51">
        <f t="shared" ca="1" si="5"/>
        <v>0.11653408257230266</v>
      </c>
      <c r="U18" s="12">
        <f t="shared" si="6"/>
        <v>8.2758620689655171E-2</v>
      </c>
    </row>
    <row r="19" spans="2:21">
      <c r="B19" s="1" t="s">
        <v>8</v>
      </c>
      <c r="C19" s="22" t="s">
        <v>82</v>
      </c>
      <c r="D19" s="49" t="s">
        <v>83</v>
      </c>
      <c r="E19" s="7" t="s">
        <v>51</v>
      </c>
      <c r="F19" s="12">
        <v>5.5500000000000001E-2</v>
      </c>
      <c r="G19" s="7"/>
      <c r="H19" s="11">
        <v>53160</v>
      </c>
      <c r="I19" s="11" t="s">
        <v>79</v>
      </c>
      <c r="J19" s="3">
        <f t="shared" ca="1" si="0"/>
        <v>19.898630136986302</v>
      </c>
      <c r="K19" s="7">
        <v>61.125</v>
      </c>
      <c r="L19" s="7" t="s">
        <v>89</v>
      </c>
      <c r="M19" s="11">
        <v>45645</v>
      </c>
      <c r="N19" s="7" t="s">
        <v>87</v>
      </c>
      <c r="O19" s="11">
        <v>45790</v>
      </c>
      <c r="P19" s="3">
        <f t="shared" ca="1" si="1"/>
        <v>110.43739726027397</v>
      </c>
      <c r="Q19" s="3">
        <f t="shared" si="2"/>
        <v>38.875</v>
      </c>
      <c r="R19" s="8">
        <f t="shared" ca="1" si="3"/>
        <v>149.31239726027397</v>
      </c>
      <c r="S19" s="9">
        <f t="shared" ca="1" si="4"/>
        <v>2.4427386054850548</v>
      </c>
      <c r="T19" s="51">
        <f t="shared" ca="1" si="5"/>
        <v>0.10127751463530528</v>
      </c>
      <c r="U19" s="12">
        <f t="shared" si="6"/>
        <v>9.0797546012269942E-2</v>
      </c>
    </row>
    <row r="20" spans="2:21">
      <c r="B20" s="1" t="s">
        <v>8</v>
      </c>
      <c r="C20" s="22" t="s">
        <v>85</v>
      </c>
      <c r="D20" s="49" t="s">
        <v>86</v>
      </c>
      <c r="E20" s="7" t="s">
        <v>51</v>
      </c>
      <c r="F20" s="12">
        <v>5.1249999999999997E-2</v>
      </c>
      <c r="G20" s="7"/>
      <c r="H20" s="11">
        <v>47969</v>
      </c>
      <c r="I20" s="11" t="s">
        <v>79</v>
      </c>
      <c r="J20" s="3">
        <f t="shared" ca="1" si="0"/>
        <v>5.6767123287671231</v>
      </c>
      <c r="K20" s="7">
        <v>79.5</v>
      </c>
      <c r="L20" s="7" t="s">
        <v>89</v>
      </c>
      <c r="M20" s="11">
        <v>45645</v>
      </c>
      <c r="N20" s="7" t="s">
        <v>87</v>
      </c>
      <c r="O20" s="11">
        <v>45790</v>
      </c>
      <c r="P20" s="3">
        <f t="shared" ca="1" si="1"/>
        <v>29.093150684931505</v>
      </c>
      <c r="Q20" s="3">
        <f t="shared" si="2"/>
        <v>20.5</v>
      </c>
      <c r="R20" s="8">
        <f t="shared" ca="1" si="3"/>
        <v>49.593150684931501</v>
      </c>
      <c r="S20" s="9">
        <f t="shared" ca="1" si="4"/>
        <v>0.62381321616266039</v>
      </c>
      <c r="T20" s="51">
        <f t="shared" ca="1" si="5"/>
        <v>9.9341572743268894E-2</v>
      </c>
      <c r="U20" s="12">
        <f t="shared" si="6"/>
        <v>6.4465408805031446E-2</v>
      </c>
    </row>
    <row r="21" spans="2:21">
      <c r="B21" s="1" t="s">
        <v>8</v>
      </c>
      <c r="C21" s="22"/>
      <c r="D21" s="49" t="s">
        <v>111</v>
      </c>
      <c r="E21" s="7" t="s">
        <v>51</v>
      </c>
      <c r="F21" s="12">
        <v>0.1</v>
      </c>
      <c r="G21" s="7"/>
      <c r="H21" s="11">
        <v>47635</v>
      </c>
      <c r="I21" s="11"/>
      <c r="J21" s="3">
        <f t="shared" ca="1" si="0"/>
        <v>4.7616438356164386</v>
      </c>
      <c r="K21" s="7">
        <v>107.1</v>
      </c>
      <c r="L21" s="7"/>
      <c r="M21" s="7"/>
      <c r="N21" s="35" t="s">
        <v>93</v>
      </c>
      <c r="O21" s="11"/>
      <c r="P21" s="3">
        <f t="shared" ca="1" si="1"/>
        <v>47.616438356164387</v>
      </c>
      <c r="Q21" s="3">
        <f t="shared" si="2"/>
        <v>-7.0999999999999943</v>
      </c>
      <c r="R21" s="8">
        <f t="shared" ref="R21" ca="1" si="7">SUM(P21:Q21)</f>
        <v>40.516438356164393</v>
      </c>
      <c r="S21" s="9">
        <f t="shared" ca="1" si="4"/>
        <v>0.37830474655615681</v>
      </c>
      <c r="T21" s="51">
        <f t="shared" ca="1" si="5"/>
        <v>8.1630639583665204E-2</v>
      </c>
      <c r="U21" s="12">
        <f t="shared" si="6"/>
        <v>9.3370681605975725E-2</v>
      </c>
    </row>
    <row r="22" spans="2:21">
      <c r="B22" s="33" t="s">
        <v>6</v>
      </c>
      <c r="C22" s="22" t="s">
        <v>95</v>
      </c>
      <c r="D22" s="49" t="s">
        <v>96</v>
      </c>
      <c r="E22" s="7" t="s">
        <v>51</v>
      </c>
      <c r="F22" s="12">
        <v>7.0000000000000007E-2</v>
      </c>
      <c r="G22" s="7"/>
      <c r="H22" s="11">
        <v>46798</v>
      </c>
      <c r="I22" s="34" t="s">
        <v>92</v>
      </c>
      <c r="J22" s="3">
        <f t="shared" ca="1" si="0"/>
        <v>2.4684931506849317</v>
      </c>
      <c r="K22" s="7">
        <v>107.1</v>
      </c>
      <c r="L22" s="35" t="s">
        <v>94</v>
      </c>
      <c r="M22" s="11">
        <v>44882</v>
      </c>
      <c r="N22" s="35" t="s">
        <v>97</v>
      </c>
      <c r="O22" s="11">
        <v>45740</v>
      </c>
      <c r="P22" s="3">
        <f t="shared" ca="1" si="1"/>
        <v>17.279452054794525</v>
      </c>
      <c r="Q22" s="3">
        <f t="shared" si="2"/>
        <v>-7.0999999999999943</v>
      </c>
      <c r="R22" s="8">
        <f t="shared" ca="1" si="3"/>
        <v>10.179452054794531</v>
      </c>
      <c r="S22" s="9">
        <f t="shared" ca="1" si="4"/>
        <v>9.5046237673151554E-2</v>
      </c>
      <c r="T22" s="51">
        <f t="shared" ca="1" si="5"/>
        <v>3.9466984869582764E-2</v>
      </c>
      <c r="U22" s="12">
        <f t="shared" si="6"/>
        <v>6.5359477124183024E-2</v>
      </c>
    </row>
    <row r="23" spans="2:21">
      <c r="B23" s="33" t="s">
        <v>6</v>
      </c>
      <c r="C23" s="22" t="s">
        <v>98</v>
      </c>
      <c r="D23" s="49" t="s">
        <v>99</v>
      </c>
      <c r="E23" s="7" t="s">
        <v>51</v>
      </c>
      <c r="F23" s="12">
        <v>4.4999999999999998E-2</v>
      </c>
      <c r="G23" s="7"/>
      <c r="H23" s="11">
        <v>49293</v>
      </c>
      <c r="I23" s="11" t="s">
        <v>79</v>
      </c>
      <c r="J23" s="3">
        <f t="shared" ca="1" si="0"/>
        <v>9.3041095890410954</v>
      </c>
      <c r="K23" s="7">
        <v>82.52</v>
      </c>
      <c r="L23" s="35" t="s">
        <v>94</v>
      </c>
      <c r="M23" s="11">
        <v>44882</v>
      </c>
      <c r="N23" s="35" t="s">
        <v>97</v>
      </c>
      <c r="O23" s="11">
        <v>45740</v>
      </c>
      <c r="P23" s="3">
        <f t="shared" ca="1" si="1"/>
        <v>41.868493150684927</v>
      </c>
      <c r="Q23" s="3">
        <f t="shared" si="2"/>
        <v>17.480000000000004</v>
      </c>
      <c r="R23" s="8">
        <f t="shared" ca="1" si="3"/>
        <v>59.348493150684931</v>
      </c>
      <c r="S23" s="9">
        <f t="shared" ca="1" si="4"/>
        <v>0.71920132271794635</v>
      </c>
      <c r="T23" s="51">
        <f t="shared" ca="1" si="5"/>
        <v>7.09894823807692E-2</v>
      </c>
      <c r="U23" s="12">
        <f t="shared" si="6"/>
        <v>5.453223460979157E-2</v>
      </c>
    </row>
    <row r="24" spans="2:21">
      <c r="B24" s="33" t="s">
        <v>6</v>
      </c>
      <c r="C24" s="22" t="s">
        <v>100</v>
      </c>
      <c r="D24" s="49" t="s">
        <v>101</v>
      </c>
      <c r="E24" s="7" t="s">
        <v>51</v>
      </c>
      <c r="F24" s="12">
        <v>5.1249999999999997E-2</v>
      </c>
      <c r="G24" s="34">
        <v>41287</v>
      </c>
      <c r="H24" s="11">
        <v>51881</v>
      </c>
      <c r="I24" s="11" t="s">
        <v>79</v>
      </c>
      <c r="J24" s="3">
        <f t="shared" ca="1" si="0"/>
        <v>16.394520547945206</v>
      </c>
      <c r="K24" s="7">
        <v>72.992000000000004</v>
      </c>
      <c r="L24" s="35" t="s">
        <v>94</v>
      </c>
      <c r="M24" s="11">
        <v>44882</v>
      </c>
      <c r="N24" s="35" t="s">
        <v>97</v>
      </c>
      <c r="O24" s="11">
        <v>45740</v>
      </c>
      <c r="P24" s="8">
        <f t="shared" ca="1" si="1"/>
        <v>84.021917808219172</v>
      </c>
      <c r="Q24" s="8">
        <f t="shared" si="2"/>
        <v>27.007999999999996</v>
      </c>
      <c r="R24" s="8">
        <f t="shared" ca="1" si="3"/>
        <v>111.02991780821917</v>
      </c>
      <c r="S24" s="9">
        <f t="shared" ca="1" si="4"/>
        <v>1.5211244767675796</v>
      </c>
      <c r="T24" s="52">
        <f t="shared" ca="1" si="5"/>
        <v>8.1377607433126539E-2</v>
      </c>
      <c r="U24" s="12">
        <f t="shared" si="6"/>
        <v>7.0213174046470844E-2</v>
      </c>
    </row>
    <row r="25" spans="2:21">
      <c r="B25" s="33" t="s">
        <v>6</v>
      </c>
      <c r="C25" s="22" t="s">
        <v>102</v>
      </c>
      <c r="D25" s="49" t="s">
        <v>103</v>
      </c>
      <c r="E25" s="7" t="s">
        <v>51</v>
      </c>
      <c r="F25" s="12">
        <v>4.2999999999999997E-2</v>
      </c>
      <c r="G25" s="11">
        <v>41233</v>
      </c>
      <c r="H25" s="11">
        <v>52277</v>
      </c>
      <c r="I25" s="11" t="s">
        <v>79</v>
      </c>
      <c r="J25" s="3">
        <f t="shared" ca="1" si="0"/>
        <v>17.479452054794521</v>
      </c>
      <c r="K25" s="7">
        <v>67.141000000000005</v>
      </c>
      <c r="L25" s="35" t="s">
        <v>94</v>
      </c>
      <c r="M25" s="11">
        <v>44882</v>
      </c>
      <c r="N25" s="35" t="s">
        <v>97</v>
      </c>
      <c r="O25" s="11">
        <v>45740</v>
      </c>
      <c r="P25" s="8">
        <f t="shared" ca="1" si="1"/>
        <v>75.161643835616431</v>
      </c>
      <c r="Q25" s="8">
        <f t="shared" si="2"/>
        <v>32.858999999999995</v>
      </c>
      <c r="R25" s="8">
        <f t="shared" ca="1" si="3"/>
        <v>108.02064383561643</v>
      </c>
      <c r="S25" s="9">
        <f t="shared" ca="1" si="4"/>
        <v>1.6088626001342907</v>
      </c>
      <c r="T25" s="52">
        <f t="shared" ca="1" si="5"/>
        <v>7.7691498964706632E-2</v>
      </c>
      <c r="U25" s="12">
        <f t="shared" si="6"/>
        <v>6.4044324630255722E-2</v>
      </c>
    </row>
    <row r="26" spans="2:21">
      <c r="B26" s="33" t="s">
        <v>6</v>
      </c>
      <c r="D26" s="36" t="s">
        <v>104</v>
      </c>
      <c r="E26" s="36" t="s">
        <v>51</v>
      </c>
      <c r="F26" s="37">
        <v>6.3750000000000001E-2</v>
      </c>
      <c r="G26" s="38">
        <v>39153</v>
      </c>
      <c r="H26" s="38">
        <v>50114</v>
      </c>
      <c r="I26" s="38"/>
      <c r="J26" s="39">
        <f t="shared" ca="1" si="0"/>
        <v>11.553424657534247</v>
      </c>
      <c r="K26" s="36">
        <v>84.616</v>
      </c>
      <c r="L26" s="36"/>
      <c r="M26" s="36"/>
      <c r="N26" s="36" t="s">
        <v>97</v>
      </c>
      <c r="O26" s="38">
        <v>45740</v>
      </c>
      <c r="P26" s="40">
        <f t="shared" ca="1" si="1"/>
        <v>73.653082191780825</v>
      </c>
      <c r="Q26" s="40">
        <f t="shared" si="2"/>
        <v>15.384</v>
      </c>
      <c r="R26" s="40">
        <f t="shared" ref="R26:R34" ca="1" si="8">SUM(P26:Q26)</f>
        <v>89.037082191780826</v>
      </c>
      <c r="S26" s="41">
        <f t="shared" ca="1" si="4"/>
        <v>1.0522487731845138</v>
      </c>
      <c r="T26" s="53">
        <f t="shared" ca="1" si="5"/>
        <v>8.4906104019185608E-2</v>
      </c>
      <c r="U26" s="37">
        <f t="shared" si="6"/>
        <v>7.5340361161009742E-2</v>
      </c>
    </row>
    <row r="27" spans="2:21">
      <c r="B27" s="33" t="s">
        <v>6</v>
      </c>
      <c r="D27" s="49" t="s">
        <v>105</v>
      </c>
      <c r="E27" s="7" t="s">
        <v>51</v>
      </c>
      <c r="F27" s="12">
        <v>4.4999999999999998E-2</v>
      </c>
      <c r="G27" s="11">
        <v>41961</v>
      </c>
      <c r="H27" s="11">
        <v>49293</v>
      </c>
      <c r="I27" s="11"/>
      <c r="J27" s="3">
        <f t="shared" ca="1" si="0"/>
        <v>9.3041095890410954</v>
      </c>
      <c r="K27" s="7">
        <v>82.552000000000007</v>
      </c>
      <c r="L27" s="7"/>
      <c r="M27" s="7"/>
      <c r="N27" s="7"/>
      <c r="O27" s="7"/>
      <c r="P27" s="8">
        <f t="shared" ca="1" si="1"/>
        <v>41.868493150684927</v>
      </c>
      <c r="Q27" s="8">
        <f t="shared" si="2"/>
        <v>17.447999999999993</v>
      </c>
      <c r="R27" s="8">
        <f t="shared" ca="1" si="8"/>
        <v>59.31649315068492</v>
      </c>
      <c r="S27" s="9">
        <f t="shared" ca="1" si="4"/>
        <v>0.71853490104037354</v>
      </c>
      <c r="T27" s="52">
        <f t="shared" ca="1" si="5"/>
        <v>7.0935991586962496E-2</v>
      </c>
      <c r="U27" s="12">
        <f t="shared" si="6"/>
        <v>5.4511096036437633E-2</v>
      </c>
    </row>
    <row r="28" spans="2:21">
      <c r="B28" s="33" t="s">
        <v>6</v>
      </c>
      <c r="D28" s="49" t="s">
        <v>106</v>
      </c>
      <c r="E28" s="7" t="s">
        <v>51</v>
      </c>
      <c r="F28" s="12">
        <v>6.7000000000000004E-2</v>
      </c>
      <c r="G28" s="11">
        <v>44040</v>
      </c>
      <c r="H28" s="11">
        <v>49140</v>
      </c>
      <c r="I28" s="11"/>
      <c r="J28" s="3">
        <f t="shared" ca="1" si="0"/>
        <v>8.8849315068493144</v>
      </c>
      <c r="K28" s="7">
        <v>87.813000000000002</v>
      </c>
      <c r="L28" s="7"/>
      <c r="M28" s="7"/>
      <c r="N28" s="35" t="s">
        <v>97</v>
      </c>
      <c r="O28" s="7"/>
      <c r="P28" s="8">
        <f t="shared" ca="1" si="1"/>
        <v>59.529041095890406</v>
      </c>
      <c r="Q28" s="8">
        <f t="shared" si="2"/>
        <v>12.186999999999998</v>
      </c>
      <c r="R28" s="8">
        <f t="shared" ca="1" si="8"/>
        <v>71.716041095890404</v>
      </c>
      <c r="S28" s="9">
        <f t="shared" ca="1" si="4"/>
        <v>0.8166904797227108</v>
      </c>
      <c r="T28" s="52">
        <f t="shared" ca="1" si="5"/>
        <v>8.6958411276012088E-2</v>
      </c>
      <c r="U28" s="12">
        <f t="shared" si="6"/>
        <v>7.6298497944495683E-2</v>
      </c>
    </row>
    <row r="29" spans="2:21">
      <c r="B29" s="33" t="s">
        <v>6</v>
      </c>
      <c r="D29" s="49" t="s">
        <v>107</v>
      </c>
      <c r="E29" s="7" t="s">
        <v>51</v>
      </c>
      <c r="F29" s="12">
        <v>6.1249999999999999E-2</v>
      </c>
      <c r="G29" s="11">
        <v>44630</v>
      </c>
      <c r="H29" s="11">
        <v>48288</v>
      </c>
      <c r="I29" s="11"/>
      <c r="J29" s="3">
        <f t="shared" ca="1" si="0"/>
        <v>6.5506849315068489</v>
      </c>
      <c r="K29" s="7">
        <v>97.764499999999998</v>
      </c>
      <c r="L29" s="7"/>
      <c r="M29" s="7"/>
      <c r="N29" s="35" t="s">
        <v>97</v>
      </c>
      <c r="O29" s="7"/>
      <c r="P29" s="8">
        <f t="shared" ca="1" si="1"/>
        <v>40.122945205479446</v>
      </c>
      <c r="Q29" s="8">
        <f t="shared" si="2"/>
        <v>2.2355000000000018</v>
      </c>
      <c r="R29" s="8">
        <f t="shared" ca="1" si="8"/>
        <v>42.358445205479448</v>
      </c>
      <c r="S29" s="9">
        <f t="shared" ca="1" si="4"/>
        <v>0.43327020754445067</v>
      </c>
      <c r="T29" s="52">
        <f t="shared" ca="1" si="5"/>
        <v>6.5495372567920845E-2</v>
      </c>
      <c r="U29" s="12">
        <f t="shared" si="6"/>
        <v>6.2650553114883212E-2</v>
      </c>
    </row>
    <row r="30" spans="2:21">
      <c r="B30" s="33" t="s">
        <v>6</v>
      </c>
      <c r="D30" s="49" t="s">
        <v>108</v>
      </c>
      <c r="E30" s="7" t="s">
        <v>51</v>
      </c>
      <c r="F30" s="12">
        <v>5.8749999999999997E-2</v>
      </c>
      <c r="G30" s="11">
        <v>44630</v>
      </c>
      <c r="H30" s="11">
        <v>47557</v>
      </c>
      <c r="I30" s="11"/>
      <c r="J30" s="3">
        <f t="shared" ca="1" si="0"/>
        <v>4.5479452054794525</v>
      </c>
      <c r="K30" s="7">
        <v>99.242999999999995</v>
      </c>
      <c r="L30" s="7"/>
      <c r="M30" s="7"/>
      <c r="N30" s="35" t="s">
        <v>97</v>
      </c>
      <c r="O30" s="7"/>
      <c r="P30" s="8">
        <f t="shared" ca="1" si="1"/>
        <v>26.719178082191782</v>
      </c>
      <c r="Q30" s="8">
        <f t="shared" si="2"/>
        <v>0.757000000000005</v>
      </c>
      <c r="R30" s="8">
        <f t="shared" ca="1" si="8"/>
        <v>27.476178082191787</v>
      </c>
      <c r="S30" s="9">
        <f t="shared" ca="1" si="4"/>
        <v>0.27685759279940941</v>
      </c>
      <c r="T30" s="52">
        <f t="shared" ca="1" si="5"/>
        <v>6.0670294378422363E-2</v>
      </c>
      <c r="U30" s="12">
        <f t="shared" si="6"/>
        <v>5.919812984291084E-2</v>
      </c>
    </row>
    <row r="31" spans="2:21">
      <c r="B31" s="33" t="s">
        <v>6</v>
      </c>
      <c r="D31" s="49" t="s">
        <v>109</v>
      </c>
      <c r="E31" s="7" t="s">
        <v>51</v>
      </c>
      <c r="F31" s="12">
        <v>6.9000000000000006E-2</v>
      </c>
      <c r="G31" s="11">
        <v>36325</v>
      </c>
      <c r="H31" s="11">
        <v>47209</v>
      </c>
      <c r="I31" s="11"/>
      <c r="J31" s="3">
        <f t="shared" ca="1" si="0"/>
        <v>3.5945205479452054</v>
      </c>
      <c r="K31" s="7">
        <v>109</v>
      </c>
      <c r="L31" s="7"/>
      <c r="M31" s="7"/>
      <c r="N31" s="35" t="s">
        <v>97</v>
      </c>
      <c r="O31" s="7"/>
      <c r="P31" s="8">
        <f t="shared" ca="1" si="1"/>
        <v>24.802191780821918</v>
      </c>
      <c r="Q31" s="8">
        <f t="shared" si="2"/>
        <v>-9</v>
      </c>
      <c r="R31" s="8">
        <f t="shared" ca="1" si="8"/>
        <v>15.802191780821918</v>
      </c>
      <c r="S31" s="9">
        <f t="shared" ca="1" si="4"/>
        <v>0.14497423652130201</v>
      </c>
      <c r="T31" s="52">
        <f t="shared" ca="1" si="5"/>
        <v>4.1740475182577105E-2</v>
      </c>
      <c r="U31" s="12">
        <f t="shared" si="6"/>
        <v>6.3302752293577985E-2</v>
      </c>
    </row>
    <row r="32" spans="2:21">
      <c r="B32" s="33" t="s">
        <v>5</v>
      </c>
      <c r="D32" s="49" t="s">
        <v>112</v>
      </c>
      <c r="E32" s="7" t="s">
        <v>51</v>
      </c>
      <c r="F32" s="12">
        <v>7.7499999999999999E-2</v>
      </c>
      <c r="G32" s="11">
        <v>39153</v>
      </c>
      <c r="H32" s="11">
        <v>46218</v>
      </c>
      <c r="I32" s="11"/>
      <c r="J32" s="3">
        <f t="shared" ca="1" si="0"/>
        <v>0.8794520547945206</v>
      </c>
      <c r="K32" s="7">
        <v>101.81699999999999</v>
      </c>
      <c r="L32" s="7"/>
      <c r="M32" s="7"/>
      <c r="N32" s="35" t="s">
        <v>115</v>
      </c>
      <c r="O32" s="7"/>
      <c r="P32" s="8">
        <f t="shared" ca="1" si="1"/>
        <v>6.8157534246575349</v>
      </c>
      <c r="Q32" s="8">
        <f t="shared" si="2"/>
        <v>-1.8169999999999931</v>
      </c>
      <c r="R32" s="8">
        <f t="shared" ca="1" si="8"/>
        <v>4.9987534246575418</v>
      </c>
      <c r="S32" s="9">
        <f t="shared" ca="1" si="4"/>
        <v>4.909546956458688E-2</v>
      </c>
      <c r="T32" s="52">
        <f t="shared" ca="1" si="5"/>
        <v>5.5951175464445946E-2</v>
      </c>
      <c r="U32" s="12">
        <f t="shared" si="6"/>
        <v>7.6116954928941147E-2</v>
      </c>
    </row>
    <row r="33" spans="2:21">
      <c r="B33" s="33" t="s">
        <v>5</v>
      </c>
      <c r="D33" s="49" t="s">
        <v>113</v>
      </c>
      <c r="E33" s="7" t="s">
        <v>51</v>
      </c>
      <c r="F33" s="12">
        <v>7.7499999999999999E-2</v>
      </c>
      <c r="G33" s="11">
        <v>35565</v>
      </c>
      <c r="H33" s="11">
        <v>46522</v>
      </c>
      <c r="I33" s="11"/>
      <c r="J33" s="3">
        <f t="shared" ca="1" si="0"/>
        <v>1.7123287671232876</v>
      </c>
      <c r="K33" s="7">
        <v>104.262</v>
      </c>
      <c r="L33" s="7"/>
      <c r="M33" s="7"/>
      <c r="N33" s="35" t="s">
        <v>115</v>
      </c>
      <c r="O33" s="7"/>
      <c r="P33" s="8">
        <f t="shared" ca="1" si="1"/>
        <v>13.270547945205479</v>
      </c>
      <c r="Q33" s="8">
        <f t="shared" si="2"/>
        <v>-4.2620000000000005</v>
      </c>
      <c r="R33" s="8">
        <f t="shared" ca="1" si="8"/>
        <v>9.0085479452054784</v>
      </c>
      <c r="S33" s="9">
        <f t="shared" ca="1" si="4"/>
        <v>8.6402984262775304E-2</v>
      </c>
      <c r="T33" s="52">
        <f t="shared" ca="1" si="5"/>
        <v>5.1136664937872806E-2</v>
      </c>
      <c r="U33" s="12">
        <f t="shared" si="6"/>
        <v>7.4331971379793207E-2</v>
      </c>
    </row>
    <row r="34" spans="2:21">
      <c r="B34" s="33" t="s">
        <v>5</v>
      </c>
      <c r="D34" s="49" t="s">
        <v>114</v>
      </c>
      <c r="E34" s="7" t="s">
        <v>51</v>
      </c>
      <c r="F34" s="12">
        <v>7.0000000000000007E-2</v>
      </c>
      <c r="G34" s="11">
        <v>36136</v>
      </c>
      <c r="H34" s="11">
        <v>47088</v>
      </c>
      <c r="I34" s="11"/>
      <c r="J34" s="3">
        <f t="shared" ca="1" si="0"/>
        <v>3.2630136986301368</v>
      </c>
      <c r="K34" s="7">
        <v>105.89700000000001</v>
      </c>
      <c r="L34" s="7"/>
      <c r="M34" s="7"/>
      <c r="N34" s="35" t="s">
        <v>115</v>
      </c>
      <c r="O34" s="7"/>
      <c r="P34" s="8">
        <f t="shared" ca="1" si="1"/>
        <v>22.841095890410962</v>
      </c>
      <c r="Q34" s="8">
        <f t="shared" si="2"/>
        <v>-5.8970000000000056</v>
      </c>
      <c r="R34" s="8">
        <f t="shared" ca="1" si="8"/>
        <v>16.944095890410956</v>
      </c>
      <c r="S34" s="9">
        <f t="shared" ca="1" si="4"/>
        <v>0.16000543821270627</v>
      </c>
      <c r="T34" s="52">
        <f t="shared" ca="1" si="5"/>
        <v>5.0121996081557846E-2</v>
      </c>
      <c r="U34" s="12">
        <f t="shared" si="6"/>
        <v>6.6101967005675333E-2</v>
      </c>
    </row>
    <row r="49" spans="13:13">
      <c r="M49" s="1">
        <f>100*16</f>
        <v>1600</v>
      </c>
    </row>
  </sheetData>
  <autoFilter ref="B3:U34" xr:uid="{E422C54C-064D-714B-971E-DD248ECCE84E}">
    <filterColumn colId="0">
      <filters>
        <filter val="DDS"/>
        <filter val="KSS"/>
        <filter val="M"/>
      </filters>
    </filterColumn>
  </autoFilter>
  <mergeCells count="1">
    <mergeCell ref="P2:T2"/>
  </mergeCells>
  <conditionalFormatting sqref="D1:D1048576">
    <cfRule type="duplicateValues" dxfId="0" priority="1"/>
  </conditionalFormatting>
  <hyperlinks>
    <hyperlink ref="C17" r:id="rId1" xr:uid="{1CF4205B-3D97-374D-AB45-AAA5BD0CCB39}"/>
    <hyperlink ref="C18" r:id="rId2" xr:uid="{D867E86C-6225-9F42-8164-7C91520E8903}"/>
    <hyperlink ref="C19" r:id="rId3" xr:uid="{FB63072F-4C5E-0B40-95F0-7C425193E4A5}"/>
    <hyperlink ref="C20" r:id="rId4" xr:uid="{F60CA7D6-5537-394C-A6FF-284F856D1F4E}"/>
    <hyperlink ref="C22" r:id="rId5" xr:uid="{7182AF03-A108-CF45-B69F-66CB9CC6D6E1}"/>
    <hyperlink ref="C23" r:id="rId6" xr:uid="{D6A7965D-3320-254E-BBE9-CB4A05EF47CA}"/>
    <hyperlink ref="C24" r:id="rId7" xr:uid="{968E54F3-6D0C-DB44-B278-6049E7BB4280}"/>
    <hyperlink ref="C25" r:id="rId8" xr:uid="{5C7B803B-7770-6444-8F38-1DA05E75AA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683-92C8-304D-8874-A6FA7C7DBA57}">
  <dimension ref="D8:I18"/>
  <sheetViews>
    <sheetView showGridLines="0" topLeftCell="C1" zoomScale="150" workbookViewId="0">
      <selection activeCell="L13" sqref="L13"/>
    </sheetView>
  </sheetViews>
  <sheetFormatPr baseColWidth="10" defaultRowHeight="13"/>
  <cols>
    <col min="5" max="5" width="14" bestFit="1" customWidth="1"/>
    <col min="6" max="6" width="8.1640625" style="55" bestFit="1" customWidth="1"/>
    <col min="7" max="7" width="7.33203125" style="54" bestFit="1" customWidth="1"/>
    <col min="8" max="8" width="4" style="54" bestFit="1" customWidth="1"/>
  </cols>
  <sheetData>
    <row r="8" spans="4:9">
      <c r="D8" t="str">
        <f>+Bonds!B3</f>
        <v xml:space="preserve">Underlying </v>
      </c>
      <c r="E8" t="str">
        <f>+Bonds!D3</f>
        <v>CUSIP</v>
      </c>
      <c r="F8" s="55" t="str">
        <f>+Bonds!H3</f>
        <v>Maturity</v>
      </c>
      <c r="G8" s="54" t="str">
        <f>+Bonds!F3</f>
        <v>Coupon</v>
      </c>
      <c r="H8" s="54" t="str">
        <f>+Bonds!T3</f>
        <v>IRR</v>
      </c>
      <c r="I8" t="s">
        <v>1</v>
      </c>
    </row>
    <row r="9" spans="4:9">
      <c r="D9" t="s">
        <v>6</v>
      </c>
      <c r="E9" t="s">
        <v>96</v>
      </c>
      <c r="F9" s="55">
        <v>46798</v>
      </c>
      <c r="G9" s="54">
        <v>7.0000000000000007E-2</v>
      </c>
      <c r="H9" s="54">
        <v>3.9466984869582764E-2</v>
      </c>
      <c r="I9" s="56">
        <f>_xlfn.XLOOKUP(E9,Bonds!D:D,Bonds!K:K)</f>
        <v>107.1</v>
      </c>
    </row>
    <row r="10" spans="4:9">
      <c r="D10" t="s">
        <v>6</v>
      </c>
      <c r="E10" t="s">
        <v>99</v>
      </c>
      <c r="F10" s="55">
        <v>49293</v>
      </c>
      <c r="G10" s="54">
        <v>4.4999999999999998E-2</v>
      </c>
      <c r="H10" s="54">
        <v>7.09894823807692E-2</v>
      </c>
      <c r="I10" s="56">
        <f>_xlfn.XLOOKUP(E10,Bonds!D:D,Bonds!K:K)</f>
        <v>82.52</v>
      </c>
    </row>
    <row r="11" spans="4:9">
      <c r="D11" t="s">
        <v>6</v>
      </c>
      <c r="E11" t="s">
        <v>101</v>
      </c>
      <c r="F11" s="55">
        <v>51881</v>
      </c>
      <c r="G11" s="54">
        <v>5.1249999999999997E-2</v>
      </c>
      <c r="H11" s="54">
        <v>8.1377607433126539E-2</v>
      </c>
      <c r="I11" s="56">
        <f>_xlfn.XLOOKUP(E11,Bonds!D:D,Bonds!K:K)</f>
        <v>72.992000000000004</v>
      </c>
    </row>
    <row r="12" spans="4:9">
      <c r="D12" t="s">
        <v>6</v>
      </c>
      <c r="E12" t="s">
        <v>103</v>
      </c>
      <c r="F12" s="55">
        <v>52277</v>
      </c>
      <c r="G12" s="54">
        <v>4.2999999999999997E-2</v>
      </c>
      <c r="H12" s="54">
        <v>7.7691498964706632E-2</v>
      </c>
      <c r="I12" s="56">
        <f>_xlfn.XLOOKUP(E12,Bonds!D:D,Bonds!K:K)</f>
        <v>67.141000000000005</v>
      </c>
    </row>
    <row r="13" spans="4:9">
      <c r="D13" t="s">
        <v>6</v>
      </c>
      <c r="E13" t="s">
        <v>104</v>
      </c>
      <c r="F13" s="55">
        <v>50114</v>
      </c>
      <c r="G13" s="54">
        <v>6.3750000000000001E-2</v>
      </c>
      <c r="H13" s="54">
        <v>8.4906104019185608E-2</v>
      </c>
      <c r="I13" s="56">
        <f>_xlfn.XLOOKUP(E13,Bonds!D:D,Bonds!K:K)</f>
        <v>84.616</v>
      </c>
    </row>
    <row r="14" spans="4:9">
      <c r="D14" t="s">
        <v>6</v>
      </c>
      <c r="E14" t="s">
        <v>105</v>
      </c>
      <c r="F14" s="55">
        <v>49293</v>
      </c>
      <c r="G14" s="54">
        <v>4.4999999999999998E-2</v>
      </c>
      <c r="H14" s="54">
        <v>7.0935991586962496E-2</v>
      </c>
      <c r="I14" s="56">
        <f>_xlfn.XLOOKUP(E14,Bonds!D:D,Bonds!K:K)</f>
        <v>82.552000000000007</v>
      </c>
    </row>
    <row r="15" spans="4:9">
      <c r="D15" t="s">
        <v>6</v>
      </c>
      <c r="E15" t="s">
        <v>106</v>
      </c>
      <c r="F15" s="55">
        <v>49140</v>
      </c>
      <c r="G15" s="54">
        <v>6.7000000000000004E-2</v>
      </c>
      <c r="H15" s="54">
        <v>8.6958411276012088E-2</v>
      </c>
      <c r="I15" s="56">
        <f>_xlfn.XLOOKUP(E15,Bonds!D:D,Bonds!K:K)</f>
        <v>87.813000000000002</v>
      </c>
    </row>
    <row r="16" spans="4:9">
      <c r="D16" t="s">
        <v>6</v>
      </c>
      <c r="E16" t="s">
        <v>107</v>
      </c>
      <c r="F16" s="55">
        <v>48288</v>
      </c>
      <c r="G16" s="54">
        <v>6.1249999999999999E-2</v>
      </c>
      <c r="H16" s="54">
        <v>6.5495372567920845E-2</v>
      </c>
      <c r="I16" s="56">
        <f>_xlfn.XLOOKUP(E16,Bonds!D:D,Bonds!K:K)</f>
        <v>97.764499999999998</v>
      </c>
    </row>
    <row r="17" spans="4:9">
      <c r="D17" t="s">
        <v>6</v>
      </c>
      <c r="E17" t="s">
        <v>108</v>
      </c>
      <c r="F17" s="55">
        <v>47557</v>
      </c>
      <c r="G17" s="54">
        <v>5.8749999999999997E-2</v>
      </c>
      <c r="H17" s="54">
        <v>6.0670294378422363E-2</v>
      </c>
      <c r="I17" s="56">
        <f>_xlfn.XLOOKUP(E17,Bonds!D:D,Bonds!K:K)</f>
        <v>99.242999999999995</v>
      </c>
    </row>
    <row r="18" spans="4:9">
      <c r="D18" t="s">
        <v>6</v>
      </c>
      <c r="E18" t="s">
        <v>109</v>
      </c>
      <c r="F18" s="55">
        <v>47209</v>
      </c>
      <c r="G18" s="54">
        <v>6.9000000000000006E-2</v>
      </c>
      <c r="H18" s="54">
        <v>4.1740475182577105E-2</v>
      </c>
      <c r="I18" s="56">
        <f>_xlfn.XLOOKUP(E18,Bonds!D:D,Bonds!K:K)</f>
        <v>109</v>
      </c>
    </row>
  </sheetData>
  <pageMargins left="0.7" right="0.7" top="0.75" bottom="0.75" header="0.3" footer="0.3"/>
  <ignoredErrors>
    <ignoredError xmlns:x16r3="http://schemas.microsoft.com/office/spreadsheetml/2018/08/main" sqref="G19 E19" x16r3:misleadingForma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Bonds</vt:lpstr>
      <vt:lpstr>M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2025-01-26T12:13:21Z</dcterms:created>
  <dcterms:modified xsi:type="dcterms:W3CDTF">2025-08-29T14:14:36Z</dcterms:modified>
</cp:coreProperties>
</file>