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90AC404-1356-284D-A97D-00189ED6F63E}" xr6:coauthVersionLast="47" xr6:coauthVersionMax="47" xr10:uidLastSave="{00000000-0000-0000-0000-000000000000}"/>
  <bookViews>
    <workbookView xWindow="160" yWindow="660" windowWidth="50880" windowHeight="28000" activeTab="1" xr2:uid="{5502178C-4EE2-4642-BD54-84713724EC9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5" i="2" l="1"/>
  <c r="AI104" i="2"/>
  <c r="AI102" i="2"/>
  <c r="AI100" i="2"/>
  <c r="AF95" i="2"/>
  <c r="AE95" i="2"/>
  <c r="AD95" i="2"/>
  <c r="AC95" i="2"/>
  <c r="AB95" i="2"/>
  <c r="AA95" i="2"/>
  <c r="Z95" i="2"/>
  <c r="Y95" i="2"/>
  <c r="X95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AK2" i="2"/>
  <c r="AJ2" i="2"/>
  <c r="AI2" i="2"/>
  <c r="AH2" i="2"/>
  <c r="W95" i="2"/>
  <c r="I95" i="2"/>
  <c r="V95" i="2"/>
  <c r="AG2" i="2"/>
  <c r="H91" i="2"/>
  <c r="H87" i="2"/>
  <c r="H86" i="2"/>
  <c r="C82" i="2"/>
  <c r="G82" i="2"/>
  <c r="H81" i="2"/>
  <c r="H80" i="2"/>
  <c r="H78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G88" i="2"/>
  <c r="G55" i="2"/>
  <c r="E85" i="2"/>
  <c r="F85" i="2" s="1"/>
  <c r="E80" i="2"/>
  <c r="F80" i="2" s="1"/>
  <c r="D91" i="2"/>
  <c r="D87" i="2"/>
  <c r="D86" i="2"/>
  <c r="D78" i="2"/>
  <c r="D60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1" i="2"/>
  <c r="D59" i="2"/>
  <c r="D58" i="2"/>
  <c r="D57" i="2"/>
  <c r="D56" i="2"/>
  <c r="D55" i="2"/>
  <c r="C88" i="2"/>
  <c r="C76" i="2"/>
  <c r="H31" i="2"/>
  <c r="G31" i="2"/>
  <c r="F31" i="2"/>
  <c r="E31" i="2"/>
  <c r="D31" i="2"/>
  <c r="C31" i="2"/>
  <c r="C50" i="2"/>
  <c r="C52" i="2" s="1"/>
  <c r="C42" i="2"/>
  <c r="D50" i="2"/>
  <c r="D52" i="2" s="1"/>
  <c r="D42" i="2"/>
  <c r="E50" i="2"/>
  <c r="E52" i="2" s="1"/>
  <c r="E42" i="2"/>
  <c r="G50" i="2"/>
  <c r="G52" i="2" s="1"/>
  <c r="G42" i="2"/>
  <c r="F50" i="2"/>
  <c r="F52" i="2" s="1"/>
  <c r="F42" i="2"/>
  <c r="H50" i="2"/>
  <c r="H52" i="2" s="1"/>
  <c r="H42" i="2"/>
  <c r="I16" i="2"/>
  <c r="J16" i="2" s="1"/>
  <c r="I15" i="2"/>
  <c r="J15" i="2" s="1"/>
  <c r="W15" i="2" s="1"/>
  <c r="X15" i="2" s="1"/>
  <c r="I5" i="2"/>
  <c r="V28" i="2"/>
  <c r="V27" i="2"/>
  <c r="U28" i="2"/>
  <c r="U27" i="2"/>
  <c r="T28" i="2"/>
  <c r="T27" i="2"/>
  <c r="U23" i="2"/>
  <c r="U22" i="2"/>
  <c r="V23" i="2"/>
  <c r="V22" i="2"/>
  <c r="E7" i="2"/>
  <c r="E10" i="2" s="1"/>
  <c r="G28" i="2"/>
  <c r="H28" i="2"/>
  <c r="G27" i="2"/>
  <c r="H27" i="2"/>
  <c r="F18" i="2"/>
  <c r="F16" i="2"/>
  <c r="F15" i="2"/>
  <c r="F13" i="2"/>
  <c r="F12" i="2"/>
  <c r="F11" i="2"/>
  <c r="F9" i="2"/>
  <c r="F8" i="2"/>
  <c r="F6" i="2"/>
  <c r="F5" i="2"/>
  <c r="J5" i="2" s="1"/>
  <c r="V7" i="2"/>
  <c r="V10" i="2" s="1"/>
  <c r="V14" i="2" s="1"/>
  <c r="V17" i="2" s="1"/>
  <c r="V19" i="2" s="1"/>
  <c r="U7" i="2"/>
  <c r="U10" i="2" s="1"/>
  <c r="U14" i="2" s="1"/>
  <c r="U17" i="2" s="1"/>
  <c r="U19" i="2" s="1"/>
  <c r="T7" i="2"/>
  <c r="T10" i="2" s="1"/>
  <c r="G23" i="2"/>
  <c r="G22" i="2"/>
  <c r="C7" i="2"/>
  <c r="C10" i="2" s="1"/>
  <c r="C14" i="2" s="1"/>
  <c r="C17" i="2" s="1"/>
  <c r="C19" i="2" s="1"/>
  <c r="G7" i="2"/>
  <c r="G10" i="2" s="1"/>
  <c r="G14" i="2" s="1"/>
  <c r="G17" i="2" s="1"/>
  <c r="G19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H23" i="2"/>
  <c r="H22" i="2"/>
  <c r="D7" i="2"/>
  <c r="D10" i="2" s="1"/>
  <c r="D14" i="2" s="1"/>
  <c r="H7" i="2"/>
  <c r="K4" i="1"/>
  <c r="K5" i="1" s="1"/>
  <c r="K8" i="1" s="1"/>
  <c r="L6" i="1"/>
  <c r="L7" i="1" s="1"/>
  <c r="H82" i="2" l="1"/>
  <c r="H88" i="2"/>
  <c r="E91" i="2"/>
  <c r="F91" i="2"/>
  <c r="E87" i="2"/>
  <c r="F87" i="2"/>
  <c r="E86" i="2"/>
  <c r="F86" i="2"/>
  <c r="F88" i="2" s="1"/>
  <c r="D82" i="2"/>
  <c r="E60" i="2"/>
  <c r="F60" i="2"/>
  <c r="E75" i="2"/>
  <c r="F75" i="2"/>
  <c r="E74" i="2"/>
  <c r="F74" i="2"/>
  <c r="E73" i="2"/>
  <c r="F73" i="2"/>
  <c r="E72" i="2"/>
  <c r="F72" i="2"/>
  <c r="E71" i="2"/>
  <c r="F71" i="2" s="1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1" i="2"/>
  <c r="F61" i="2"/>
  <c r="E59" i="2"/>
  <c r="F59" i="2"/>
  <c r="E58" i="2"/>
  <c r="F58" i="2"/>
  <c r="E57" i="2"/>
  <c r="F57" i="2"/>
  <c r="E56" i="2"/>
  <c r="F56" i="2"/>
  <c r="G76" i="2"/>
  <c r="H55" i="2"/>
  <c r="H76" i="2"/>
  <c r="E78" i="2"/>
  <c r="D76" i="2"/>
  <c r="E55" i="2"/>
  <c r="C90" i="2"/>
  <c r="C93" i="2" s="1"/>
  <c r="D92" i="2" s="1"/>
  <c r="C95" i="2"/>
  <c r="E88" i="2"/>
  <c r="D88" i="2"/>
  <c r="D95" i="2"/>
  <c r="W16" i="2"/>
  <c r="X16" i="2" s="1"/>
  <c r="T14" i="2"/>
  <c r="T17" i="2" s="1"/>
  <c r="T19" i="2" s="1"/>
  <c r="T29" i="2"/>
  <c r="W5" i="2"/>
  <c r="V29" i="2"/>
  <c r="V24" i="2"/>
  <c r="U29" i="2"/>
  <c r="U24" i="2"/>
  <c r="I7" i="2"/>
  <c r="H24" i="2"/>
  <c r="G29" i="2"/>
  <c r="G24" i="2"/>
  <c r="E14" i="2"/>
  <c r="E17" i="2" s="1"/>
  <c r="E19" i="2" s="1"/>
  <c r="F10" i="2"/>
  <c r="H10" i="2"/>
  <c r="F7" i="2"/>
  <c r="D17" i="2"/>
  <c r="D19" i="2" s="1"/>
  <c r="AG95" i="2" l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DR95" i="2" s="1"/>
  <c r="DS95" i="2" s="1"/>
  <c r="DT95" i="2" s="1"/>
  <c r="DU95" i="2" s="1"/>
  <c r="DV95" i="2" s="1"/>
  <c r="DW95" i="2" s="1"/>
  <c r="DX95" i="2" s="1"/>
  <c r="DY95" i="2" s="1"/>
  <c r="DZ95" i="2" s="1"/>
  <c r="EA95" i="2" s="1"/>
  <c r="EB95" i="2" s="1"/>
  <c r="EC95" i="2" s="1"/>
  <c r="ED95" i="2" s="1"/>
  <c r="EE95" i="2" s="1"/>
  <c r="EF95" i="2" s="1"/>
  <c r="EG95" i="2" s="1"/>
  <c r="EH95" i="2" s="1"/>
  <c r="EI95" i="2" s="1"/>
  <c r="EJ95" i="2" s="1"/>
  <c r="EK95" i="2" s="1"/>
  <c r="EL95" i="2" s="1"/>
  <c r="EM95" i="2" s="1"/>
  <c r="EN95" i="2" s="1"/>
  <c r="EO95" i="2" s="1"/>
  <c r="EP95" i="2" s="1"/>
  <c r="EQ95" i="2" s="1"/>
  <c r="ER95" i="2" s="1"/>
  <c r="ES95" i="2" s="1"/>
  <c r="ET95" i="2" s="1"/>
  <c r="EU95" i="2" s="1"/>
  <c r="EV95" i="2" s="1"/>
  <c r="EW95" i="2" s="1"/>
  <c r="EX95" i="2" s="1"/>
  <c r="EY95" i="2" s="1"/>
  <c r="EZ95" i="2" s="1"/>
  <c r="FA95" i="2" s="1"/>
  <c r="FB95" i="2" s="1"/>
  <c r="FC95" i="2" s="1"/>
  <c r="FD95" i="2" s="1"/>
  <c r="FE95" i="2" s="1"/>
  <c r="FF95" i="2" s="1"/>
  <c r="FG95" i="2" s="1"/>
  <c r="FH95" i="2" s="1"/>
  <c r="FI95" i="2" s="1"/>
  <c r="FJ95" i="2" s="1"/>
  <c r="FK95" i="2" s="1"/>
  <c r="FL95" i="2" s="1"/>
  <c r="FM95" i="2" s="1"/>
  <c r="FN95" i="2" s="1"/>
  <c r="FO95" i="2" s="1"/>
  <c r="FP95" i="2" s="1"/>
  <c r="FQ95" i="2" s="1"/>
  <c r="FR95" i="2" s="1"/>
  <c r="FS95" i="2" s="1"/>
  <c r="FT95" i="2" s="1"/>
  <c r="FU95" i="2" s="1"/>
  <c r="FV95" i="2" s="1"/>
  <c r="FW95" i="2" s="1"/>
  <c r="FX95" i="2" s="1"/>
  <c r="FY95" i="2" s="1"/>
  <c r="FZ95" i="2" s="1"/>
  <c r="GA95" i="2" s="1"/>
  <c r="GB95" i="2" s="1"/>
  <c r="GC95" i="2" s="1"/>
  <c r="GD95" i="2" s="1"/>
  <c r="GE95" i="2" s="1"/>
  <c r="GF95" i="2" s="1"/>
  <c r="GG95" i="2" s="1"/>
  <c r="GH95" i="2" s="1"/>
  <c r="GI95" i="2" s="1"/>
  <c r="GJ95" i="2" s="1"/>
  <c r="E82" i="2"/>
  <c r="F78" i="2"/>
  <c r="F82" i="2" s="1"/>
  <c r="G90" i="2"/>
  <c r="G95" i="2"/>
  <c r="H95" i="2"/>
  <c r="H90" i="2"/>
  <c r="H93" i="2" s="1"/>
  <c r="E76" i="2"/>
  <c r="F55" i="2"/>
  <c r="F76" i="2" s="1"/>
  <c r="D90" i="2"/>
  <c r="D93" i="2" s="1"/>
  <c r="E92" i="2" s="1"/>
  <c r="E95" i="2"/>
  <c r="E90" i="2"/>
  <c r="W22" i="2"/>
  <c r="X5" i="2"/>
  <c r="F14" i="2"/>
  <c r="I12" i="2"/>
  <c r="I11" i="2"/>
  <c r="I13" i="2"/>
  <c r="I8" i="2"/>
  <c r="I6" i="2"/>
  <c r="H14" i="2"/>
  <c r="H29" i="2"/>
  <c r="F19" i="2"/>
  <c r="F17" i="2"/>
  <c r="GK95" i="2" l="1"/>
  <c r="GL95" i="2" s="1"/>
  <c r="GM95" i="2" s="1"/>
  <c r="GN95" i="2" s="1"/>
  <c r="GO95" i="2" s="1"/>
  <c r="GP95" i="2" s="1"/>
  <c r="GQ95" i="2" s="1"/>
  <c r="GR95" i="2" s="1"/>
  <c r="GS95" i="2" s="1"/>
  <c r="GT95" i="2" s="1"/>
  <c r="GU95" i="2" s="1"/>
  <c r="GV95" i="2" s="1"/>
  <c r="GW95" i="2" s="1"/>
  <c r="GX95" i="2" s="1"/>
  <c r="GY95" i="2" s="1"/>
  <c r="GZ95" i="2" s="1"/>
  <c r="HA95" i="2" s="1"/>
  <c r="HB95" i="2" s="1"/>
  <c r="HC95" i="2" s="1"/>
  <c r="HD95" i="2" s="1"/>
  <c r="HE95" i="2" s="1"/>
  <c r="HF95" i="2" s="1"/>
  <c r="HG95" i="2" s="1"/>
  <c r="HH95" i="2" s="1"/>
  <c r="HI95" i="2" s="1"/>
  <c r="HJ95" i="2" s="1"/>
  <c r="HK95" i="2" s="1"/>
  <c r="HL95" i="2" s="1"/>
  <c r="HM95" i="2" s="1"/>
  <c r="HN95" i="2" s="1"/>
  <c r="HO95" i="2" s="1"/>
  <c r="HP95" i="2" s="1"/>
  <c r="HQ95" i="2" s="1"/>
  <c r="HR95" i="2" s="1"/>
  <c r="HS95" i="2" s="1"/>
  <c r="HT95" i="2" s="1"/>
  <c r="HU95" i="2" s="1"/>
  <c r="HV95" i="2" s="1"/>
  <c r="HW95" i="2" s="1"/>
  <c r="HX95" i="2" s="1"/>
  <c r="HY95" i="2" s="1"/>
  <c r="AI99" i="2"/>
  <c r="AI101" i="2" s="1"/>
  <c r="AI103" i="2" s="1"/>
  <c r="G93" i="2"/>
  <c r="F95" i="2"/>
  <c r="F90" i="2"/>
  <c r="H96" i="2"/>
  <c r="G96" i="2"/>
  <c r="F96" i="2"/>
  <c r="E93" i="2"/>
  <c r="F92" i="2" s="1"/>
  <c r="F93" i="2" s="1"/>
  <c r="H17" i="2"/>
  <c r="J6" i="2"/>
  <c r="I28" i="2"/>
  <c r="I27" i="2"/>
  <c r="Y5" i="2"/>
  <c r="X22" i="2"/>
  <c r="I10" i="2"/>
  <c r="Z5" i="2" l="1"/>
  <c r="W6" i="2"/>
  <c r="J7" i="2"/>
  <c r="H19" i="2"/>
  <c r="I29" i="2"/>
  <c r="I14" i="2"/>
  <c r="J12" i="2" l="1"/>
  <c r="W12" i="2" s="1"/>
  <c r="X12" i="2" s="1"/>
  <c r="J8" i="2"/>
  <c r="W8" i="2" s="1"/>
  <c r="J11" i="2"/>
  <c r="W11" i="2" s="1"/>
  <c r="X11" i="2" s="1"/>
  <c r="J9" i="2"/>
  <c r="J13" i="2"/>
  <c r="W13" i="2" s="1"/>
  <c r="X13" i="2" s="1"/>
  <c r="I17" i="2"/>
  <c r="W23" i="2"/>
  <c r="X6" i="2"/>
  <c r="W7" i="2"/>
  <c r="W24" i="2" s="1"/>
  <c r="AA5" i="2"/>
  <c r="W9" i="2" l="1"/>
  <c r="J10" i="2"/>
  <c r="I18" i="2"/>
  <c r="I19" i="2" s="1"/>
  <c r="Y6" i="2"/>
  <c r="X23" i="2"/>
  <c r="X7" i="2"/>
  <c r="W27" i="2"/>
  <c r="X8" i="2"/>
  <c r="X27" i="2" s="1"/>
  <c r="AB5" i="2"/>
  <c r="J14" i="2" l="1"/>
  <c r="W14" i="2" s="1"/>
  <c r="W10" i="2"/>
  <c r="W29" i="2" s="1"/>
  <c r="X9" i="2"/>
  <c r="W28" i="2"/>
  <c r="X24" i="2"/>
  <c r="J17" i="2"/>
  <c r="Z6" i="2"/>
  <c r="Y7" i="2"/>
  <c r="AC5" i="2"/>
  <c r="X28" i="2" l="1"/>
  <c r="X10" i="2"/>
  <c r="X29" i="2" s="1"/>
  <c r="AD5" i="2"/>
  <c r="AA6" i="2"/>
  <c r="Z7" i="2"/>
  <c r="J18" i="2"/>
  <c r="W18" i="2" s="1"/>
  <c r="W17" i="2"/>
  <c r="X14" i="2"/>
  <c r="X17" i="2" s="1"/>
  <c r="J19" i="2" l="1"/>
  <c r="W19" i="2" s="1"/>
  <c r="AB6" i="2"/>
  <c r="AA7" i="2"/>
  <c r="X18" i="2"/>
  <c r="X19" i="2" s="1"/>
  <c r="AE5" i="2"/>
  <c r="AF5" i="2" l="1"/>
  <c r="AC6" i="2"/>
  <c r="AB7" i="2"/>
  <c r="AD6" i="2" l="1"/>
  <c r="AC7" i="2"/>
  <c r="AE6" i="2" l="1"/>
  <c r="AD7" i="2"/>
  <c r="AF6" i="2" l="1"/>
  <c r="AF7" i="2" s="1"/>
  <c r="AE7" i="2"/>
</calcChain>
</file>

<file path=xl/sharedStrings.xml><?xml version="1.0" encoding="utf-8"?>
<sst xmlns="http://schemas.openxmlformats.org/spreadsheetml/2006/main" count="110" uniqueCount="93">
  <si>
    <t>P</t>
  </si>
  <si>
    <t>S</t>
  </si>
  <si>
    <t>MC</t>
  </si>
  <si>
    <t>C</t>
  </si>
  <si>
    <t>D</t>
  </si>
  <si>
    <t>EV</t>
  </si>
  <si>
    <t>Q225</t>
  </si>
  <si>
    <t xml:space="preserve">CFO </t>
  </si>
  <si>
    <t xml:space="preserve">CEO </t>
  </si>
  <si>
    <t xml:space="preserve">Platform </t>
  </si>
  <si>
    <t>Devices</t>
  </si>
  <si>
    <t xml:space="preserve">Total Revenues </t>
  </si>
  <si>
    <t>Platform</t>
  </si>
  <si>
    <t>R&amp;D</t>
  </si>
  <si>
    <t>S&amp;M</t>
  </si>
  <si>
    <t>G&amp;A</t>
  </si>
  <si>
    <t>Operating Income</t>
  </si>
  <si>
    <t xml:space="preserve">Gross Profit </t>
  </si>
  <si>
    <t xml:space="preserve">EBT </t>
  </si>
  <si>
    <t xml:space="preserve">Other Income </t>
  </si>
  <si>
    <t>Taxes</t>
  </si>
  <si>
    <t>Net Income</t>
  </si>
  <si>
    <t>Q224</t>
  </si>
  <si>
    <t>Growth Analysis YY</t>
  </si>
  <si>
    <t>Q125</t>
  </si>
  <si>
    <t>Q424</t>
  </si>
  <si>
    <t>Q324</t>
  </si>
  <si>
    <t>Q124</t>
  </si>
  <si>
    <t>Q325</t>
  </si>
  <si>
    <t>Q425</t>
  </si>
  <si>
    <t xml:space="preserve">Gross Margins </t>
  </si>
  <si>
    <t>Wtd</t>
  </si>
  <si>
    <t>Interest Expense</t>
  </si>
  <si>
    <t xml:space="preserve">Cash </t>
  </si>
  <si>
    <t>A/R</t>
  </si>
  <si>
    <t xml:space="preserve">Inventories </t>
  </si>
  <si>
    <t>Prepaid Expenses</t>
  </si>
  <si>
    <t>PPE</t>
  </si>
  <si>
    <t>OpLease</t>
  </si>
  <si>
    <t>Content Assets</t>
  </si>
  <si>
    <t>Intangible assets</t>
  </si>
  <si>
    <t>Goodwill</t>
  </si>
  <si>
    <t>ONCA</t>
  </si>
  <si>
    <t xml:space="preserve">Total Assets </t>
  </si>
  <si>
    <t>A/P</t>
  </si>
  <si>
    <t>Accrued Liabilities</t>
  </si>
  <si>
    <t>Deferred Rev</t>
  </si>
  <si>
    <t>Deferred Rev LT</t>
  </si>
  <si>
    <t>Op Lease, LT</t>
  </si>
  <si>
    <t>OLTL</t>
  </si>
  <si>
    <t xml:space="preserve">Total Liabilities </t>
  </si>
  <si>
    <t xml:space="preserve">Equity </t>
  </si>
  <si>
    <t xml:space="preserve">Total Liabilities + Equity </t>
  </si>
  <si>
    <t xml:space="preserve">Net Cash </t>
  </si>
  <si>
    <t>CFFI</t>
  </si>
  <si>
    <t xml:space="preserve">CFFO </t>
  </si>
  <si>
    <t xml:space="preserve">Net Income </t>
  </si>
  <si>
    <t>D&amp;A</t>
  </si>
  <si>
    <t>SBC</t>
  </si>
  <si>
    <t xml:space="preserve">Amortization right of use </t>
  </si>
  <si>
    <t>Amortization content assets</t>
  </si>
  <si>
    <t>Fx</t>
  </si>
  <si>
    <t>Change in FV of strat inv</t>
  </si>
  <si>
    <t>Impairment of assets</t>
  </si>
  <si>
    <t>Provision for doubtful acct</t>
  </si>
  <si>
    <t>Other items, net</t>
  </si>
  <si>
    <t>Prepaid Expenes/OCA</t>
  </si>
  <si>
    <t>Content assets &amp; Liabilities</t>
  </si>
  <si>
    <t xml:space="preserve">Accrued liabiliites </t>
  </si>
  <si>
    <t>OpLease Liab</t>
  </si>
  <si>
    <t xml:space="preserve">Deferred Revenue </t>
  </si>
  <si>
    <t>Purchases of Strat Inv</t>
  </si>
  <si>
    <t>Repayment of borrowings</t>
  </si>
  <si>
    <t xml:space="preserve">Proceeds from equity issued </t>
  </si>
  <si>
    <t>Taxes paid related to net share settlement</t>
  </si>
  <si>
    <t>CFFF</t>
  </si>
  <si>
    <t>Net Increase</t>
  </si>
  <si>
    <t xml:space="preserve">Cash @ Beginning </t>
  </si>
  <si>
    <t xml:space="preserve">Cash @ End </t>
  </si>
  <si>
    <t xml:space="preserve">Free Cash Flow </t>
  </si>
  <si>
    <t>issuance costs credit agreement</t>
  </si>
  <si>
    <t>Change in FV of contingent consideration</t>
  </si>
  <si>
    <t xml:space="preserve">Purchase of Business </t>
  </si>
  <si>
    <t xml:space="preserve">Repayment of conv prom note </t>
  </si>
  <si>
    <t xml:space="preserve">4QFCF </t>
  </si>
  <si>
    <t xml:space="preserve">Terminal </t>
  </si>
  <si>
    <t xml:space="preserve">Discount </t>
  </si>
  <si>
    <t>NPV</t>
  </si>
  <si>
    <t>Shares</t>
  </si>
  <si>
    <t>Net Cash</t>
  </si>
  <si>
    <t xml:space="preserve">Total Value </t>
  </si>
  <si>
    <t xml:space="preserve">Estimate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</si>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</sst>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2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5853</xdr:colOff>
      <xdr:row>0</xdr:row>
      <xdr:rowOff>29263</xdr:rowOff>
    </xdr:from>
    <xdr:to>
      <xdr:col>22</xdr:col>
      <xdr:colOff>23374</xdr:colOff>
      <xdr:row>137</xdr:row>
      <xdr:rowOff>140246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5F86AC-9CF0-0AD1-4565-4C03049A3E65}"/>
            </a:ext>
          </a:extLst>
        </xdr:cNvPr>
        <xdr:cNvCxnSpPr/>
      </xdr:nvCxnSpPr>
      <xdr:spPr>
        <a:xfrm>
          <a:off x="15035485" y="29263"/>
          <a:ext cx="17521" cy="2786398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16282</xdr:colOff>
      <xdr:row>0</xdr:row>
      <xdr:rowOff>11705</xdr:rowOff>
    </xdr:from>
    <xdr:to>
      <xdr:col>8</xdr:col>
      <xdr:colOff>17557</xdr:colOff>
      <xdr:row>109</xdr:row>
      <xdr:rowOff>16282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C4496AD-7998-C841-BF7A-34656049EBA8}"/>
            </a:ext>
          </a:extLst>
        </xdr:cNvPr>
        <xdr:cNvCxnSpPr/>
      </xdr:nvCxnSpPr>
      <xdr:spPr>
        <a:xfrm flipH="1">
          <a:off x="6138333" y="11705"/>
          <a:ext cx="1275" cy="211712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C68A-F2A8-FA4B-8AED-61A8C8F2607F}">
  <dimension ref="B3:L8"/>
  <sheetViews>
    <sheetView zoomScale="237" workbookViewId="0">
      <selection activeCell="K3" sqref="K3"/>
    </sheetView>
  </sheetViews>
  <sheetFormatPr baseColWidth="10" defaultRowHeight="16" x14ac:dyDescent="0.2"/>
  <cols>
    <col min="1" max="1" width="1.6640625" style="1" customWidth="1"/>
    <col min="2" max="2" width="5.1640625" style="1" bestFit="1" customWidth="1"/>
    <col min="3" max="9" width="10.83203125" style="1"/>
    <col min="10" max="10" width="4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3" spans="2:12" x14ac:dyDescent="0.2">
      <c r="B3" s="1" t="s">
        <v>7</v>
      </c>
      <c r="J3" s="1" t="s">
        <v>0</v>
      </c>
      <c r="K3" s="1">
        <v>99.6</v>
      </c>
    </row>
    <row r="4" spans="2:12" x14ac:dyDescent="0.2">
      <c r="B4" s="1" t="s">
        <v>8</v>
      </c>
      <c r="J4" s="1" t="s">
        <v>1</v>
      </c>
      <c r="K4" s="1">
        <f>130.251569+17.079064</f>
        <v>147.33063299999998</v>
      </c>
      <c r="L4" s="1" t="s">
        <v>6</v>
      </c>
    </row>
    <row r="5" spans="2:12" x14ac:dyDescent="0.2">
      <c r="J5" s="1" t="s">
        <v>2</v>
      </c>
      <c r="K5" s="1">
        <f>+K4*K3</f>
        <v>14674.131046799997</v>
      </c>
    </row>
    <row r="6" spans="2:12" x14ac:dyDescent="0.2">
      <c r="J6" s="1" t="s">
        <v>3</v>
      </c>
      <c r="K6" s="1">
        <v>2253.2759999999998</v>
      </c>
      <c r="L6" s="1" t="str">
        <f>+L4</f>
        <v>Q225</v>
      </c>
    </row>
    <row r="7" spans="2:12" x14ac:dyDescent="0.2">
      <c r="J7" s="1" t="s">
        <v>4</v>
      </c>
      <c r="K7" s="1">
        <v>0</v>
      </c>
      <c r="L7" s="1" t="str">
        <f>+L6</f>
        <v>Q225</v>
      </c>
    </row>
    <row r="8" spans="2:12" x14ac:dyDescent="0.2">
      <c r="J8" s="1" t="s">
        <v>5</v>
      </c>
      <c r="K8" s="1">
        <f>+K5-K6+K7</f>
        <v>12420.855046799998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D0C8-65C0-3D42-A553-C36B59B2CEBF}">
  <dimension ref="B2:HY105"/>
  <sheetViews>
    <sheetView tabSelected="1" zoomScale="143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2" sqref="N12"/>
    </sheetView>
  </sheetViews>
  <sheetFormatPr baseColWidth="10" defaultRowHeight="16" x14ac:dyDescent="0.2"/>
  <cols>
    <col min="1" max="1" width="2.5" style="1" customWidth="1"/>
    <col min="2" max="2" width="35.33203125" style="1" bestFit="1" customWidth="1"/>
    <col min="3" max="10" width="9.6640625" style="1" bestFit="1" customWidth="1"/>
    <col min="11" max="12" width="10.83203125" style="1"/>
    <col min="13" max="19" width="5.33203125" style="1" bestFit="1" customWidth="1"/>
    <col min="20" max="31" width="9.6640625" style="1" bestFit="1" customWidth="1"/>
    <col min="32" max="32" width="10.6640625" style="1" bestFit="1" customWidth="1"/>
    <col min="33" max="33" width="8" style="1" bestFit="1" customWidth="1"/>
    <col min="34" max="34" width="10.5" style="1" bestFit="1" customWidth="1"/>
    <col min="35" max="35" width="10.6640625" style="1" customWidth="1"/>
    <col min="36" max="40" width="8" style="1" bestFit="1" customWidth="1"/>
    <col min="41" max="233" width="9.6640625" style="1" bestFit="1" customWidth="1"/>
    <col min="234" max="16384" width="10.83203125" style="1"/>
  </cols>
  <sheetData>
    <row r="2" spans="2:233" s="4" customFormat="1" x14ac:dyDescent="0.2">
      <c r="C2" s="4" t="s">
        <v>27</v>
      </c>
      <c r="D2" s="4" t="s">
        <v>22</v>
      </c>
      <c r="E2" s="4" t="s">
        <v>26</v>
      </c>
      <c r="F2" s="4" t="s">
        <v>25</v>
      </c>
      <c r="G2" s="4" t="s">
        <v>24</v>
      </c>
      <c r="H2" s="4" t="s">
        <v>6</v>
      </c>
      <c r="I2" s="4" t="s">
        <v>28</v>
      </c>
      <c r="J2" s="4" t="s">
        <v>29</v>
      </c>
      <c r="M2" s="5">
        <v>2015</v>
      </c>
      <c r="N2" s="5">
        <f>+M2+1</f>
        <v>2016</v>
      </c>
      <c r="O2" s="5">
        <f t="shared" ref="O2:AF2" si="0">+N2+1</f>
        <v>2017</v>
      </c>
      <c r="P2" s="5">
        <f t="shared" si="0"/>
        <v>2018</v>
      </c>
      <c r="Q2" s="5">
        <f t="shared" si="0"/>
        <v>2019</v>
      </c>
      <c r="R2" s="5">
        <f t="shared" si="0"/>
        <v>2020</v>
      </c>
      <c r="S2" s="5">
        <f t="shared" si="0"/>
        <v>2021</v>
      </c>
      <c r="T2" s="5">
        <f t="shared" si="0"/>
        <v>2022</v>
      </c>
      <c r="U2" s="5">
        <f t="shared" si="0"/>
        <v>2023</v>
      </c>
      <c r="V2" s="5">
        <f t="shared" si="0"/>
        <v>2024</v>
      </c>
      <c r="W2" s="5">
        <f t="shared" si="0"/>
        <v>2025</v>
      </c>
      <c r="X2" s="5">
        <f t="shared" si="0"/>
        <v>2026</v>
      </c>
      <c r="Y2" s="5">
        <f t="shared" si="0"/>
        <v>2027</v>
      </c>
      <c r="Z2" s="5">
        <f t="shared" si="0"/>
        <v>2028</v>
      </c>
      <c r="AA2" s="5">
        <f t="shared" si="0"/>
        <v>2029</v>
      </c>
      <c r="AB2" s="5">
        <f t="shared" si="0"/>
        <v>2030</v>
      </c>
      <c r="AC2" s="5">
        <f t="shared" si="0"/>
        <v>2031</v>
      </c>
      <c r="AD2" s="5">
        <f t="shared" si="0"/>
        <v>2032</v>
      </c>
      <c r="AE2" s="5">
        <f t="shared" si="0"/>
        <v>2033</v>
      </c>
      <c r="AF2" s="5">
        <f t="shared" si="0"/>
        <v>2034</v>
      </c>
      <c r="AG2" s="4">
        <f>+AF2+1</f>
        <v>2035</v>
      </c>
      <c r="AH2" s="4">
        <f>+AG2+1</f>
        <v>2036</v>
      </c>
      <c r="AI2" s="4">
        <f>+AH2+1</f>
        <v>2037</v>
      </c>
      <c r="AJ2" s="4">
        <f>+AI2+1</f>
        <v>2038</v>
      </c>
      <c r="AK2" s="4">
        <f>+AJ2+1</f>
        <v>2039</v>
      </c>
      <c r="AL2" s="4">
        <f t="shared" ref="AL2:CW2" si="1">+AK2+1</f>
        <v>2040</v>
      </c>
      <c r="AM2" s="4">
        <f t="shared" si="1"/>
        <v>2041</v>
      </c>
      <c r="AN2" s="4">
        <f t="shared" si="1"/>
        <v>2042</v>
      </c>
      <c r="AO2" s="4">
        <f t="shared" si="1"/>
        <v>2043</v>
      </c>
      <c r="AP2" s="4">
        <f t="shared" si="1"/>
        <v>2044</v>
      </c>
      <c r="AQ2" s="4">
        <f t="shared" si="1"/>
        <v>2045</v>
      </c>
      <c r="AR2" s="4">
        <f t="shared" si="1"/>
        <v>2046</v>
      </c>
      <c r="AS2" s="4">
        <f t="shared" si="1"/>
        <v>2047</v>
      </c>
      <c r="AT2" s="4">
        <f t="shared" si="1"/>
        <v>2048</v>
      </c>
      <c r="AU2" s="4">
        <f t="shared" si="1"/>
        <v>2049</v>
      </c>
      <c r="AV2" s="4">
        <f t="shared" si="1"/>
        <v>2050</v>
      </c>
      <c r="AW2" s="4">
        <f t="shared" si="1"/>
        <v>2051</v>
      </c>
      <c r="AX2" s="4">
        <f t="shared" si="1"/>
        <v>2052</v>
      </c>
      <c r="AY2" s="4">
        <f t="shared" si="1"/>
        <v>2053</v>
      </c>
      <c r="AZ2" s="4">
        <f t="shared" si="1"/>
        <v>2054</v>
      </c>
      <c r="BA2" s="4">
        <f t="shared" si="1"/>
        <v>2055</v>
      </c>
      <c r="BB2" s="4">
        <f t="shared" si="1"/>
        <v>2056</v>
      </c>
      <c r="BC2" s="4">
        <f t="shared" si="1"/>
        <v>2057</v>
      </c>
      <c r="BD2" s="4">
        <f t="shared" si="1"/>
        <v>2058</v>
      </c>
      <c r="BE2" s="4">
        <f t="shared" si="1"/>
        <v>2059</v>
      </c>
      <c r="BF2" s="4">
        <f t="shared" si="1"/>
        <v>2060</v>
      </c>
      <c r="BG2" s="4">
        <f t="shared" si="1"/>
        <v>2061</v>
      </c>
      <c r="BH2" s="4">
        <f t="shared" si="1"/>
        <v>2062</v>
      </c>
      <c r="BI2" s="4">
        <f t="shared" si="1"/>
        <v>2063</v>
      </c>
      <c r="BJ2" s="4">
        <f t="shared" si="1"/>
        <v>2064</v>
      </c>
      <c r="BK2" s="4">
        <f t="shared" si="1"/>
        <v>2065</v>
      </c>
      <c r="BL2" s="4">
        <f t="shared" si="1"/>
        <v>2066</v>
      </c>
      <c r="BM2" s="4">
        <f t="shared" si="1"/>
        <v>2067</v>
      </c>
      <c r="BN2" s="4">
        <f t="shared" si="1"/>
        <v>2068</v>
      </c>
      <c r="BO2" s="4">
        <f t="shared" si="1"/>
        <v>2069</v>
      </c>
      <c r="BP2" s="4">
        <f t="shared" si="1"/>
        <v>2070</v>
      </c>
      <c r="BQ2" s="4">
        <f t="shared" si="1"/>
        <v>2071</v>
      </c>
      <c r="BR2" s="4">
        <f t="shared" si="1"/>
        <v>2072</v>
      </c>
      <c r="BS2" s="4">
        <f t="shared" si="1"/>
        <v>2073</v>
      </c>
      <c r="BT2" s="4">
        <f t="shared" si="1"/>
        <v>2074</v>
      </c>
      <c r="BU2" s="4">
        <f t="shared" si="1"/>
        <v>2075</v>
      </c>
      <c r="BV2" s="4">
        <f t="shared" si="1"/>
        <v>2076</v>
      </c>
      <c r="BW2" s="4">
        <f t="shared" si="1"/>
        <v>2077</v>
      </c>
      <c r="BX2" s="4">
        <f t="shared" si="1"/>
        <v>2078</v>
      </c>
      <c r="BY2" s="4">
        <f t="shared" si="1"/>
        <v>2079</v>
      </c>
      <c r="BZ2" s="4">
        <f t="shared" si="1"/>
        <v>2080</v>
      </c>
      <c r="CA2" s="4">
        <f t="shared" si="1"/>
        <v>2081</v>
      </c>
      <c r="CB2" s="4">
        <f t="shared" si="1"/>
        <v>2082</v>
      </c>
      <c r="CC2" s="4">
        <f t="shared" si="1"/>
        <v>2083</v>
      </c>
      <c r="CD2" s="4">
        <f t="shared" si="1"/>
        <v>2084</v>
      </c>
      <c r="CE2" s="4">
        <f t="shared" si="1"/>
        <v>2085</v>
      </c>
      <c r="CF2" s="4">
        <f t="shared" si="1"/>
        <v>2086</v>
      </c>
      <c r="CG2" s="4">
        <f t="shared" si="1"/>
        <v>2087</v>
      </c>
      <c r="CH2" s="4">
        <f t="shared" si="1"/>
        <v>2088</v>
      </c>
      <c r="CI2" s="4">
        <f t="shared" si="1"/>
        <v>2089</v>
      </c>
      <c r="CJ2" s="4">
        <f t="shared" si="1"/>
        <v>2090</v>
      </c>
      <c r="CK2" s="4">
        <f t="shared" si="1"/>
        <v>2091</v>
      </c>
      <c r="CL2" s="4">
        <f t="shared" si="1"/>
        <v>2092</v>
      </c>
      <c r="CM2" s="4">
        <f t="shared" si="1"/>
        <v>2093</v>
      </c>
      <c r="CN2" s="4">
        <f t="shared" si="1"/>
        <v>2094</v>
      </c>
      <c r="CO2" s="4">
        <f t="shared" si="1"/>
        <v>2095</v>
      </c>
      <c r="CP2" s="4">
        <f t="shared" si="1"/>
        <v>2096</v>
      </c>
      <c r="CQ2" s="4">
        <f t="shared" si="1"/>
        <v>2097</v>
      </c>
      <c r="CR2" s="4">
        <f t="shared" si="1"/>
        <v>2098</v>
      </c>
      <c r="CS2" s="4">
        <f t="shared" si="1"/>
        <v>2099</v>
      </c>
      <c r="CT2" s="4">
        <f t="shared" si="1"/>
        <v>2100</v>
      </c>
      <c r="CU2" s="4">
        <f t="shared" si="1"/>
        <v>2101</v>
      </c>
      <c r="CV2" s="4">
        <f t="shared" si="1"/>
        <v>2102</v>
      </c>
      <c r="CW2" s="4">
        <f t="shared" si="1"/>
        <v>2103</v>
      </c>
      <c r="CX2" s="4">
        <f t="shared" ref="CX2:FI2" si="2">+CW2+1</f>
        <v>2104</v>
      </c>
      <c r="CY2" s="4">
        <f t="shared" si="2"/>
        <v>2105</v>
      </c>
      <c r="CZ2" s="4">
        <f t="shared" si="2"/>
        <v>2106</v>
      </c>
      <c r="DA2" s="4">
        <f t="shared" si="2"/>
        <v>2107</v>
      </c>
      <c r="DB2" s="4">
        <f t="shared" si="2"/>
        <v>2108</v>
      </c>
      <c r="DC2" s="4">
        <f t="shared" si="2"/>
        <v>2109</v>
      </c>
      <c r="DD2" s="4">
        <f t="shared" si="2"/>
        <v>2110</v>
      </c>
      <c r="DE2" s="4">
        <f t="shared" si="2"/>
        <v>2111</v>
      </c>
      <c r="DF2" s="4">
        <f t="shared" si="2"/>
        <v>2112</v>
      </c>
      <c r="DG2" s="4">
        <f t="shared" si="2"/>
        <v>2113</v>
      </c>
      <c r="DH2" s="4">
        <f t="shared" si="2"/>
        <v>2114</v>
      </c>
      <c r="DI2" s="4">
        <f t="shared" si="2"/>
        <v>2115</v>
      </c>
      <c r="DJ2" s="4">
        <f t="shared" si="2"/>
        <v>2116</v>
      </c>
      <c r="DK2" s="4">
        <f t="shared" si="2"/>
        <v>2117</v>
      </c>
      <c r="DL2" s="4">
        <f t="shared" si="2"/>
        <v>2118</v>
      </c>
      <c r="DM2" s="4">
        <f t="shared" si="2"/>
        <v>2119</v>
      </c>
      <c r="DN2" s="4">
        <f t="shared" si="2"/>
        <v>2120</v>
      </c>
      <c r="DO2" s="4">
        <f t="shared" si="2"/>
        <v>2121</v>
      </c>
      <c r="DP2" s="4">
        <f t="shared" si="2"/>
        <v>2122</v>
      </c>
      <c r="DQ2" s="4">
        <f t="shared" si="2"/>
        <v>2123</v>
      </c>
      <c r="DR2" s="4">
        <f t="shared" si="2"/>
        <v>2124</v>
      </c>
      <c r="DS2" s="4">
        <f t="shared" si="2"/>
        <v>2125</v>
      </c>
      <c r="DT2" s="4">
        <f t="shared" si="2"/>
        <v>2126</v>
      </c>
      <c r="DU2" s="4">
        <f t="shared" si="2"/>
        <v>2127</v>
      </c>
      <c r="DV2" s="4">
        <f t="shared" si="2"/>
        <v>2128</v>
      </c>
      <c r="DW2" s="4">
        <f t="shared" si="2"/>
        <v>2129</v>
      </c>
      <c r="DX2" s="4">
        <f t="shared" si="2"/>
        <v>2130</v>
      </c>
      <c r="DY2" s="4">
        <f t="shared" si="2"/>
        <v>2131</v>
      </c>
      <c r="DZ2" s="4">
        <f t="shared" si="2"/>
        <v>2132</v>
      </c>
      <c r="EA2" s="4">
        <f t="shared" si="2"/>
        <v>2133</v>
      </c>
      <c r="EB2" s="4">
        <f t="shared" si="2"/>
        <v>2134</v>
      </c>
      <c r="EC2" s="4">
        <f t="shared" si="2"/>
        <v>2135</v>
      </c>
      <c r="ED2" s="4">
        <f t="shared" si="2"/>
        <v>2136</v>
      </c>
      <c r="EE2" s="4">
        <f t="shared" si="2"/>
        <v>2137</v>
      </c>
      <c r="EF2" s="4">
        <f t="shared" si="2"/>
        <v>2138</v>
      </c>
      <c r="EG2" s="4">
        <f t="shared" si="2"/>
        <v>2139</v>
      </c>
      <c r="EH2" s="4">
        <f t="shared" si="2"/>
        <v>2140</v>
      </c>
      <c r="EI2" s="4">
        <f t="shared" si="2"/>
        <v>2141</v>
      </c>
      <c r="EJ2" s="4">
        <f t="shared" si="2"/>
        <v>2142</v>
      </c>
      <c r="EK2" s="4">
        <f t="shared" si="2"/>
        <v>2143</v>
      </c>
      <c r="EL2" s="4">
        <f t="shared" si="2"/>
        <v>2144</v>
      </c>
      <c r="EM2" s="4">
        <f t="shared" si="2"/>
        <v>2145</v>
      </c>
      <c r="EN2" s="4">
        <f t="shared" si="2"/>
        <v>2146</v>
      </c>
      <c r="EO2" s="4">
        <f t="shared" si="2"/>
        <v>2147</v>
      </c>
      <c r="EP2" s="4">
        <f t="shared" si="2"/>
        <v>2148</v>
      </c>
      <c r="EQ2" s="4">
        <f t="shared" si="2"/>
        <v>2149</v>
      </c>
      <c r="ER2" s="4">
        <f t="shared" si="2"/>
        <v>2150</v>
      </c>
      <c r="ES2" s="4">
        <f t="shared" si="2"/>
        <v>2151</v>
      </c>
      <c r="ET2" s="4">
        <f t="shared" si="2"/>
        <v>2152</v>
      </c>
      <c r="EU2" s="4">
        <f t="shared" si="2"/>
        <v>2153</v>
      </c>
      <c r="EV2" s="4">
        <f t="shared" si="2"/>
        <v>2154</v>
      </c>
      <c r="EW2" s="4">
        <f t="shared" si="2"/>
        <v>2155</v>
      </c>
      <c r="EX2" s="4">
        <f t="shared" si="2"/>
        <v>2156</v>
      </c>
      <c r="EY2" s="4">
        <f t="shared" si="2"/>
        <v>2157</v>
      </c>
      <c r="EZ2" s="4">
        <f t="shared" si="2"/>
        <v>2158</v>
      </c>
      <c r="FA2" s="4">
        <f t="shared" si="2"/>
        <v>2159</v>
      </c>
      <c r="FB2" s="4">
        <f t="shared" si="2"/>
        <v>2160</v>
      </c>
      <c r="FC2" s="4">
        <f t="shared" si="2"/>
        <v>2161</v>
      </c>
      <c r="FD2" s="4">
        <f t="shared" si="2"/>
        <v>2162</v>
      </c>
      <c r="FE2" s="4">
        <f t="shared" si="2"/>
        <v>2163</v>
      </c>
      <c r="FF2" s="4">
        <f t="shared" si="2"/>
        <v>2164</v>
      </c>
      <c r="FG2" s="4">
        <f t="shared" si="2"/>
        <v>2165</v>
      </c>
      <c r="FH2" s="4">
        <f t="shared" si="2"/>
        <v>2166</v>
      </c>
      <c r="FI2" s="4">
        <f t="shared" si="2"/>
        <v>2167</v>
      </c>
      <c r="FJ2" s="4">
        <f t="shared" ref="FJ2:HU2" si="3">+FI2+1</f>
        <v>2168</v>
      </c>
      <c r="FK2" s="4">
        <f t="shared" si="3"/>
        <v>2169</v>
      </c>
      <c r="FL2" s="4">
        <f t="shared" si="3"/>
        <v>2170</v>
      </c>
      <c r="FM2" s="4">
        <f t="shared" si="3"/>
        <v>2171</v>
      </c>
      <c r="FN2" s="4">
        <f t="shared" si="3"/>
        <v>2172</v>
      </c>
      <c r="FO2" s="4">
        <f t="shared" si="3"/>
        <v>2173</v>
      </c>
      <c r="FP2" s="4">
        <f t="shared" si="3"/>
        <v>2174</v>
      </c>
      <c r="FQ2" s="4">
        <f t="shared" si="3"/>
        <v>2175</v>
      </c>
      <c r="FR2" s="4">
        <f t="shared" si="3"/>
        <v>2176</v>
      </c>
      <c r="FS2" s="4">
        <f t="shared" si="3"/>
        <v>2177</v>
      </c>
      <c r="FT2" s="4">
        <f t="shared" si="3"/>
        <v>2178</v>
      </c>
      <c r="FU2" s="4">
        <f t="shared" si="3"/>
        <v>2179</v>
      </c>
      <c r="FV2" s="4">
        <f t="shared" si="3"/>
        <v>2180</v>
      </c>
      <c r="FW2" s="4">
        <f t="shared" si="3"/>
        <v>2181</v>
      </c>
      <c r="FX2" s="4">
        <f t="shared" si="3"/>
        <v>2182</v>
      </c>
      <c r="FY2" s="4">
        <f t="shared" si="3"/>
        <v>2183</v>
      </c>
      <c r="FZ2" s="4">
        <f t="shared" si="3"/>
        <v>2184</v>
      </c>
      <c r="GA2" s="4">
        <f t="shared" si="3"/>
        <v>2185</v>
      </c>
      <c r="GB2" s="4">
        <f t="shared" si="3"/>
        <v>2186</v>
      </c>
      <c r="GC2" s="4">
        <f t="shared" si="3"/>
        <v>2187</v>
      </c>
      <c r="GD2" s="4">
        <f t="shared" si="3"/>
        <v>2188</v>
      </c>
      <c r="GE2" s="4">
        <f t="shared" si="3"/>
        <v>2189</v>
      </c>
      <c r="GF2" s="4">
        <f t="shared" si="3"/>
        <v>2190</v>
      </c>
      <c r="GG2" s="4">
        <f t="shared" si="3"/>
        <v>2191</v>
      </c>
      <c r="GH2" s="4">
        <f t="shared" si="3"/>
        <v>2192</v>
      </c>
      <c r="GI2" s="4">
        <f t="shared" si="3"/>
        <v>2193</v>
      </c>
      <c r="GJ2" s="4">
        <f t="shared" si="3"/>
        <v>2194</v>
      </c>
      <c r="GK2" s="4">
        <f t="shared" si="3"/>
        <v>2195</v>
      </c>
      <c r="GL2" s="4">
        <f t="shared" si="3"/>
        <v>2196</v>
      </c>
      <c r="GM2" s="4">
        <f t="shared" si="3"/>
        <v>2197</v>
      </c>
      <c r="GN2" s="4">
        <f t="shared" si="3"/>
        <v>2198</v>
      </c>
      <c r="GO2" s="4">
        <f t="shared" si="3"/>
        <v>2199</v>
      </c>
      <c r="GP2" s="4">
        <f t="shared" si="3"/>
        <v>2200</v>
      </c>
      <c r="GQ2" s="4">
        <f t="shared" si="3"/>
        <v>2201</v>
      </c>
      <c r="GR2" s="4">
        <f t="shared" si="3"/>
        <v>2202</v>
      </c>
      <c r="GS2" s="4">
        <f t="shared" si="3"/>
        <v>2203</v>
      </c>
      <c r="GT2" s="4">
        <f t="shared" si="3"/>
        <v>2204</v>
      </c>
      <c r="GU2" s="4">
        <f t="shared" si="3"/>
        <v>2205</v>
      </c>
      <c r="GV2" s="4">
        <f t="shared" si="3"/>
        <v>2206</v>
      </c>
      <c r="GW2" s="4">
        <f t="shared" si="3"/>
        <v>2207</v>
      </c>
      <c r="GX2" s="4">
        <f t="shared" si="3"/>
        <v>2208</v>
      </c>
      <c r="GY2" s="4">
        <f t="shared" si="3"/>
        <v>2209</v>
      </c>
      <c r="GZ2" s="4">
        <f t="shared" si="3"/>
        <v>2210</v>
      </c>
      <c r="HA2" s="4">
        <f t="shared" si="3"/>
        <v>2211</v>
      </c>
      <c r="HB2" s="4">
        <f t="shared" si="3"/>
        <v>2212</v>
      </c>
      <c r="HC2" s="4">
        <f t="shared" si="3"/>
        <v>2213</v>
      </c>
      <c r="HD2" s="4">
        <f t="shared" si="3"/>
        <v>2214</v>
      </c>
      <c r="HE2" s="4">
        <f t="shared" si="3"/>
        <v>2215</v>
      </c>
      <c r="HF2" s="4">
        <f t="shared" si="3"/>
        <v>2216</v>
      </c>
      <c r="HG2" s="4">
        <f t="shared" si="3"/>
        <v>2217</v>
      </c>
      <c r="HH2" s="4">
        <f t="shared" si="3"/>
        <v>2218</v>
      </c>
      <c r="HI2" s="4">
        <f t="shared" si="3"/>
        <v>2219</v>
      </c>
      <c r="HJ2" s="4">
        <f t="shared" si="3"/>
        <v>2220</v>
      </c>
      <c r="HK2" s="4">
        <f t="shared" si="3"/>
        <v>2221</v>
      </c>
      <c r="HL2" s="4">
        <f t="shared" si="3"/>
        <v>2222</v>
      </c>
      <c r="HM2" s="4">
        <f t="shared" si="3"/>
        <v>2223</v>
      </c>
      <c r="HN2" s="4">
        <f t="shared" si="3"/>
        <v>2224</v>
      </c>
      <c r="HO2" s="4">
        <f t="shared" si="3"/>
        <v>2225</v>
      </c>
      <c r="HP2" s="4">
        <f t="shared" si="3"/>
        <v>2226</v>
      </c>
      <c r="HQ2" s="4">
        <f t="shared" si="3"/>
        <v>2227</v>
      </c>
      <c r="HR2" s="4">
        <f t="shared" si="3"/>
        <v>2228</v>
      </c>
      <c r="HS2" s="4">
        <f t="shared" si="3"/>
        <v>2229</v>
      </c>
      <c r="HT2" s="4">
        <f t="shared" si="3"/>
        <v>2230</v>
      </c>
      <c r="HU2" s="4">
        <f t="shared" si="3"/>
        <v>2231</v>
      </c>
      <c r="HV2" s="4">
        <f t="shared" ref="HV2:IH2" si="4">+HU2+1</f>
        <v>2232</v>
      </c>
      <c r="HW2" s="4">
        <f t="shared" si="4"/>
        <v>2233</v>
      </c>
      <c r="HX2" s="4">
        <f t="shared" si="4"/>
        <v>2234</v>
      </c>
      <c r="HY2" s="4">
        <f t="shared" si="4"/>
        <v>2235</v>
      </c>
    </row>
    <row r="3" spans="2:233" s="4" customFormat="1" x14ac:dyDescent="0.2"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233" s="4" customFormat="1" x14ac:dyDescent="0.2"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2:233" x14ac:dyDescent="0.2">
      <c r="B5" s="1" t="s">
        <v>9</v>
      </c>
      <c r="C5" s="1">
        <v>754935</v>
      </c>
      <c r="D5" s="1">
        <v>824333</v>
      </c>
      <c r="E5" s="1">
        <v>908175</v>
      </c>
      <c r="F5" s="1">
        <f>+V5-SUM(C5:E5)</f>
        <v>1035333</v>
      </c>
      <c r="G5" s="1">
        <v>880817</v>
      </c>
      <c r="H5" s="1">
        <v>975471</v>
      </c>
      <c r="I5" s="1">
        <f>+E5*1.16</f>
        <v>1053483</v>
      </c>
      <c r="J5" s="1">
        <f>+F5*1.13</f>
        <v>1169926.2899999998</v>
      </c>
      <c r="T5" s="1">
        <v>2711441</v>
      </c>
      <c r="U5" s="1">
        <v>2994105</v>
      </c>
      <c r="V5" s="1">
        <v>3522776</v>
      </c>
      <c r="W5" s="1">
        <f>SUM(G5:J5)</f>
        <v>4079697.29</v>
      </c>
      <c r="X5" s="1">
        <f>+W5*1.1</f>
        <v>4487667.0190000003</v>
      </c>
      <c r="Y5" s="1">
        <f t="shared" ref="Y5:AF5" si="5">+X5*1.1</f>
        <v>4936433.720900001</v>
      </c>
      <c r="Z5" s="1">
        <f t="shared" si="5"/>
        <v>5430077.0929900017</v>
      </c>
      <c r="AA5" s="1">
        <f t="shared" si="5"/>
        <v>5973084.8022890026</v>
      </c>
      <c r="AB5" s="1">
        <f t="shared" si="5"/>
        <v>6570393.2825179035</v>
      </c>
      <c r="AC5" s="1">
        <f t="shared" si="5"/>
        <v>7227432.6107696947</v>
      </c>
      <c r="AD5" s="1">
        <f t="shared" si="5"/>
        <v>7950175.8718466647</v>
      </c>
      <c r="AE5" s="1">
        <f t="shared" si="5"/>
        <v>8745193.4590313323</v>
      </c>
      <c r="AF5" s="1">
        <f t="shared" si="5"/>
        <v>9619712.8049344663</v>
      </c>
    </row>
    <row r="6" spans="2:233" x14ac:dyDescent="0.2">
      <c r="B6" s="1" t="s">
        <v>10</v>
      </c>
      <c r="C6" s="1">
        <v>126534</v>
      </c>
      <c r="D6" s="1">
        <v>143846</v>
      </c>
      <c r="E6" s="1">
        <v>154028</v>
      </c>
      <c r="F6" s="1">
        <f t="shared" ref="F6:F19" si="6">+V6-SUM(C6:E6)</f>
        <v>165714</v>
      </c>
      <c r="G6" s="1">
        <v>139855</v>
      </c>
      <c r="H6" s="1">
        <v>135567</v>
      </c>
      <c r="I6" s="1">
        <f>+I7-I5</f>
        <v>146806.3899999999</v>
      </c>
      <c r="J6" s="1">
        <f>+AVERAGE(G6:I6)</f>
        <v>140742.79666666663</v>
      </c>
      <c r="T6" s="1">
        <v>415093</v>
      </c>
      <c r="U6" s="1">
        <v>490514</v>
      </c>
      <c r="V6" s="1">
        <v>590122</v>
      </c>
      <c r="W6" s="1">
        <f>SUM(G6:J6)</f>
        <v>562971.18666666653</v>
      </c>
      <c r="X6" s="1">
        <f>+W6*0.99</f>
        <v>557341.47479999985</v>
      </c>
      <c r="Y6" s="1">
        <f t="shared" ref="Y6:AF6" si="7">+X6*0.99</f>
        <v>551768.06005199987</v>
      </c>
      <c r="Z6" s="1">
        <f t="shared" si="7"/>
        <v>546250.37945147988</v>
      </c>
      <c r="AA6" s="1">
        <f t="shared" si="7"/>
        <v>540787.87565696507</v>
      </c>
      <c r="AB6" s="1">
        <f t="shared" si="7"/>
        <v>535379.99690039537</v>
      </c>
      <c r="AC6" s="1">
        <f t="shared" si="7"/>
        <v>530026.19693139137</v>
      </c>
      <c r="AD6" s="1">
        <f t="shared" si="7"/>
        <v>524725.93496207742</v>
      </c>
      <c r="AE6" s="1">
        <f t="shared" si="7"/>
        <v>519478.67561245663</v>
      </c>
      <c r="AF6" s="1">
        <f t="shared" si="7"/>
        <v>514283.88885633205</v>
      </c>
    </row>
    <row r="7" spans="2:233" s="6" customFormat="1" x14ac:dyDescent="0.2">
      <c r="B7" s="6" t="s">
        <v>11</v>
      </c>
      <c r="C7" s="6">
        <f>+SUM(C5:C6)</f>
        <v>881469</v>
      </c>
      <c r="D7" s="6">
        <f>+SUM(D5:D6)</f>
        <v>968179</v>
      </c>
      <c r="E7" s="6">
        <f>+SUM(E5:E6)</f>
        <v>1062203</v>
      </c>
      <c r="F7" s="6">
        <f t="shared" si="6"/>
        <v>1201047</v>
      </c>
      <c r="G7" s="6">
        <f>+SUM(G5:G6)</f>
        <v>1020672</v>
      </c>
      <c r="H7" s="6">
        <f>+SUM(H5:H6)</f>
        <v>1111038</v>
      </c>
      <c r="I7" s="6">
        <f>+E7*1.13</f>
        <v>1200289.3899999999</v>
      </c>
      <c r="J7" s="6">
        <f>+SUM(J5:J6)</f>
        <v>1310669.0866666664</v>
      </c>
      <c r="T7" s="6">
        <f>+SUM(T5:T6)</f>
        <v>3126534</v>
      </c>
      <c r="U7" s="6">
        <f>+SUM(U5:U6)</f>
        <v>3484619</v>
      </c>
      <c r="V7" s="6">
        <f>+SUM(V5:V6)</f>
        <v>4112898</v>
      </c>
      <c r="W7" s="6">
        <f>+SUM(W5:W6)</f>
        <v>4642668.4766666666</v>
      </c>
      <c r="X7" s="6">
        <f t="shared" ref="X7:AF7" si="8">+SUM(X5:X6)</f>
        <v>5045008.4938000003</v>
      </c>
      <c r="Y7" s="6">
        <f t="shared" si="8"/>
        <v>5488201.780952001</v>
      </c>
      <c r="Z7" s="6">
        <f t="shared" si="8"/>
        <v>5976327.4724414814</v>
      </c>
      <c r="AA7" s="6">
        <f t="shared" si="8"/>
        <v>6513872.6779459678</v>
      </c>
      <c r="AB7" s="6">
        <f t="shared" si="8"/>
        <v>7105773.279418299</v>
      </c>
      <c r="AC7" s="6">
        <f t="shared" si="8"/>
        <v>7757458.8077010857</v>
      </c>
      <c r="AD7" s="6">
        <f t="shared" si="8"/>
        <v>8474901.8068087418</v>
      </c>
      <c r="AE7" s="6">
        <f t="shared" si="8"/>
        <v>9264672.1346437894</v>
      </c>
      <c r="AF7" s="6">
        <f t="shared" si="8"/>
        <v>10133996.693790799</v>
      </c>
    </row>
    <row r="8" spans="2:233" x14ac:dyDescent="0.2">
      <c r="B8" s="1" t="s">
        <v>12</v>
      </c>
      <c r="C8" s="1">
        <v>360566</v>
      </c>
      <c r="D8" s="1">
        <v>384454</v>
      </c>
      <c r="E8" s="1">
        <v>416396</v>
      </c>
      <c r="F8" s="1">
        <f t="shared" si="6"/>
        <v>475400</v>
      </c>
      <c r="G8" s="1">
        <v>416506</v>
      </c>
      <c r="H8" s="1">
        <v>477795</v>
      </c>
      <c r="I8" s="1">
        <f>+I$7*(H8/H$7)</f>
        <v>516177.00663258135</v>
      </c>
      <c r="J8" s="1">
        <f>+J$7*(I8/I$7)</f>
        <v>563645.11048577982</v>
      </c>
      <c r="T8" s="1">
        <v>1179675</v>
      </c>
      <c r="U8" s="1">
        <v>1427546</v>
      </c>
      <c r="V8" s="1">
        <v>1636816</v>
      </c>
      <c r="W8" s="1">
        <f>SUM(G8:J8)</f>
        <v>1974123.1171183612</v>
      </c>
      <c r="X8" s="1">
        <f>+X$5*(W8/W$5)</f>
        <v>2171535.4288301975</v>
      </c>
    </row>
    <row r="9" spans="2:233" x14ac:dyDescent="0.2">
      <c r="B9" s="1" t="s">
        <v>10</v>
      </c>
      <c r="C9" s="1">
        <v>132612</v>
      </c>
      <c r="D9" s="1">
        <v>159025</v>
      </c>
      <c r="E9" s="1">
        <v>165732</v>
      </c>
      <c r="F9" s="1">
        <f t="shared" si="6"/>
        <v>213068</v>
      </c>
      <c r="G9" s="1">
        <v>159121</v>
      </c>
      <c r="H9" s="1">
        <v>135585</v>
      </c>
      <c r="I9" s="1">
        <v>164000</v>
      </c>
      <c r="J9" s="1">
        <f>+J$7*(I9/I$7)</f>
        <v>179081.58816044629</v>
      </c>
      <c r="T9" s="1">
        <v>505737</v>
      </c>
      <c r="U9" s="1">
        <v>534458</v>
      </c>
      <c r="V9" s="1">
        <v>670437</v>
      </c>
      <c r="W9" s="1">
        <f t="shared" ref="W9:W19" si="9">SUM(G9:J9)</f>
        <v>637787.58816044626</v>
      </c>
      <c r="X9" s="1">
        <f>+X$5*(W9/W$5)</f>
        <v>701566.34697649092</v>
      </c>
    </row>
    <row r="10" spans="2:233" x14ac:dyDescent="0.2">
      <c r="B10" s="1" t="s">
        <v>17</v>
      </c>
      <c r="C10" s="1">
        <f>+C7-SUM(C8:C9)</f>
        <v>388291</v>
      </c>
      <c r="D10" s="1">
        <f>+D7-SUM(D8:D9)</f>
        <v>424700</v>
      </c>
      <c r="E10" s="1">
        <f>+E7-SUM(E8:E9)</f>
        <v>480075</v>
      </c>
      <c r="F10" s="1">
        <f t="shared" si="6"/>
        <v>512579</v>
      </c>
      <c r="G10" s="1">
        <f>+G7-SUM(G8:G9)</f>
        <v>445045</v>
      </c>
      <c r="H10" s="1">
        <f>+H7-SUM(H8:H9)</f>
        <v>497658</v>
      </c>
      <c r="I10" s="1">
        <f>+I7-SUM(I8:I9)</f>
        <v>520112.38336741854</v>
      </c>
      <c r="J10" s="1">
        <f>+J7-SUM(J8:J9)</f>
        <v>567942.38802044035</v>
      </c>
      <c r="T10" s="1">
        <f>+T7-SUM(T8:T9)</f>
        <v>1441122</v>
      </c>
      <c r="U10" s="1">
        <f>+U7-SUM(U8:U9)</f>
        <v>1522615</v>
      </c>
      <c r="V10" s="1">
        <f>+V7-SUM(V8:V9)</f>
        <v>1805645</v>
      </c>
      <c r="W10" s="1">
        <f t="shared" si="9"/>
        <v>2030757.7713878588</v>
      </c>
      <c r="X10" s="1">
        <f>+X7-SUM(X8:X9)</f>
        <v>2171906.7179933116</v>
      </c>
    </row>
    <row r="11" spans="2:233" x14ac:dyDescent="0.2">
      <c r="B11" s="1" t="s">
        <v>13</v>
      </c>
      <c r="C11" s="1">
        <v>180459</v>
      </c>
      <c r="D11" s="1">
        <v>175481</v>
      </c>
      <c r="E11" s="1">
        <v>178798</v>
      </c>
      <c r="F11" s="1">
        <f t="shared" si="6"/>
        <v>185407</v>
      </c>
      <c r="G11" s="1">
        <v>184579</v>
      </c>
      <c r="H11" s="1">
        <v>178017</v>
      </c>
      <c r="I11" s="1">
        <f t="shared" ref="I11:J13" si="10">+I$7*(H11/H$7)</f>
        <v>192317.37918921764</v>
      </c>
      <c r="J11" s="1">
        <f t="shared" si="10"/>
        <v>210003.05912231619</v>
      </c>
      <c r="T11" s="1">
        <v>788913</v>
      </c>
      <c r="U11" s="1">
        <v>878474</v>
      </c>
      <c r="V11" s="1">
        <v>720145</v>
      </c>
      <c r="W11" s="1">
        <f t="shared" si="9"/>
        <v>764916.43831153389</v>
      </c>
      <c r="X11" s="1">
        <f>+X$5*(W11/W$5)</f>
        <v>841408.08214268729</v>
      </c>
    </row>
    <row r="12" spans="2:233" x14ac:dyDescent="0.2">
      <c r="B12" s="1" t="s">
        <v>14</v>
      </c>
      <c r="C12" s="1">
        <v>202124</v>
      </c>
      <c r="D12" s="1">
        <v>221656</v>
      </c>
      <c r="E12" s="1">
        <v>237047</v>
      </c>
      <c r="F12" s="1">
        <f t="shared" si="6"/>
        <v>271885</v>
      </c>
      <c r="G12" s="1">
        <v>223693</v>
      </c>
      <c r="H12" s="1">
        <v>243256</v>
      </c>
      <c r="I12" s="1">
        <f t="shared" si="10"/>
        <v>262797.12831949943</v>
      </c>
      <c r="J12" s="1">
        <f t="shared" si="10"/>
        <v>286964.18965524732</v>
      </c>
      <c r="T12" s="1">
        <v>838419</v>
      </c>
      <c r="U12" s="1">
        <v>1033359</v>
      </c>
      <c r="V12" s="1">
        <v>932712</v>
      </c>
      <c r="W12" s="1">
        <f t="shared" si="9"/>
        <v>1016710.3179747467</v>
      </c>
      <c r="X12" s="1">
        <f>+X$5*(W12/W$5)</f>
        <v>1118381.3497722214</v>
      </c>
    </row>
    <row r="13" spans="2:233" x14ac:dyDescent="0.2">
      <c r="B13" s="1" t="s">
        <v>15</v>
      </c>
      <c r="C13" s="1">
        <v>77744</v>
      </c>
      <c r="D13" s="1">
        <v>98806</v>
      </c>
      <c r="E13" s="1">
        <v>99993</v>
      </c>
      <c r="F13" s="1">
        <f t="shared" si="6"/>
        <v>94412</v>
      </c>
      <c r="G13" s="1">
        <v>94503</v>
      </c>
      <c r="H13" s="1">
        <v>99718</v>
      </c>
      <c r="I13" s="1">
        <f t="shared" si="10"/>
        <v>107728.50018813038</v>
      </c>
      <c r="J13" s="1">
        <f t="shared" si="10"/>
        <v>117635.3103892276</v>
      </c>
      <c r="T13" s="1">
        <v>344678</v>
      </c>
      <c r="U13" s="1">
        <v>403159</v>
      </c>
      <c r="V13" s="1">
        <v>370955</v>
      </c>
      <c r="W13" s="1">
        <f t="shared" si="9"/>
        <v>419584.81057735794</v>
      </c>
      <c r="X13" s="1">
        <f>+X$5*(W13/W$5)</f>
        <v>461543.29163509374</v>
      </c>
    </row>
    <row r="14" spans="2:233" x14ac:dyDescent="0.2">
      <c r="B14" s="1" t="s">
        <v>16</v>
      </c>
      <c r="C14" s="1">
        <f>++C10-SUM(C11:C13)</f>
        <v>-72036</v>
      </c>
      <c r="D14" s="1">
        <f>++D10-SUM(D11:D13)</f>
        <v>-71243</v>
      </c>
      <c r="E14" s="1">
        <f>++E10-SUM(E11:E13)</f>
        <v>-35763</v>
      </c>
      <c r="F14" s="1">
        <f t="shared" si="6"/>
        <v>-39125</v>
      </c>
      <c r="G14" s="1">
        <f>++G10-SUM(G11:G13)</f>
        <v>-57730</v>
      </c>
      <c r="H14" s="1">
        <f>++H10-SUM(H11:H13)</f>
        <v>-23333</v>
      </c>
      <c r="I14" s="1">
        <f>++I10-SUM(I11:I13)</f>
        <v>-42730.624329428887</v>
      </c>
      <c r="J14" s="1">
        <f>++J10-SUM(J11:J13)</f>
        <v>-46660.171146350796</v>
      </c>
      <c r="T14" s="1">
        <f>++T10-SUM(T11:T13)</f>
        <v>-530888</v>
      </c>
      <c r="U14" s="1">
        <f>++U10-SUM(U11:U13)</f>
        <v>-792377</v>
      </c>
      <c r="V14" s="1">
        <f>++V10-SUM(V11:V13)</f>
        <v>-218167</v>
      </c>
      <c r="W14" s="1">
        <f t="shared" si="9"/>
        <v>-170453.79547577968</v>
      </c>
      <c r="X14" s="1">
        <f>++X10-SUM(X11:X13)</f>
        <v>-249426.00555669097</v>
      </c>
    </row>
    <row r="15" spans="2:233" x14ac:dyDescent="0.2">
      <c r="B15" s="1" t="s">
        <v>32</v>
      </c>
      <c r="C15" s="1">
        <v>-10</v>
      </c>
      <c r="D15" s="1">
        <v>0</v>
      </c>
      <c r="E15" s="1">
        <v>0</v>
      </c>
      <c r="F15" s="1">
        <f t="shared" si="6"/>
        <v>-401</v>
      </c>
      <c r="G15" s="1">
        <v>-433</v>
      </c>
      <c r="H15" s="1">
        <v>-460</v>
      </c>
      <c r="I15" s="1">
        <f>+H15</f>
        <v>-460</v>
      </c>
      <c r="J15" s="1">
        <f>+I15</f>
        <v>-460</v>
      </c>
      <c r="T15" s="1">
        <v>-5161</v>
      </c>
      <c r="U15" s="1">
        <v>-730</v>
      </c>
      <c r="V15" s="1">
        <v>-411</v>
      </c>
      <c r="W15" s="1">
        <f t="shared" si="9"/>
        <v>-1813</v>
      </c>
      <c r="X15" s="1">
        <f>+W15</f>
        <v>-1813</v>
      </c>
    </row>
    <row r="16" spans="2:233" x14ac:dyDescent="0.2">
      <c r="B16" s="1" t="s">
        <v>19</v>
      </c>
      <c r="C16" s="1">
        <v>25956</v>
      </c>
      <c r="D16" s="1">
        <v>28129</v>
      </c>
      <c r="E16" s="1">
        <v>30880</v>
      </c>
      <c r="F16" s="1">
        <f t="shared" si="6"/>
        <v>13655</v>
      </c>
      <c r="G16" s="1">
        <v>17649</v>
      </c>
      <c r="H16" s="1">
        <v>28466</v>
      </c>
      <c r="I16" s="1">
        <f>+H16</f>
        <v>28466</v>
      </c>
      <c r="J16" s="1">
        <f>+I16</f>
        <v>28466</v>
      </c>
      <c r="T16" s="1">
        <v>43766</v>
      </c>
      <c r="U16" s="1">
        <v>93677</v>
      </c>
      <c r="V16" s="1">
        <v>98620</v>
      </c>
      <c r="W16" s="1">
        <f t="shared" si="9"/>
        <v>103047</v>
      </c>
      <c r="X16" s="1">
        <f>+W16</f>
        <v>103047</v>
      </c>
    </row>
    <row r="17" spans="2:35" x14ac:dyDescent="0.2">
      <c r="B17" s="1" t="s">
        <v>18</v>
      </c>
      <c r="C17" s="1">
        <f>+SUM(C14:C16)</f>
        <v>-46090</v>
      </c>
      <c r="D17" s="1">
        <f>+SUM(D14:D16)</f>
        <v>-43114</v>
      </c>
      <c r="E17" s="1">
        <f>+SUM(E14:E16)</f>
        <v>-4883</v>
      </c>
      <c r="F17" s="1">
        <f t="shared" si="6"/>
        <v>-25871</v>
      </c>
      <c r="G17" s="1">
        <f>+SUM(G14:G16)</f>
        <v>-40514</v>
      </c>
      <c r="H17" s="1">
        <f>+SUM(H14:H16)</f>
        <v>4673</v>
      </c>
      <c r="I17" s="1">
        <f>+SUM(I14:I16)</f>
        <v>-14724.624329428887</v>
      </c>
      <c r="J17" s="1">
        <f>+SUM(J14:J16)</f>
        <v>-18654.171146350796</v>
      </c>
      <c r="T17" s="1">
        <f>+SUM(T14:T16)</f>
        <v>-492283</v>
      </c>
      <c r="U17" s="1">
        <f>+SUM(U14:U16)</f>
        <v>-699430</v>
      </c>
      <c r="V17" s="1">
        <f>+SUM(V14:V16)</f>
        <v>-119958</v>
      </c>
      <c r="W17" s="1">
        <f t="shared" si="9"/>
        <v>-69219.795475779683</v>
      </c>
      <c r="X17" s="1">
        <f>+SUM(X14:X16)</f>
        <v>-148192.00555669097</v>
      </c>
    </row>
    <row r="18" spans="2:35" x14ac:dyDescent="0.2">
      <c r="B18" s="1" t="s">
        <v>20</v>
      </c>
      <c r="C18" s="1">
        <v>4765</v>
      </c>
      <c r="D18" s="1">
        <v>-9161</v>
      </c>
      <c r="E18" s="1">
        <v>4147</v>
      </c>
      <c r="F18" s="1">
        <f t="shared" si="6"/>
        <v>9677</v>
      </c>
      <c r="G18" s="1">
        <v>-13083</v>
      </c>
      <c r="H18" s="1">
        <v>-5830</v>
      </c>
      <c r="I18" s="1">
        <f>+I17*0.21</f>
        <v>-3092.1711091800662</v>
      </c>
      <c r="J18" s="1">
        <f>+J17*0.21</f>
        <v>-3917.375940733667</v>
      </c>
      <c r="T18" s="1">
        <v>5722</v>
      </c>
      <c r="U18" s="1">
        <v>10131</v>
      </c>
      <c r="V18" s="1">
        <v>9428</v>
      </c>
      <c r="W18" s="1">
        <f t="shared" si="9"/>
        <v>-25922.547049913734</v>
      </c>
      <c r="X18" s="1">
        <f>+X17*(W18/W17)</f>
        <v>-55497.335842440647</v>
      </c>
    </row>
    <row r="19" spans="2:35" x14ac:dyDescent="0.2">
      <c r="B19" s="1" t="s">
        <v>21</v>
      </c>
      <c r="C19" s="1">
        <f>+C17-C18</f>
        <v>-50855</v>
      </c>
      <c r="D19" s="1">
        <f>+D17-D18</f>
        <v>-33953</v>
      </c>
      <c r="E19" s="1">
        <f>+E17-E18</f>
        <v>-9030</v>
      </c>
      <c r="F19" s="1">
        <f t="shared" si="6"/>
        <v>-35548</v>
      </c>
      <c r="G19" s="1">
        <f>+G17-G18</f>
        <v>-27431</v>
      </c>
      <c r="H19" s="1">
        <f>+H17-H18</f>
        <v>10503</v>
      </c>
      <c r="I19" s="1">
        <f>+I17-I18</f>
        <v>-11632.453220248821</v>
      </c>
      <c r="J19" s="1">
        <f>+J17-J18</f>
        <v>-14736.795205617129</v>
      </c>
      <c r="T19" s="1">
        <f>+T17-T18</f>
        <v>-498005</v>
      </c>
      <c r="U19" s="1">
        <f>+U17-U18</f>
        <v>-709561</v>
      </c>
      <c r="V19" s="1">
        <f>+V17-V18</f>
        <v>-129386</v>
      </c>
      <c r="W19" s="1">
        <f t="shared" si="9"/>
        <v>-43297.248425865946</v>
      </c>
      <c r="X19" s="1">
        <f>+X17-X18</f>
        <v>-92694.669714250325</v>
      </c>
    </row>
    <row r="21" spans="2:35" x14ac:dyDescent="0.2">
      <c r="B21" s="3" t="s">
        <v>23</v>
      </c>
      <c r="AH21" s="1" t="s">
        <v>85</v>
      </c>
      <c r="AI21" s="2">
        <v>0.01</v>
      </c>
    </row>
    <row r="22" spans="2:35" x14ac:dyDescent="0.2">
      <c r="B22" s="1" t="s">
        <v>9</v>
      </c>
      <c r="G22" s="2">
        <f t="shared" ref="G22:H24" si="11">+G5/C5-1</f>
        <v>0.16674548139906076</v>
      </c>
      <c r="H22" s="2">
        <f t="shared" si="11"/>
        <v>0.18334580806542977</v>
      </c>
      <c r="U22" s="2">
        <f t="shared" ref="U22:X24" si="12">+U5/T5-1</f>
        <v>0.10424862646836131</v>
      </c>
      <c r="V22" s="2">
        <f t="shared" si="12"/>
        <v>0.17657062795058964</v>
      </c>
      <c r="W22" s="2">
        <f t="shared" si="12"/>
        <v>0.15809159878459478</v>
      </c>
      <c r="X22" s="2">
        <f t="shared" si="12"/>
        <v>0.10000000000000009</v>
      </c>
      <c r="AH22" s="1" t="s">
        <v>86</v>
      </c>
      <c r="AI22" s="2">
        <v>0.08</v>
      </c>
    </row>
    <row r="23" spans="2:35" x14ac:dyDescent="0.2">
      <c r="B23" s="1" t="s">
        <v>10</v>
      </c>
      <c r="G23" s="2">
        <f t="shared" si="11"/>
        <v>0.10527605228634207</v>
      </c>
      <c r="H23" s="2">
        <f t="shared" si="11"/>
        <v>-5.7554607010274927E-2</v>
      </c>
      <c r="U23" s="2">
        <f t="shared" si="12"/>
        <v>0.18169663183912999</v>
      </c>
      <c r="V23" s="2">
        <f t="shared" si="12"/>
        <v>0.20306861781722851</v>
      </c>
      <c r="W23" s="2">
        <f t="shared" si="12"/>
        <v>-4.6008813996654019E-2</v>
      </c>
      <c r="X23" s="2">
        <f t="shared" si="12"/>
        <v>-1.0000000000000009E-2</v>
      </c>
      <c r="AH23" s="1" t="s">
        <v>87</v>
      </c>
    </row>
    <row r="24" spans="2:35" x14ac:dyDescent="0.2">
      <c r="B24" s="1" t="s">
        <v>11</v>
      </c>
      <c r="G24" s="2">
        <f t="shared" si="11"/>
        <v>0.15792160586475523</v>
      </c>
      <c r="H24" s="2">
        <f t="shared" si="11"/>
        <v>0.14755432621447073</v>
      </c>
      <c r="U24" s="2">
        <f t="shared" si="12"/>
        <v>0.11453097903301224</v>
      </c>
      <c r="V24" s="2">
        <f t="shared" si="12"/>
        <v>0.18030062971016347</v>
      </c>
      <c r="W24" s="2">
        <f t="shared" si="12"/>
        <v>0.12880710308562637</v>
      </c>
      <c r="X24" s="2">
        <f t="shared" si="12"/>
        <v>8.6661371397814158E-2</v>
      </c>
    </row>
    <row r="25" spans="2:35" x14ac:dyDescent="0.2">
      <c r="G25" s="2"/>
      <c r="H25" s="2"/>
    </row>
    <row r="26" spans="2:35" x14ac:dyDescent="0.2">
      <c r="B26" s="1" t="s">
        <v>30</v>
      </c>
    </row>
    <row r="27" spans="2:35" x14ac:dyDescent="0.2">
      <c r="B27" s="1" t="s">
        <v>9</v>
      </c>
      <c r="G27" s="2">
        <f t="shared" ref="G27:I28" si="13">(G5-G8) / G5</f>
        <v>0.52713673782408832</v>
      </c>
      <c r="H27" s="2">
        <f t="shared" si="13"/>
        <v>0.51019046183843497</v>
      </c>
      <c r="I27" s="2">
        <f t="shared" si="13"/>
        <v>0.51002815742391538</v>
      </c>
      <c r="T27" s="2">
        <f t="shared" ref="T27:X28" si="14">(T5-T8) / T5</f>
        <v>0.56492691524543592</v>
      </c>
      <c r="U27" s="2">
        <f t="shared" si="14"/>
        <v>0.523214449727047</v>
      </c>
      <c r="V27" s="2">
        <f t="shared" si="14"/>
        <v>0.53536188505882865</v>
      </c>
      <c r="W27" s="2">
        <f t="shared" si="14"/>
        <v>0.51611039329872399</v>
      </c>
      <c r="X27" s="2">
        <f t="shared" si="14"/>
        <v>0.5161103932987241</v>
      </c>
    </row>
    <row r="28" spans="2:35" x14ac:dyDescent="0.2">
      <c r="B28" s="1" t="s">
        <v>10</v>
      </c>
      <c r="G28" s="2">
        <f t="shared" si="13"/>
        <v>-0.13775696256837439</v>
      </c>
      <c r="H28" s="2">
        <f t="shared" si="13"/>
        <v>-1.3277567549624909E-4</v>
      </c>
      <c r="I28" s="2">
        <f t="shared" si="13"/>
        <v>-0.11711758595794171</v>
      </c>
      <c r="T28" s="2">
        <f t="shared" si="14"/>
        <v>-0.21837034110428266</v>
      </c>
      <c r="U28" s="2">
        <f t="shared" si="14"/>
        <v>-8.9587657029157164E-2</v>
      </c>
      <c r="V28" s="2">
        <f t="shared" si="14"/>
        <v>-0.136098976143916</v>
      </c>
      <c r="W28" s="2">
        <f t="shared" si="14"/>
        <v>-0.1328956139598638</v>
      </c>
      <c r="X28" s="2">
        <f t="shared" si="14"/>
        <v>-0.25877290439984874</v>
      </c>
    </row>
    <row r="29" spans="2:35" x14ac:dyDescent="0.2">
      <c r="B29" s="1" t="s">
        <v>31</v>
      </c>
      <c r="G29" s="2">
        <f>G10/G7</f>
        <v>0.43603135973162777</v>
      </c>
      <c r="H29" s="2">
        <f>H10/H7</f>
        <v>0.44792167324609961</v>
      </c>
      <c r="I29" s="2">
        <f>I10/I7</f>
        <v>0.43332248681080032</v>
      </c>
      <c r="T29" s="2">
        <f>T10/T7</f>
        <v>0.46093277731826998</v>
      </c>
      <c r="U29" s="2">
        <f>U10/U7</f>
        <v>0.43695307865795369</v>
      </c>
      <c r="V29" s="2">
        <f>V10/V7</f>
        <v>0.43902012644125871</v>
      </c>
      <c r="W29" s="2">
        <f>W10/W7</f>
        <v>0.43741175610408822</v>
      </c>
      <c r="X29" s="2">
        <f>X10/X7</f>
        <v>0.43050605775241985</v>
      </c>
    </row>
    <row r="30" spans="2:35" x14ac:dyDescent="0.2">
      <c r="J30" s="2"/>
    </row>
    <row r="31" spans="2:35" s="6" customFormat="1" x14ac:dyDescent="0.2">
      <c r="B31" s="6" t="s">
        <v>53</v>
      </c>
      <c r="C31" s="6">
        <f>+C32</f>
        <v>2055728</v>
      </c>
      <c r="D31" s="6">
        <f t="shared" ref="D31:H31" si="15">+D32</f>
        <v>2058465</v>
      </c>
      <c r="E31" s="6">
        <f t="shared" si="15"/>
        <v>2126974</v>
      </c>
      <c r="F31" s="6">
        <f t="shared" si="15"/>
        <v>2160236</v>
      </c>
      <c r="G31" s="6">
        <f t="shared" si="15"/>
        <v>2256153</v>
      </c>
      <c r="H31" s="6">
        <f t="shared" si="15"/>
        <v>2253276</v>
      </c>
    </row>
    <row r="32" spans="2:35" x14ac:dyDescent="0.2">
      <c r="B32" s="1" t="s">
        <v>33</v>
      </c>
      <c r="C32" s="1">
        <v>2055728</v>
      </c>
      <c r="D32" s="1">
        <v>2058465</v>
      </c>
      <c r="E32" s="1">
        <v>2126974</v>
      </c>
      <c r="F32" s="1">
        <v>2160236</v>
      </c>
      <c r="G32" s="1">
        <v>2256153</v>
      </c>
      <c r="H32" s="1">
        <v>2253276</v>
      </c>
    </row>
    <row r="33" spans="2:8" x14ac:dyDescent="0.2">
      <c r="B33" s="1" t="s">
        <v>34</v>
      </c>
      <c r="C33" s="1">
        <v>716727</v>
      </c>
      <c r="D33" s="1">
        <v>669136</v>
      </c>
      <c r="E33" s="1">
        <v>729911</v>
      </c>
      <c r="F33" s="1">
        <v>812510</v>
      </c>
      <c r="G33" s="1">
        <v>650187</v>
      </c>
      <c r="H33" s="1">
        <v>628475</v>
      </c>
    </row>
    <row r="34" spans="2:8" x14ac:dyDescent="0.2">
      <c r="B34" s="1" t="s">
        <v>35</v>
      </c>
      <c r="C34" s="1">
        <v>94531</v>
      </c>
      <c r="D34" s="1">
        <v>96351</v>
      </c>
      <c r="E34" s="1">
        <v>191213</v>
      </c>
      <c r="F34" s="1">
        <v>158271</v>
      </c>
      <c r="G34" s="1">
        <v>135297</v>
      </c>
      <c r="H34" s="1">
        <v>112695</v>
      </c>
    </row>
    <row r="35" spans="2:8" x14ac:dyDescent="0.2">
      <c r="B35" s="1" t="s">
        <v>36</v>
      </c>
      <c r="C35" s="1">
        <v>129144</v>
      </c>
      <c r="D35" s="1">
        <v>153434</v>
      </c>
      <c r="E35" s="1">
        <v>138332</v>
      </c>
      <c r="F35" s="1">
        <v>103146</v>
      </c>
      <c r="G35" s="1">
        <v>105404</v>
      </c>
      <c r="H35" s="1">
        <v>163826</v>
      </c>
    </row>
    <row r="36" spans="2:8" x14ac:dyDescent="0.2">
      <c r="B36" s="1" t="s">
        <v>37</v>
      </c>
      <c r="C36" s="1">
        <v>251487</v>
      </c>
      <c r="D36" s="1">
        <v>240035</v>
      </c>
      <c r="E36" s="1">
        <v>222999</v>
      </c>
      <c r="F36" s="1">
        <v>213690</v>
      </c>
      <c r="G36" s="1">
        <v>203619</v>
      </c>
      <c r="H36" s="1">
        <v>193765</v>
      </c>
    </row>
    <row r="37" spans="2:8" x14ac:dyDescent="0.2">
      <c r="B37" s="1" t="s">
        <v>38</v>
      </c>
      <c r="C37" s="1">
        <v>358105</v>
      </c>
      <c r="D37" s="1">
        <v>338422</v>
      </c>
      <c r="E37" s="1">
        <v>314326</v>
      </c>
      <c r="F37" s="1">
        <v>304505</v>
      </c>
      <c r="G37" s="1">
        <v>292146</v>
      </c>
      <c r="H37" s="1">
        <v>285516</v>
      </c>
    </row>
    <row r="38" spans="2:8" x14ac:dyDescent="0.2">
      <c r="B38" s="1" t="s">
        <v>39</v>
      </c>
      <c r="C38" s="1">
        <v>249526</v>
      </c>
      <c r="D38" s="1">
        <v>240593</v>
      </c>
      <c r="E38" s="1">
        <v>247379</v>
      </c>
      <c r="F38" s="1">
        <v>237321</v>
      </c>
      <c r="G38" s="1">
        <v>227862</v>
      </c>
      <c r="H38" s="1">
        <v>197416</v>
      </c>
    </row>
    <row r="39" spans="2:8" x14ac:dyDescent="0.2">
      <c r="B39" s="1" t="s">
        <v>40</v>
      </c>
      <c r="C39" s="1">
        <v>38076</v>
      </c>
      <c r="D39" s="1">
        <v>34551</v>
      </c>
      <c r="E39" s="1">
        <v>31026</v>
      </c>
      <c r="F39" s="1">
        <v>27501</v>
      </c>
      <c r="G39" s="1">
        <v>23976</v>
      </c>
      <c r="H39" s="1">
        <v>64496</v>
      </c>
    </row>
    <row r="40" spans="2:8" x14ac:dyDescent="0.2">
      <c r="B40" s="1" t="s">
        <v>41</v>
      </c>
      <c r="C40" s="1">
        <v>161519</v>
      </c>
      <c r="D40" s="1">
        <v>161519</v>
      </c>
      <c r="E40" s="1">
        <v>161519</v>
      </c>
      <c r="F40" s="1">
        <v>161519</v>
      </c>
      <c r="G40" s="1">
        <v>161519</v>
      </c>
      <c r="H40" s="1">
        <v>309406</v>
      </c>
    </row>
    <row r="41" spans="2:8" x14ac:dyDescent="0.2">
      <c r="B41" s="1" t="s">
        <v>42</v>
      </c>
      <c r="C41" s="1">
        <v>96912</v>
      </c>
      <c r="D41" s="1">
        <v>111865</v>
      </c>
      <c r="E41" s="1">
        <v>139737</v>
      </c>
      <c r="F41" s="1">
        <v>125234</v>
      </c>
      <c r="G41" s="1">
        <v>123711</v>
      </c>
      <c r="H41" s="1">
        <v>73084</v>
      </c>
    </row>
    <row r="42" spans="2:8" x14ac:dyDescent="0.2">
      <c r="B42" s="1" t="s">
        <v>43</v>
      </c>
      <c r="C42" s="1">
        <f t="shared" ref="C42:H42" si="16">SUM(C32:C41)</f>
        <v>4151755</v>
      </c>
      <c r="D42" s="1">
        <f t="shared" si="16"/>
        <v>4104371</v>
      </c>
      <c r="E42" s="1">
        <f t="shared" si="16"/>
        <v>4303416</v>
      </c>
      <c r="F42" s="1">
        <f t="shared" si="16"/>
        <v>4303933</v>
      </c>
      <c r="G42" s="1">
        <f t="shared" si="16"/>
        <v>4179874</v>
      </c>
      <c r="H42" s="1">
        <f t="shared" si="16"/>
        <v>4281955</v>
      </c>
    </row>
    <row r="44" spans="2:8" x14ac:dyDescent="0.2">
      <c r="B44" s="1" t="s">
        <v>44</v>
      </c>
      <c r="C44" s="1">
        <v>385656</v>
      </c>
      <c r="D44" s="1">
        <v>276118</v>
      </c>
      <c r="E44" s="1">
        <v>327038</v>
      </c>
      <c r="F44" s="1">
        <v>273985</v>
      </c>
      <c r="G44" s="1">
        <v>194576</v>
      </c>
      <c r="H44" s="1">
        <v>165963</v>
      </c>
    </row>
    <row r="45" spans="2:8" x14ac:dyDescent="0.2">
      <c r="B45" s="1" t="s">
        <v>45</v>
      </c>
      <c r="C45" s="1">
        <v>672440</v>
      </c>
      <c r="D45" s="1">
        <v>724467</v>
      </c>
      <c r="E45" s="1">
        <v>820165</v>
      </c>
      <c r="F45" s="1">
        <v>852799</v>
      </c>
      <c r="G45" s="1">
        <v>788758</v>
      </c>
      <c r="H45" s="1">
        <v>818597</v>
      </c>
    </row>
    <row r="46" spans="2:8" x14ac:dyDescent="0.2">
      <c r="B46" s="1" t="s">
        <v>46</v>
      </c>
      <c r="C46" s="1">
        <v>101650</v>
      </c>
      <c r="D46" s="1">
        <v>95974</v>
      </c>
      <c r="E46" s="1">
        <v>93405</v>
      </c>
      <c r="F46" s="1">
        <v>105718</v>
      </c>
      <c r="G46" s="1">
        <v>115839</v>
      </c>
      <c r="H46" s="1">
        <v>123628</v>
      </c>
    </row>
    <row r="47" spans="2:8" x14ac:dyDescent="0.2">
      <c r="B47" s="1" t="s">
        <v>47</v>
      </c>
      <c r="C47" s="1">
        <v>23491</v>
      </c>
      <c r="D47" s="1">
        <v>23471</v>
      </c>
      <c r="E47" s="1">
        <v>23267</v>
      </c>
      <c r="F47" s="1">
        <v>25050</v>
      </c>
      <c r="G47" s="1">
        <v>25122</v>
      </c>
      <c r="H47" s="1">
        <v>25192</v>
      </c>
    </row>
    <row r="48" spans="2:8" x14ac:dyDescent="0.2">
      <c r="B48" s="1" t="s">
        <v>48</v>
      </c>
      <c r="C48" s="1">
        <v>568627</v>
      </c>
      <c r="D48" s="1">
        <v>553375</v>
      </c>
      <c r="E48" s="1">
        <v>535378</v>
      </c>
      <c r="F48" s="1">
        <v>512706</v>
      </c>
      <c r="G48" s="1">
        <v>496084</v>
      </c>
      <c r="H48" s="1">
        <v>481779</v>
      </c>
    </row>
    <row r="49" spans="2:8" x14ac:dyDescent="0.2">
      <c r="B49" s="1" t="s">
        <v>49</v>
      </c>
      <c r="C49" s="1">
        <v>44062</v>
      </c>
      <c r="D49" s="1">
        <v>40180</v>
      </c>
      <c r="E49" s="1">
        <v>43653</v>
      </c>
      <c r="F49" s="1">
        <v>40938</v>
      </c>
      <c r="G49" s="1">
        <v>33786</v>
      </c>
      <c r="H49" s="1">
        <v>76244</v>
      </c>
    </row>
    <row r="50" spans="2:8" x14ac:dyDescent="0.2">
      <c r="B50" s="1" t="s">
        <v>50</v>
      </c>
      <c r="C50" s="1">
        <f t="shared" ref="C50:H50" si="17">+SUM(C44:C49)</f>
        <v>1795926</v>
      </c>
      <c r="D50" s="1">
        <f t="shared" si="17"/>
        <v>1713585</v>
      </c>
      <c r="E50" s="1">
        <f t="shared" si="17"/>
        <v>1842906</v>
      </c>
      <c r="F50" s="1">
        <f t="shared" si="17"/>
        <v>1811196</v>
      </c>
      <c r="G50" s="1">
        <f t="shared" si="17"/>
        <v>1654165</v>
      </c>
      <c r="H50" s="1">
        <f t="shared" si="17"/>
        <v>1691403</v>
      </c>
    </row>
    <row r="51" spans="2:8" x14ac:dyDescent="0.2">
      <c r="B51" s="1" t="s">
        <v>51</v>
      </c>
      <c r="C51" s="1">
        <v>2355829</v>
      </c>
      <c r="D51" s="1">
        <v>2390789</v>
      </c>
      <c r="E51" s="1">
        <v>2460510</v>
      </c>
      <c r="F51" s="1">
        <v>2492737</v>
      </c>
      <c r="G51" s="1">
        <v>2525709</v>
      </c>
      <c r="H51" s="1">
        <v>2590552</v>
      </c>
    </row>
    <row r="52" spans="2:8" x14ac:dyDescent="0.2">
      <c r="B52" s="1" t="s">
        <v>52</v>
      </c>
      <c r="C52" s="1">
        <f t="shared" ref="C52:H52" si="18">SUM(C50:C51)</f>
        <v>4151755</v>
      </c>
      <c r="D52" s="1">
        <f t="shared" si="18"/>
        <v>4104374</v>
      </c>
      <c r="E52" s="1">
        <f t="shared" si="18"/>
        <v>4303416</v>
      </c>
      <c r="F52" s="1">
        <f t="shared" si="18"/>
        <v>4303933</v>
      </c>
      <c r="G52" s="1">
        <f t="shared" si="18"/>
        <v>4179874</v>
      </c>
      <c r="H52" s="1">
        <f t="shared" si="18"/>
        <v>4281955</v>
      </c>
    </row>
    <row r="55" spans="2:8" x14ac:dyDescent="0.2">
      <c r="B55" s="1" t="s">
        <v>56</v>
      </c>
      <c r="C55" s="1">
        <v>-50855</v>
      </c>
      <c r="D55" s="1">
        <f>+-84808-C55</f>
        <v>-33953</v>
      </c>
      <c r="E55" s="1">
        <f>+-93838-SUM(C55:D55)</f>
        <v>-9030</v>
      </c>
      <c r="F55" s="1">
        <f>+-129386-SUM(C55:E55)</f>
        <v>-35548</v>
      </c>
      <c r="G55" s="1">
        <f>+-27431</f>
        <v>-27431</v>
      </c>
      <c r="H55" s="1">
        <f>+-16928-G55</f>
        <v>10503</v>
      </c>
    </row>
    <row r="56" spans="2:8" x14ac:dyDescent="0.2">
      <c r="B56" s="1" t="s">
        <v>57</v>
      </c>
      <c r="C56" s="1">
        <v>16473</v>
      </c>
      <c r="D56" s="1">
        <f>32280-C56</f>
        <v>15807</v>
      </c>
      <c r="E56" s="1">
        <f>47629-SUM(C56:D56)</f>
        <v>15349</v>
      </c>
      <c r="F56" s="1">
        <f>62714-SUM(C56:E56)</f>
        <v>15085</v>
      </c>
      <c r="G56" s="1">
        <v>15192</v>
      </c>
      <c r="H56" s="1">
        <f>32073-G56</f>
        <v>16881</v>
      </c>
    </row>
    <row r="57" spans="2:8" x14ac:dyDescent="0.2">
      <c r="B57" s="1" t="s">
        <v>58</v>
      </c>
      <c r="C57" s="1">
        <v>94632</v>
      </c>
      <c r="D57" s="1">
        <f>183028-C57</f>
        <v>88396</v>
      </c>
      <c r="E57" s="1">
        <f>283124-SUM(C57:D57)</f>
        <v>100096</v>
      </c>
      <c r="F57" s="1">
        <f>384662-SUM(C57:E57)</f>
        <v>101538</v>
      </c>
      <c r="G57" s="1">
        <v>95494</v>
      </c>
      <c r="H57" s="1">
        <f>180134-G57</f>
        <v>84640</v>
      </c>
    </row>
    <row r="58" spans="2:8" x14ac:dyDescent="0.2">
      <c r="B58" s="1" t="s">
        <v>59</v>
      </c>
      <c r="C58" s="1">
        <v>11876</v>
      </c>
      <c r="D58" s="1">
        <f>23767-C58</f>
        <v>11891</v>
      </c>
      <c r="E58" s="1">
        <f>35674-SUM(C58:D58)</f>
        <v>11907</v>
      </c>
      <c r="F58" s="1">
        <f>47371-SUM(C58:E58)</f>
        <v>11697</v>
      </c>
      <c r="G58" s="1">
        <v>11575</v>
      </c>
      <c r="H58" s="1">
        <f>23836-G58</f>
        <v>12261</v>
      </c>
    </row>
    <row r="59" spans="2:8" x14ac:dyDescent="0.2">
      <c r="B59" s="1" t="s">
        <v>60</v>
      </c>
      <c r="C59" s="1">
        <v>47891</v>
      </c>
      <c r="D59" s="1">
        <f>108022-C59</f>
        <v>60131</v>
      </c>
      <c r="E59" s="1">
        <f>158892-SUM(C59:D59)</f>
        <v>50870</v>
      </c>
      <c r="F59" s="1">
        <f>229340-SUM(C59:E59)</f>
        <v>70448</v>
      </c>
      <c r="G59" s="1">
        <v>48044</v>
      </c>
      <c r="H59" s="1">
        <f>101003-G59</f>
        <v>52959</v>
      </c>
    </row>
    <row r="60" spans="2:8" x14ac:dyDescent="0.2">
      <c r="B60" s="1" t="s">
        <v>61</v>
      </c>
      <c r="C60" s="1">
        <v>997</v>
      </c>
      <c r="D60" s="1">
        <f>2385-C60</f>
        <v>1388</v>
      </c>
      <c r="E60" s="1">
        <f>674-SUM(C60:D60)</f>
        <v>-1711</v>
      </c>
      <c r="F60" s="1">
        <f>6447-SUM(C60:E60)</f>
        <v>5773</v>
      </c>
      <c r="G60" s="1">
        <v>243</v>
      </c>
      <c r="H60" s="1">
        <f>+-112-G60</f>
        <v>-355</v>
      </c>
    </row>
    <row r="61" spans="2:8" x14ac:dyDescent="0.2">
      <c r="B61" s="1" t="s">
        <v>62</v>
      </c>
      <c r="C61" s="1">
        <v>-574</v>
      </c>
      <c r="D61" s="1">
        <f>+-3634-C61</f>
        <v>-3060</v>
      </c>
      <c r="E61" s="1">
        <f>+-6978-SUM(C61:D61)</f>
        <v>-3344</v>
      </c>
      <c r="F61" s="1">
        <f>+-1409-SUM(C61:E61)</f>
        <v>5569</v>
      </c>
      <c r="G61" s="1">
        <v>6284</v>
      </c>
      <c r="H61" s="1">
        <f>3100-G61</f>
        <v>-3184</v>
      </c>
    </row>
    <row r="62" spans="2:8" x14ac:dyDescent="0.2">
      <c r="B62" s="1" t="s">
        <v>81</v>
      </c>
      <c r="H62" s="1">
        <f>491-G62</f>
        <v>491</v>
      </c>
    </row>
    <row r="63" spans="2:8" x14ac:dyDescent="0.2">
      <c r="B63" s="1" t="s">
        <v>63</v>
      </c>
      <c r="C63" s="1">
        <v>851</v>
      </c>
      <c r="D63" s="1">
        <f>11506-C63</f>
        <v>10655</v>
      </c>
      <c r="E63" s="1">
        <f>29118-SUM(C63:D63)</f>
        <v>17612</v>
      </c>
      <c r="F63" s="1">
        <f>29118-SUM(C63:E63)</f>
        <v>0</v>
      </c>
      <c r="G63" s="1">
        <v>2870</v>
      </c>
      <c r="H63" s="1">
        <f>2870-G63</f>
        <v>0</v>
      </c>
    </row>
    <row r="64" spans="2:8" x14ac:dyDescent="0.2">
      <c r="B64" s="1" t="s">
        <v>64</v>
      </c>
      <c r="C64" s="1">
        <v>-7</v>
      </c>
      <c r="D64" s="1">
        <f>4344-C64</f>
        <v>4351</v>
      </c>
      <c r="E64" s="1">
        <f>2081-SUM(C64:D64)</f>
        <v>-2263</v>
      </c>
      <c r="F64" s="1">
        <f>790-SUM(C64:E64)</f>
        <v>-1291</v>
      </c>
      <c r="G64" s="1">
        <v>1285</v>
      </c>
      <c r="H64" s="1">
        <f>1414-G64</f>
        <v>129</v>
      </c>
    </row>
    <row r="65" spans="2:8" x14ac:dyDescent="0.2">
      <c r="B65" s="1" t="s">
        <v>65</v>
      </c>
      <c r="C65" s="1">
        <v>-748</v>
      </c>
      <c r="D65" s="1">
        <f>+-1489-C65</f>
        <v>-741</v>
      </c>
      <c r="E65" s="1">
        <f>+-2224-SUM(C65:D65)</f>
        <v>-735</v>
      </c>
      <c r="F65" s="1">
        <f>+-2845-SUM(C65:E65)</f>
        <v>-621</v>
      </c>
      <c r="G65" s="1">
        <v>-425</v>
      </c>
      <c r="H65" s="1">
        <f>358-G65</f>
        <v>783</v>
      </c>
    </row>
    <row r="66" spans="2:8" x14ac:dyDescent="0.2">
      <c r="B66" s="1" t="s">
        <v>34</v>
      </c>
      <c r="C66" s="1">
        <v>99500</v>
      </c>
      <c r="D66" s="1">
        <f>142463-C66</f>
        <v>42963</v>
      </c>
      <c r="E66" s="1">
        <f>83828-SUM(C66:D66)</f>
        <v>-58635</v>
      </c>
      <c r="F66" s="1">
        <f>1893-SUM(C66:E66)</f>
        <v>-81935</v>
      </c>
      <c r="G66" s="1">
        <v>161122</v>
      </c>
      <c r="H66" s="1">
        <f>189024-G66</f>
        <v>27902</v>
      </c>
    </row>
    <row r="67" spans="2:8" x14ac:dyDescent="0.2">
      <c r="B67" s="1" t="s">
        <v>35</v>
      </c>
      <c r="C67" s="1">
        <v>-2402</v>
      </c>
      <c r="D67" s="1">
        <f>+-4222-C67</f>
        <v>-1820</v>
      </c>
      <c r="E67" s="1">
        <f>+-99084-SUM(C67:D67)</f>
        <v>-94862</v>
      </c>
      <c r="F67" s="1">
        <f>+-66142-SUM(C67:E67)</f>
        <v>32942</v>
      </c>
      <c r="G67" s="1">
        <v>22974</v>
      </c>
      <c r="H67" s="1">
        <f>45576-G67</f>
        <v>22602</v>
      </c>
    </row>
    <row r="68" spans="2:8" x14ac:dyDescent="0.2">
      <c r="B68" s="1" t="s">
        <v>66</v>
      </c>
      <c r="C68" s="1">
        <v>6665</v>
      </c>
      <c r="D68" s="1">
        <f>+-25012-C68</f>
        <v>-31677</v>
      </c>
      <c r="E68" s="1">
        <f>+-40952-SUM(C68:D68)</f>
        <v>-15940</v>
      </c>
      <c r="F68" s="1">
        <f>+-11299-SUM(C68:E68)</f>
        <v>29653</v>
      </c>
      <c r="G68" s="1">
        <v>-12381</v>
      </c>
      <c r="H68" s="1">
        <f>+-21115-G68</f>
        <v>-8734</v>
      </c>
    </row>
    <row r="69" spans="2:8" x14ac:dyDescent="0.2">
      <c r="B69" s="1" t="s">
        <v>67</v>
      </c>
      <c r="C69" s="1">
        <v>-50059</v>
      </c>
      <c r="D69" s="1">
        <f>+-91226-C69</f>
        <v>-41167</v>
      </c>
      <c r="E69" s="1">
        <f>+-141345-SUM(C69:D69)</f>
        <v>-50119</v>
      </c>
      <c r="F69" s="1">
        <f>+-193046-SUM(C69:E69)</f>
        <v>-51701</v>
      </c>
      <c r="G69" s="1">
        <v>-43113</v>
      </c>
      <c r="H69" s="1">
        <f>+-91361-G69</f>
        <v>-48248</v>
      </c>
    </row>
    <row r="70" spans="2:8" x14ac:dyDescent="0.2">
      <c r="B70" s="1" t="s">
        <v>42</v>
      </c>
      <c r="C70" s="1">
        <v>-4763</v>
      </c>
      <c r="D70" s="1">
        <f>+-17279-C70</f>
        <v>-12516</v>
      </c>
      <c r="E70" s="1">
        <f>+-19996-SUM(C70:D70)</f>
        <v>-2717</v>
      </c>
      <c r="F70" s="1">
        <f>+-11769-SUM(C70:E70)</f>
        <v>8227</v>
      </c>
      <c r="G70" s="1">
        <v>2790</v>
      </c>
      <c r="H70" s="1">
        <f>5864-G70</f>
        <v>3074</v>
      </c>
    </row>
    <row r="71" spans="2:8" x14ac:dyDescent="0.2">
      <c r="B71" s="1" t="s">
        <v>44</v>
      </c>
      <c r="C71" s="1">
        <v>919</v>
      </c>
      <c r="D71" s="1">
        <f>+-108606-C71</f>
        <v>-109525</v>
      </c>
      <c r="E71" s="1">
        <f>+-57937-SUM(C71:D71)</f>
        <v>50669</v>
      </c>
      <c r="F71" s="1">
        <f>+-110678-SUM(C71:E71)</f>
        <v>-52741</v>
      </c>
      <c r="G71" s="1">
        <v>-79459</v>
      </c>
      <c r="H71" s="1">
        <f>+-114583-G71</f>
        <v>-35124</v>
      </c>
    </row>
    <row r="72" spans="2:8" x14ac:dyDescent="0.2">
      <c r="B72" s="1" t="s">
        <v>68</v>
      </c>
      <c r="C72" s="1">
        <v>-109591</v>
      </c>
      <c r="D72" s="1">
        <f>+-66715-C72</f>
        <v>42876</v>
      </c>
      <c r="E72" s="1">
        <f>14044-SUM(C72:D72)</f>
        <v>80759</v>
      </c>
      <c r="F72" s="1">
        <f>38385-SUM(C72:E72)</f>
        <v>24341</v>
      </c>
      <c r="G72" s="1">
        <v>-57984</v>
      </c>
      <c r="H72" s="1">
        <f>+-48955-G72</f>
        <v>9029</v>
      </c>
    </row>
    <row r="73" spans="2:8" x14ac:dyDescent="0.2">
      <c r="B73" s="1" t="s">
        <v>69</v>
      </c>
      <c r="C73" s="1">
        <v>-12704</v>
      </c>
      <c r="D73" s="1">
        <f>+-27751-C73</f>
        <v>-15047</v>
      </c>
      <c r="E73" s="1">
        <f>+-45766-SUM(C73:D73)</f>
        <v>-18015</v>
      </c>
      <c r="F73" s="1">
        <f>+-63835-SUM(C73:E73)</f>
        <v>-18069</v>
      </c>
      <c r="G73" s="1">
        <v>-18783</v>
      </c>
      <c r="H73" s="1">
        <f>+-38523-G73</f>
        <v>-19740</v>
      </c>
    </row>
    <row r="74" spans="2:8" x14ac:dyDescent="0.2">
      <c r="B74" s="1" t="s">
        <v>49</v>
      </c>
      <c r="C74" s="1">
        <v>170</v>
      </c>
      <c r="D74" s="1">
        <f>320-C74</f>
        <v>150</v>
      </c>
      <c r="E74" s="1">
        <f>1866-SUM(C74:D74)</f>
        <v>1546</v>
      </c>
      <c r="F74" s="1">
        <f>3695-SUM(C74:E74)</f>
        <v>1829</v>
      </c>
      <c r="G74" s="1">
        <v>242</v>
      </c>
      <c r="H74" s="1">
        <f>+-6797-G74</f>
        <v>-7039</v>
      </c>
    </row>
    <row r="75" spans="2:8" x14ac:dyDescent="0.2">
      <c r="B75" s="1" t="s">
        <v>70</v>
      </c>
      <c r="C75" s="1">
        <v>-1588</v>
      </c>
      <c r="D75" s="1">
        <f>+-7284-C75</f>
        <v>-5696</v>
      </c>
      <c r="E75" s="1">
        <f>+-10057-SUM(C75:D75)</f>
        <v>-2773</v>
      </c>
      <c r="F75" s="1">
        <f>4039-SUM(C75:E75)</f>
        <v>14096</v>
      </c>
      <c r="G75" s="1">
        <v>10193</v>
      </c>
      <c r="H75" s="7">
        <f>1096-G75</f>
        <v>-9097</v>
      </c>
    </row>
    <row r="76" spans="2:8" s="6" customFormat="1" x14ac:dyDescent="0.2">
      <c r="B76" s="6" t="s">
        <v>55</v>
      </c>
      <c r="C76" s="6">
        <f t="shared" ref="C76:H76" si="19">+SUM(C55:C75)</f>
        <v>46683</v>
      </c>
      <c r="D76" s="6">
        <f t="shared" si="19"/>
        <v>23406</v>
      </c>
      <c r="E76" s="6">
        <f t="shared" si="19"/>
        <v>68664</v>
      </c>
      <c r="F76" s="6">
        <f t="shared" si="19"/>
        <v>79292</v>
      </c>
      <c r="G76" s="6">
        <f t="shared" si="19"/>
        <v>138732</v>
      </c>
      <c r="H76" s="6">
        <f t="shared" si="19"/>
        <v>109733</v>
      </c>
    </row>
    <row r="78" spans="2:8" x14ac:dyDescent="0.2">
      <c r="B78" s="1" t="s">
        <v>37</v>
      </c>
      <c r="C78" s="1">
        <v>-672</v>
      </c>
      <c r="D78" s="1">
        <f>+-1547-C78</f>
        <v>-875</v>
      </c>
      <c r="E78" s="1">
        <f>+-2603-SUM(C78:D78)</f>
        <v>-1056</v>
      </c>
      <c r="F78" s="1">
        <f>+-5061-SUM(C78:E78)</f>
        <v>-2458</v>
      </c>
      <c r="G78" s="1">
        <v>-1931</v>
      </c>
      <c r="H78" s="1">
        <f>+-3053-G78</f>
        <v>-1122</v>
      </c>
    </row>
    <row r="79" spans="2:8" x14ac:dyDescent="0.2">
      <c r="B79" s="1" t="s">
        <v>82</v>
      </c>
      <c r="G79" s="1">
        <v>-95090</v>
      </c>
    </row>
    <row r="80" spans="2:8" x14ac:dyDescent="0.2">
      <c r="B80" s="1" t="s">
        <v>71</v>
      </c>
      <c r="C80" s="1">
        <v>0</v>
      </c>
      <c r="D80" s="1">
        <v>0</v>
      </c>
      <c r="E80" s="1">
        <f>+-20000-SUM(C80:D80)</f>
        <v>-20000</v>
      </c>
      <c r="F80" s="1">
        <f>+-20000-SUM(C80:E80)</f>
        <v>0</v>
      </c>
      <c r="G80" s="1">
        <v>-7000</v>
      </c>
      <c r="H80" s="1">
        <f>+-7000-G80</f>
        <v>0</v>
      </c>
    </row>
    <row r="81" spans="2:233" x14ac:dyDescent="0.2">
      <c r="B81" s="1" t="s">
        <v>83</v>
      </c>
      <c r="H81" s="1">
        <f>10000-G81</f>
        <v>10000</v>
      </c>
    </row>
    <row r="82" spans="2:233" s="6" customFormat="1" x14ac:dyDescent="0.2">
      <c r="B82" s="6" t="s">
        <v>54</v>
      </c>
      <c r="C82" s="6">
        <f t="shared" ref="C82:H82" si="20">+SUM(C78:C81)</f>
        <v>-672</v>
      </c>
      <c r="D82" s="6">
        <f t="shared" si="20"/>
        <v>-875</v>
      </c>
      <c r="E82" s="6">
        <f t="shared" si="20"/>
        <v>-21056</v>
      </c>
      <c r="F82" s="6">
        <f t="shared" si="20"/>
        <v>-2458</v>
      </c>
      <c r="G82" s="6">
        <f t="shared" si="20"/>
        <v>-104021</v>
      </c>
      <c r="H82" s="6">
        <f t="shared" si="20"/>
        <v>8878</v>
      </c>
      <c r="I82" s="1"/>
    </row>
    <row r="83" spans="2:233" s="6" customFormat="1" x14ac:dyDescent="0.2"/>
    <row r="84" spans="2:233" x14ac:dyDescent="0.2">
      <c r="B84" s="1" t="s">
        <v>72</v>
      </c>
      <c r="C84" s="1">
        <v>0</v>
      </c>
      <c r="D84" s="1">
        <v>0</v>
      </c>
      <c r="E84" s="1">
        <v>0</v>
      </c>
      <c r="F84" s="1">
        <v>0</v>
      </c>
    </row>
    <row r="85" spans="2:233" x14ac:dyDescent="0.2">
      <c r="B85" s="1" t="s">
        <v>80</v>
      </c>
      <c r="C85" s="1">
        <v>0</v>
      </c>
      <c r="D85" s="1">
        <v>0</v>
      </c>
      <c r="E85" s="1">
        <f>+-1829-SUM(C85:D85)</f>
        <v>-1829</v>
      </c>
      <c r="F85" s="1">
        <f>+-2227-SUM(C85:E85)</f>
        <v>-398</v>
      </c>
    </row>
    <row r="86" spans="2:233" x14ac:dyDescent="0.2">
      <c r="B86" s="1" t="s">
        <v>73</v>
      </c>
      <c r="C86" s="1">
        <v>8262</v>
      </c>
      <c r="D86" s="1">
        <f>8679-C86</f>
        <v>417</v>
      </c>
      <c r="E86" s="1">
        <f>8981-SUM(C86:D86)</f>
        <v>302</v>
      </c>
      <c r="F86" s="1">
        <f>9380-SUM(C86:E86)</f>
        <v>399</v>
      </c>
      <c r="G86" s="1">
        <v>2436</v>
      </c>
      <c r="H86" s="1">
        <f>2946-G86</f>
        <v>510</v>
      </c>
    </row>
    <row r="87" spans="2:233" x14ac:dyDescent="0.2">
      <c r="B87" s="1" t="s">
        <v>74</v>
      </c>
      <c r="C87" s="1">
        <v>-22206</v>
      </c>
      <c r="D87" s="1">
        <f>+-41623-C87</f>
        <v>-19417</v>
      </c>
      <c r="E87" s="1">
        <f>+-63884-SUM(C87:D87)</f>
        <v>-22261</v>
      </c>
      <c r="F87" s="1">
        <f>+-96356-SUM(C87:E87)</f>
        <v>-32472</v>
      </c>
      <c r="G87" s="1">
        <v>-38508</v>
      </c>
      <c r="H87" s="1">
        <f>+-71508-G87</f>
        <v>-33000</v>
      </c>
    </row>
    <row r="88" spans="2:233" s="6" customFormat="1" x14ac:dyDescent="0.2">
      <c r="B88" s="6" t="s">
        <v>75</v>
      </c>
      <c r="C88" s="6">
        <f t="shared" ref="C88:H88" si="21">SUM(C84:C87)</f>
        <v>-13944</v>
      </c>
      <c r="D88" s="6">
        <f t="shared" si="21"/>
        <v>-19000</v>
      </c>
      <c r="E88" s="6">
        <f t="shared" si="21"/>
        <v>-23788</v>
      </c>
      <c r="F88" s="6">
        <f t="shared" si="21"/>
        <v>-32471</v>
      </c>
      <c r="G88" s="6">
        <f t="shared" si="21"/>
        <v>-36072</v>
      </c>
      <c r="H88" s="6">
        <f t="shared" si="21"/>
        <v>-32490</v>
      </c>
      <c r="I88" s="1"/>
    </row>
    <row r="90" spans="2:233" x14ac:dyDescent="0.2">
      <c r="B90" s="1" t="s">
        <v>76</v>
      </c>
      <c r="C90" s="1">
        <f t="shared" ref="C90:H90" si="22">SUM(C76,C82,C88)</f>
        <v>32067</v>
      </c>
      <c r="D90" s="1">
        <f t="shared" si="22"/>
        <v>3531</v>
      </c>
      <c r="E90" s="1">
        <f t="shared" si="22"/>
        <v>23820</v>
      </c>
      <c r="F90" s="1">
        <f t="shared" si="22"/>
        <v>44363</v>
      </c>
      <c r="G90" s="1">
        <f t="shared" si="22"/>
        <v>-1361</v>
      </c>
      <c r="H90" s="1">
        <f t="shared" si="22"/>
        <v>86121</v>
      </c>
    </row>
    <row r="91" spans="2:233" x14ac:dyDescent="0.2">
      <c r="B91" s="1" t="s">
        <v>61</v>
      </c>
      <c r="C91" s="1">
        <v>-2230</v>
      </c>
      <c r="D91" s="1">
        <f>+-4002-C91</f>
        <v>-1772</v>
      </c>
      <c r="E91" s="1">
        <f>2774-SUM(C91:D91)</f>
        <v>6776</v>
      </c>
      <c r="F91" s="1">
        <f>+-9746-SUM(C91:E91)</f>
        <v>-12520</v>
      </c>
      <c r="G91" s="1">
        <v>2188</v>
      </c>
      <c r="H91" s="1">
        <f>7877-G91</f>
        <v>5689</v>
      </c>
    </row>
    <row r="92" spans="2:233" x14ac:dyDescent="0.2">
      <c r="B92" s="1" t="s">
        <v>77</v>
      </c>
      <c r="C92" s="1">
        <v>2066604</v>
      </c>
      <c r="D92" s="1">
        <f>+C93</f>
        <v>2096441</v>
      </c>
      <c r="E92" s="1">
        <f>+D93</f>
        <v>2098200</v>
      </c>
      <c r="F92" s="1">
        <f>+E93</f>
        <v>2128796</v>
      </c>
      <c r="G92" s="1">
        <v>2160639</v>
      </c>
      <c r="H92" s="1">
        <v>2160639</v>
      </c>
    </row>
    <row r="93" spans="2:233" x14ac:dyDescent="0.2">
      <c r="B93" s="1" t="s">
        <v>78</v>
      </c>
      <c r="C93" s="1">
        <f t="shared" ref="C93:H93" si="23">SUM(C90:C92)</f>
        <v>2096441</v>
      </c>
      <c r="D93" s="1">
        <f t="shared" si="23"/>
        <v>2098200</v>
      </c>
      <c r="E93" s="1">
        <f t="shared" si="23"/>
        <v>2128796</v>
      </c>
      <c r="F93" s="1">
        <f t="shared" si="23"/>
        <v>2160639</v>
      </c>
      <c r="G93" s="1">
        <f t="shared" si="23"/>
        <v>2161466</v>
      </c>
      <c r="H93" s="1">
        <f t="shared" si="23"/>
        <v>2252449</v>
      </c>
    </row>
    <row r="94" spans="2:233" x14ac:dyDescent="0.2">
      <c r="H94" s="1">
        <v>2253276</v>
      </c>
    </row>
    <row r="95" spans="2:233" s="6" customFormat="1" x14ac:dyDescent="0.2">
      <c r="B95" s="6" t="s">
        <v>79</v>
      </c>
      <c r="C95" s="6">
        <f>+C76+C78</f>
        <v>46011</v>
      </c>
      <c r="D95" s="6">
        <f>+D76+D78</f>
        <v>22531</v>
      </c>
      <c r="E95" s="6">
        <f>+E76+E78</f>
        <v>67608</v>
      </c>
      <c r="F95" s="6">
        <f t="shared" ref="F95:H95" si="24">+F76+F78</f>
        <v>76834</v>
      </c>
      <c r="G95" s="6">
        <f t="shared" si="24"/>
        <v>136801</v>
      </c>
      <c r="H95" s="6">
        <f t="shared" si="24"/>
        <v>108611</v>
      </c>
      <c r="I95" s="6">
        <f>+E95</f>
        <v>67608</v>
      </c>
      <c r="V95" s="6">
        <f>SUM(C95:F95)</f>
        <v>212984</v>
      </c>
      <c r="W95" s="6">
        <f>SUM(F95:I95)</f>
        <v>389854</v>
      </c>
      <c r="X95" s="6">
        <f>+W95*1.1</f>
        <v>428839.4</v>
      </c>
      <c r="Y95" s="6">
        <f>+X95*1.1</f>
        <v>471723.34000000008</v>
      </c>
      <c r="Z95" s="6">
        <f>+Y95*1.1</f>
        <v>518895.67400000012</v>
      </c>
      <c r="AA95" s="6">
        <f>+Z95*1.1</f>
        <v>570785.24140000017</v>
      </c>
      <c r="AB95" s="6">
        <f>+AA95*1.1</f>
        <v>627863.76554000028</v>
      </c>
      <c r="AC95" s="6">
        <f>+AB95*1.1</f>
        <v>690650.14209400036</v>
      </c>
      <c r="AD95" s="6">
        <f>+AC95*1.1</f>
        <v>759715.15630340041</v>
      </c>
      <c r="AE95" s="6">
        <f>+AD95*1.1</f>
        <v>835686.67193374049</v>
      </c>
      <c r="AF95" s="6">
        <f>+AE95*1.1</f>
        <v>919255.33912711462</v>
      </c>
      <c r="AG95" s="6">
        <f>AF95*(1+$AI$97)</f>
        <v>928447.89251838578</v>
      </c>
      <c r="AH95" s="6">
        <f t="shared" ref="AH95:AK95" si="25">+AG95*(1+$AI$21)</f>
        <v>937732.37144356966</v>
      </c>
      <c r="AI95" s="6">
        <f t="shared" si="25"/>
        <v>947109.69515800534</v>
      </c>
      <c r="AJ95" s="6">
        <f t="shared" si="25"/>
        <v>956580.79210958537</v>
      </c>
      <c r="AK95" s="6">
        <f t="shared" si="25"/>
        <v>966146.60003068123</v>
      </c>
      <c r="AL95" s="6">
        <f t="shared" ref="AL95:CW95" si="26">+AK95*(1+$AI$21)</f>
        <v>975808.066030988</v>
      </c>
      <c r="AM95" s="6">
        <f t="shared" si="26"/>
        <v>985566.14669129788</v>
      </c>
      <c r="AN95" s="6">
        <f t="shared" si="26"/>
        <v>995421.80815821083</v>
      </c>
      <c r="AO95" s="6">
        <f t="shared" si="26"/>
        <v>1005376.0262397929</v>
      </c>
      <c r="AP95" s="6">
        <f t="shared" si="26"/>
        <v>1015429.7865021909</v>
      </c>
      <c r="AQ95" s="6">
        <f t="shared" si="26"/>
        <v>1025584.0843672128</v>
      </c>
      <c r="AR95" s="6">
        <f t="shared" si="26"/>
        <v>1035839.925210885</v>
      </c>
      <c r="AS95" s="6">
        <f t="shared" si="26"/>
        <v>1046198.3244629939</v>
      </c>
      <c r="AT95" s="6">
        <f t="shared" si="26"/>
        <v>1056660.3077076238</v>
      </c>
      <c r="AU95" s="6">
        <f t="shared" si="26"/>
        <v>1067226.9107847</v>
      </c>
      <c r="AV95" s="6">
        <f t="shared" si="26"/>
        <v>1077899.179892547</v>
      </c>
      <c r="AW95" s="6">
        <f t="shared" si="26"/>
        <v>1088678.1716914724</v>
      </c>
      <c r="AX95" s="6">
        <f t="shared" si="26"/>
        <v>1099564.9534083873</v>
      </c>
      <c r="AY95" s="6">
        <f t="shared" si="26"/>
        <v>1110560.6029424712</v>
      </c>
      <c r="AZ95" s="6">
        <f t="shared" si="26"/>
        <v>1121666.208971896</v>
      </c>
      <c r="BA95" s="6">
        <f t="shared" si="26"/>
        <v>1132882.8710616149</v>
      </c>
      <c r="BB95" s="6">
        <f t="shared" si="26"/>
        <v>1144211.699772231</v>
      </c>
      <c r="BC95" s="6">
        <f t="shared" si="26"/>
        <v>1155653.8167699534</v>
      </c>
      <c r="BD95" s="6">
        <f t="shared" si="26"/>
        <v>1167210.3549376528</v>
      </c>
      <c r="BE95" s="6">
        <f t="shared" si="26"/>
        <v>1178882.4584870294</v>
      </c>
      <c r="BF95" s="6">
        <f t="shared" si="26"/>
        <v>1190671.2830718998</v>
      </c>
      <c r="BG95" s="6">
        <f t="shared" si="26"/>
        <v>1202577.9959026189</v>
      </c>
      <c r="BH95" s="6">
        <f t="shared" si="26"/>
        <v>1214603.7758616451</v>
      </c>
      <c r="BI95" s="6">
        <f t="shared" si="26"/>
        <v>1226749.8136202616</v>
      </c>
      <c r="BJ95" s="6">
        <f t="shared" si="26"/>
        <v>1239017.3117564642</v>
      </c>
      <c r="BK95" s="6">
        <f t="shared" si="26"/>
        <v>1251407.4848740289</v>
      </c>
      <c r="BL95" s="6">
        <f t="shared" si="26"/>
        <v>1263921.5597227693</v>
      </c>
      <c r="BM95" s="6">
        <f t="shared" si="26"/>
        <v>1276560.775319997</v>
      </c>
      <c r="BN95" s="6">
        <f t="shared" si="26"/>
        <v>1289326.383073197</v>
      </c>
      <c r="BO95" s="6">
        <f t="shared" si="26"/>
        <v>1302219.6469039291</v>
      </c>
      <c r="BP95" s="6">
        <f t="shared" si="26"/>
        <v>1315241.8433729683</v>
      </c>
      <c r="BQ95" s="6">
        <f t="shared" si="26"/>
        <v>1328394.2618066981</v>
      </c>
      <c r="BR95" s="6">
        <f t="shared" si="26"/>
        <v>1341678.204424765</v>
      </c>
      <c r="BS95" s="6">
        <f t="shared" si="26"/>
        <v>1355094.9864690127</v>
      </c>
      <c r="BT95" s="6">
        <f t="shared" si="26"/>
        <v>1368645.9363337029</v>
      </c>
      <c r="BU95" s="6">
        <f t="shared" si="26"/>
        <v>1382332.39569704</v>
      </c>
      <c r="BV95" s="6">
        <f t="shared" si="26"/>
        <v>1396155.7196540104</v>
      </c>
      <c r="BW95" s="6">
        <f t="shared" si="26"/>
        <v>1410117.2768505504</v>
      </c>
      <c r="BX95" s="6">
        <f t="shared" si="26"/>
        <v>1424218.449619056</v>
      </c>
      <c r="BY95" s="6">
        <f t="shared" si="26"/>
        <v>1438460.6341152466</v>
      </c>
      <c r="BZ95" s="6">
        <f t="shared" si="26"/>
        <v>1452845.240456399</v>
      </c>
      <c r="CA95" s="6">
        <f t="shared" si="26"/>
        <v>1467373.6928609631</v>
      </c>
      <c r="CB95" s="6">
        <f t="shared" si="26"/>
        <v>1482047.4297895727</v>
      </c>
      <c r="CC95" s="6">
        <f t="shared" si="26"/>
        <v>1496867.9040874685</v>
      </c>
      <c r="CD95" s="6">
        <f t="shared" si="26"/>
        <v>1511836.5831283431</v>
      </c>
      <c r="CE95" s="6">
        <f t="shared" si="26"/>
        <v>1526954.9489596265</v>
      </c>
      <c r="CF95" s="6">
        <f t="shared" si="26"/>
        <v>1542224.4984492229</v>
      </c>
      <c r="CG95" s="6">
        <f t="shared" si="26"/>
        <v>1557646.7434337151</v>
      </c>
      <c r="CH95" s="6">
        <f t="shared" si="26"/>
        <v>1573223.2108680522</v>
      </c>
      <c r="CI95" s="6">
        <f t="shared" si="26"/>
        <v>1588955.4429767327</v>
      </c>
      <c r="CJ95" s="6">
        <f t="shared" si="26"/>
        <v>1604844.9974065002</v>
      </c>
      <c r="CK95" s="6">
        <f t="shared" si="26"/>
        <v>1620893.4473805651</v>
      </c>
      <c r="CL95" s="6">
        <f t="shared" si="26"/>
        <v>1637102.3818543707</v>
      </c>
      <c r="CM95" s="6">
        <f t="shared" si="26"/>
        <v>1653473.4056729143</v>
      </c>
      <c r="CN95" s="6">
        <f t="shared" si="26"/>
        <v>1670008.1397296435</v>
      </c>
      <c r="CO95" s="6">
        <f t="shared" si="26"/>
        <v>1686708.2211269399</v>
      </c>
      <c r="CP95" s="6">
        <f t="shared" si="26"/>
        <v>1703575.3033382092</v>
      </c>
      <c r="CQ95" s="6">
        <f t="shared" si="26"/>
        <v>1720611.0563715913</v>
      </c>
      <c r="CR95" s="6">
        <f t="shared" si="26"/>
        <v>1737817.1669353072</v>
      </c>
      <c r="CS95" s="6">
        <f t="shared" si="26"/>
        <v>1755195.3386046602</v>
      </c>
      <c r="CT95" s="6">
        <f t="shared" si="26"/>
        <v>1772747.2919907069</v>
      </c>
      <c r="CU95" s="6">
        <f t="shared" si="26"/>
        <v>1790474.7649106141</v>
      </c>
      <c r="CV95" s="6">
        <f t="shared" si="26"/>
        <v>1808379.5125597203</v>
      </c>
      <c r="CW95" s="6">
        <f t="shared" si="26"/>
        <v>1826463.3076853175</v>
      </c>
      <c r="CX95" s="6">
        <f t="shared" ref="CX95:FI95" si="27">+CW95*(1+$AI$21)</f>
        <v>1844727.9407621706</v>
      </c>
      <c r="CY95" s="6">
        <f t="shared" si="27"/>
        <v>1863175.2201697924</v>
      </c>
      <c r="CZ95" s="6">
        <f t="shared" si="27"/>
        <v>1881806.9723714904</v>
      </c>
      <c r="DA95" s="6">
        <f t="shared" si="27"/>
        <v>1900625.0420952053</v>
      </c>
      <c r="DB95" s="6">
        <f t="shared" si="27"/>
        <v>1919631.2925161573</v>
      </c>
      <c r="DC95" s="6">
        <f t="shared" si="27"/>
        <v>1938827.6054413188</v>
      </c>
      <c r="DD95" s="6">
        <f t="shared" si="27"/>
        <v>1958215.8814957321</v>
      </c>
      <c r="DE95" s="6">
        <f t="shared" si="27"/>
        <v>1977798.0403106895</v>
      </c>
      <c r="DF95" s="6">
        <f t="shared" si="27"/>
        <v>1997576.0207137964</v>
      </c>
      <c r="DG95" s="6">
        <f t="shared" si="27"/>
        <v>2017551.7809209344</v>
      </c>
      <c r="DH95" s="6">
        <f t="shared" si="27"/>
        <v>2037727.2987301438</v>
      </c>
      <c r="DI95" s="6">
        <f t="shared" si="27"/>
        <v>2058104.5717174453</v>
      </c>
      <c r="DJ95" s="6">
        <f t="shared" si="27"/>
        <v>2078685.6174346197</v>
      </c>
      <c r="DK95" s="6">
        <f t="shared" si="27"/>
        <v>2099472.473608966</v>
      </c>
      <c r="DL95" s="6">
        <f t="shared" si="27"/>
        <v>2120467.1983450558</v>
      </c>
      <c r="DM95" s="6">
        <f t="shared" si="27"/>
        <v>2141671.8703285065</v>
      </c>
      <c r="DN95" s="6">
        <f t="shared" si="27"/>
        <v>2163088.5890317913</v>
      </c>
      <c r="DO95" s="6">
        <f t="shared" si="27"/>
        <v>2184719.4749221094</v>
      </c>
      <c r="DP95" s="6">
        <f t="shared" si="27"/>
        <v>2206566.6696713306</v>
      </c>
      <c r="DQ95" s="6">
        <f t="shared" si="27"/>
        <v>2228632.3363680439</v>
      </c>
      <c r="DR95" s="6">
        <f t="shared" si="27"/>
        <v>2250918.6597317243</v>
      </c>
      <c r="DS95" s="6">
        <f t="shared" si="27"/>
        <v>2273427.8463290418</v>
      </c>
      <c r="DT95" s="6">
        <f t="shared" si="27"/>
        <v>2296162.1247923323</v>
      </c>
      <c r="DU95" s="6">
        <f t="shared" si="27"/>
        <v>2319123.7460402558</v>
      </c>
      <c r="DV95" s="6">
        <f t="shared" si="27"/>
        <v>2342314.9835006585</v>
      </c>
      <c r="DW95" s="6">
        <f t="shared" si="27"/>
        <v>2365738.1333356653</v>
      </c>
      <c r="DX95" s="6">
        <f t="shared" si="27"/>
        <v>2389395.5146690221</v>
      </c>
      <c r="DY95" s="6">
        <f t="shared" si="27"/>
        <v>2413289.4698157124</v>
      </c>
      <c r="DZ95" s="6">
        <f t="shared" si="27"/>
        <v>2437422.3645138694</v>
      </c>
      <c r="EA95" s="6">
        <f t="shared" si="27"/>
        <v>2461796.588159008</v>
      </c>
      <c r="EB95" s="6">
        <f t="shared" si="27"/>
        <v>2486414.5540405982</v>
      </c>
      <c r="EC95" s="6">
        <f t="shared" si="27"/>
        <v>2511278.6995810042</v>
      </c>
      <c r="ED95" s="6">
        <f t="shared" si="27"/>
        <v>2536391.4865768142</v>
      </c>
      <c r="EE95" s="6">
        <f t="shared" si="27"/>
        <v>2561755.4014425823</v>
      </c>
      <c r="EF95" s="6">
        <f t="shared" si="27"/>
        <v>2587372.955457008</v>
      </c>
      <c r="EG95" s="6">
        <f t="shared" si="27"/>
        <v>2613246.6850115783</v>
      </c>
      <c r="EH95" s="6">
        <f t="shared" si="27"/>
        <v>2639379.1518616942</v>
      </c>
      <c r="EI95" s="6">
        <f t="shared" si="27"/>
        <v>2665772.9433803111</v>
      </c>
      <c r="EJ95" s="6">
        <f t="shared" si="27"/>
        <v>2692430.6728141145</v>
      </c>
      <c r="EK95" s="6">
        <f t="shared" si="27"/>
        <v>2719354.9795422559</v>
      </c>
      <c r="EL95" s="6">
        <f t="shared" si="27"/>
        <v>2746548.5293376786</v>
      </c>
      <c r="EM95" s="6">
        <f t="shared" si="27"/>
        <v>2774014.0146310553</v>
      </c>
      <c r="EN95" s="6">
        <f t="shared" si="27"/>
        <v>2801754.1547773657</v>
      </c>
      <c r="EO95" s="6">
        <f t="shared" si="27"/>
        <v>2829771.6963251396</v>
      </c>
      <c r="EP95" s="6">
        <f t="shared" si="27"/>
        <v>2858069.4132883912</v>
      </c>
      <c r="EQ95" s="6">
        <f t="shared" si="27"/>
        <v>2886650.1074212752</v>
      </c>
      <c r="ER95" s="6">
        <f t="shared" si="27"/>
        <v>2915516.6084954878</v>
      </c>
      <c r="ES95" s="6">
        <f t="shared" si="27"/>
        <v>2944671.7745804428</v>
      </c>
      <c r="ET95" s="6">
        <f t="shared" si="27"/>
        <v>2974118.492326247</v>
      </c>
      <c r="EU95" s="6">
        <f t="shared" si="27"/>
        <v>3003859.6772495094</v>
      </c>
      <c r="EV95" s="6">
        <f t="shared" si="27"/>
        <v>3033898.2740220046</v>
      </c>
      <c r="EW95" s="6">
        <f t="shared" si="27"/>
        <v>3064237.2567622247</v>
      </c>
      <c r="EX95" s="6">
        <f t="shared" si="27"/>
        <v>3094879.6293298472</v>
      </c>
      <c r="EY95" s="6">
        <f t="shared" si="27"/>
        <v>3125828.4256231459</v>
      </c>
      <c r="EZ95" s="6">
        <f t="shared" si="27"/>
        <v>3157086.7098793774</v>
      </c>
      <c r="FA95" s="6">
        <f t="shared" si="27"/>
        <v>3188657.5769781712</v>
      </c>
      <c r="FB95" s="6">
        <f t="shared" si="27"/>
        <v>3220544.1527479528</v>
      </c>
      <c r="FC95" s="6">
        <f t="shared" si="27"/>
        <v>3252749.5942754322</v>
      </c>
      <c r="FD95" s="6">
        <f t="shared" si="27"/>
        <v>3285277.0902181864</v>
      </c>
      <c r="FE95" s="6">
        <f t="shared" si="27"/>
        <v>3318129.8611203684</v>
      </c>
      <c r="FF95" s="6">
        <f t="shared" si="27"/>
        <v>3351311.159731572</v>
      </c>
      <c r="FG95" s="6">
        <f t="shared" si="27"/>
        <v>3384824.2713288879</v>
      </c>
      <c r="FH95" s="6">
        <f t="shared" si="27"/>
        <v>3418672.5140421768</v>
      </c>
      <c r="FI95" s="6">
        <f t="shared" si="27"/>
        <v>3452859.2391825984</v>
      </c>
      <c r="FJ95" s="6">
        <f t="shared" ref="FJ95:HU95" si="28">+FI95*(1+$AI$21)</f>
        <v>3487387.8315744246</v>
      </c>
      <c r="FK95" s="6">
        <f t="shared" si="28"/>
        <v>3522261.7098901691</v>
      </c>
      <c r="FL95" s="6">
        <f t="shared" si="28"/>
        <v>3557484.326989071</v>
      </c>
      <c r="FM95" s="6">
        <f t="shared" si="28"/>
        <v>3593059.1702589616</v>
      </c>
      <c r="FN95" s="6">
        <f t="shared" si="28"/>
        <v>3628989.7619615514</v>
      </c>
      <c r="FO95" s="6">
        <f t="shared" si="28"/>
        <v>3665279.6595811672</v>
      </c>
      <c r="FP95" s="6">
        <f t="shared" si="28"/>
        <v>3701932.456176979</v>
      </c>
      <c r="FQ95" s="6">
        <f t="shared" si="28"/>
        <v>3738951.7807387486</v>
      </c>
      <c r="FR95" s="6">
        <f t="shared" si="28"/>
        <v>3776341.2985461364</v>
      </c>
      <c r="FS95" s="6">
        <f t="shared" si="28"/>
        <v>3814104.7115315977</v>
      </c>
      <c r="FT95" s="6">
        <f t="shared" si="28"/>
        <v>3852245.7586469138</v>
      </c>
      <c r="FU95" s="6">
        <f t="shared" si="28"/>
        <v>3890768.2162333829</v>
      </c>
      <c r="FV95" s="6">
        <f t="shared" si="28"/>
        <v>3929675.8983957167</v>
      </c>
      <c r="FW95" s="6">
        <f t="shared" si="28"/>
        <v>3968972.6573796738</v>
      </c>
      <c r="FX95" s="6">
        <f t="shared" si="28"/>
        <v>4008662.3839534707</v>
      </c>
      <c r="FY95" s="6">
        <f t="shared" si="28"/>
        <v>4048749.0077930056</v>
      </c>
      <c r="FZ95" s="6">
        <f t="shared" si="28"/>
        <v>4089236.4978709356</v>
      </c>
      <c r="GA95" s="6">
        <f t="shared" si="28"/>
        <v>4130128.8628496449</v>
      </c>
      <c r="GB95" s="6">
        <f t="shared" si="28"/>
        <v>4171430.1514781415</v>
      </c>
      <c r="GC95" s="6">
        <f t="shared" si="28"/>
        <v>4213144.4529929226</v>
      </c>
      <c r="GD95" s="6">
        <f t="shared" si="28"/>
        <v>4255275.8975228518</v>
      </c>
      <c r="GE95" s="6">
        <f t="shared" si="28"/>
        <v>4297828.6564980801</v>
      </c>
      <c r="GF95" s="6">
        <f t="shared" si="28"/>
        <v>4340806.9430630608</v>
      </c>
      <c r="GG95" s="6">
        <f t="shared" si="28"/>
        <v>4384215.0124936914</v>
      </c>
      <c r="GH95" s="6">
        <f t="shared" si="28"/>
        <v>4428057.1626186287</v>
      </c>
      <c r="GI95" s="6">
        <f t="shared" si="28"/>
        <v>4472337.7342448151</v>
      </c>
      <c r="GJ95" s="6">
        <f t="shared" si="28"/>
        <v>4517061.1115872636</v>
      </c>
      <c r="GK95" s="6">
        <f t="shared" si="28"/>
        <v>4562231.7227031365</v>
      </c>
      <c r="GL95" s="6">
        <f t="shared" si="28"/>
        <v>4607854.0399301676</v>
      </c>
      <c r="GM95" s="6">
        <f t="shared" si="28"/>
        <v>4653932.5803294694</v>
      </c>
      <c r="GN95" s="6">
        <f t="shared" si="28"/>
        <v>4700471.9061327642</v>
      </c>
      <c r="GO95" s="6">
        <f t="shared" si="28"/>
        <v>4747476.6251940923</v>
      </c>
      <c r="GP95" s="6">
        <f t="shared" si="28"/>
        <v>4794951.3914460335</v>
      </c>
      <c r="GQ95" s="6">
        <f t="shared" si="28"/>
        <v>4842900.9053604938</v>
      </c>
      <c r="GR95" s="6">
        <f t="shared" si="28"/>
        <v>4891329.9144140985</v>
      </c>
      <c r="GS95" s="6">
        <f t="shared" si="28"/>
        <v>4940243.2135582399</v>
      </c>
      <c r="GT95" s="6">
        <f t="shared" si="28"/>
        <v>4989645.6456938228</v>
      </c>
      <c r="GU95" s="6">
        <f t="shared" si="28"/>
        <v>5039542.1021507606</v>
      </c>
      <c r="GV95" s="6">
        <f t="shared" si="28"/>
        <v>5089937.5231722686</v>
      </c>
      <c r="GW95" s="6">
        <f t="shared" si="28"/>
        <v>5140836.898403991</v>
      </c>
      <c r="GX95" s="6">
        <f t="shared" si="28"/>
        <v>5192245.2673880309</v>
      </c>
      <c r="GY95" s="6">
        <f t="shared" si="28"/>
        <v>5244167.7200619113</v>
      </c>
      <c r="GZ95" s="6">
        <f t="shared" si="28"/>
        <v>5296609.3972625304</v>
      </c>
      <c r="HA95" s="6">
        <f t="shared" si="28"/>
        <v>5349575.4912351556</v>
      </c>
      <c r="HB95" s="6">
        <f t="shared" si="28"/>
        <v>5403071.2461475069</v>
      </c>
      <c r="HC95" s="6">
        <f t="shared" si="28"/>
        <v>5457101.9586089822</v>
      </c>
      <c r="HD95" s="6">
        <f t="shared" si="28"/>
        <v>5511672.9781950722</v>
      </c>
      <c r="HE95" s="6">
        <f t="shared" si="28"/>
        <v>5566789.707977023</v>
      </c>
      <c r="HF95" s="6">
        <f t="shared" si="28"/>
        <v>5622457.6050567934</v>
      </c>
      <c r="HG95" s="6">
        <f t="shared" si="28"/>
        <v>5678682.1811073618</v>
      </c>
      <c r="HH95" s="6">
        <f t="shared" si="28"/>
        <v>5735469.0029184353</v>
      </c>
      <c r="HI95" s="6">
        <f t="shared" si="28"/>
        <v>5792823.6929476196</v>
      </c>
      <c r="HJ95" s="6">
        <f t="shared" si="28"/>
        <v>5850751.9298770959</v>
      </c>
      <c r="HK95" s="6">
        <f t="shared" si="28"/>
        <v>5909259.4491758673</v>
      </c>
      <c r="HL95" s="6">
        <f t="shared" si="28"/>
        <v>5968352.0436676256</v>
      </c>
      <c r="HM95" s="6">
        <f t="shared" si="28"/>
        <v>6028035.5641043019</v>
      </c>
      <c r="HN95" s="6">
        <f t="shared" si="28"/>
        <v>6088315.9197453447</v>
      </c>
      <c r="HO95" s="6">
        <f t="shared" si="28"/>
        <v>6149199.0789427981</v>
      </c>
      <c r="HP95" s="6">
        <f t="shared" si="28"/>
        <v>6210691.0697322264</v>
      </c>
      <c r="HQ95" s="6">
        <f t="shared" si="28"/>
        <v>6272797.9804295488</v>
      </c>
      <c r="HR95" s="6">
        <f t="shared" si="28"/>
        <v>6335525.9602338439</v>
      </c>
      <c r="HS95" s="6">
        <f t="shared" si="28"/>
        <v>6398881.219836182</v>
      </c>
      <c r="HT95" s="6">
        <f t="shared" si="28"/>
        <v>6462870.0320345443</v>
      </c>
      <c r="HU95" s="6">
        <f t="shared" si="28"/>
        <v>6527498.7323548896</v>
      </c>
      <c r="HV95" s="6">
        <f t="shared" ref="HV95:IH95" si="29">+HU95*(1+$AI$21)</f>
        <v>6592773.7196784383</v>
      </c>
      <c r="HW95" s="6">
        <f t="shared" si="29"/>
        <v>6658701.4568752227</v>
      </c>
      <c r="HX95" s="6">
        <f t="shared" si="29"/>
        <v>6725288.4714439753</v>
      </c>
      <c r="HY95" s="6">
        <f t="shared" si="29"/>
        <v>6792541.3561584149</v>
      </c>
    </row>
    <row r="96" spans="2:233" x14ac:dyDescent="0.2">
      <c r="B96" s="1" t="s">
        <v>84</v>
      </c>
      <c r="F96" s="1">
        <f>SUM(C95:F95)</f>
        <v>212984</v>
      </c>
      <c r="G96" s="1">
        <f>SUM(D95:G95)</f>
        <v>303774</v>
      </c>
      <c r="H96" s="1">
        <f>SUM(E95:H95)</f>
        <v>389854</v>
      </c>
    </row>
    <row r="97" spans="34:35" x14ac:dyDescent="0.2">
      <c r="AH97" s="1" t="s">
        <v>85</v>
      </c>
      <c r="AI97" s="2">
        <v>0.01</v>
      </c>
    </row>
    <row r="98" spans="34:35" x14ac:dyDescent="0.2">
      <c r="AH98" s="1" t="s">
        <v>86</v>
      </c>
      <c r="AI98" s="2">
        <v>7.0000000000000007E-2</v>
      </c>
    </row>
    <row r="99" spans="34:35" x14ac:dyDescent="0.2">
      <c r="AH99" s="1" t="s">
        <v>87</v>
      </c>
      <c r="AI99" s="1">
        <f>NPV(AI98,W95:HY95)</f>
        <v>12005494.368589701</v>
      </c>
    </row>
    <row r="100" spans="34:35" x14ac:dyDescent="0.2">
      <c r="AH100" s="1" t="s">
        <v>89</v>
      </c>
      <c r="AI100" s="1">
        <f>Main!K6*1000</f>
        <v>2253276</v>
      </c>
    </row>
    <row r="101" spans="34:35" x14ac:dyDescent="0.2">
      <c r="AH101" s="6" t="s">
        <v>90</v>
      </c>
      <c r="AI101" s="6">
        <f>+SUM(AI99:AI100)</f>
        <v>14258770.368589701</v>
      </c>
    </row>
    <row r="102" spans="34:35" x14ac:dyDescent="0.2">
      <c r="AH102" s="6" t="s">
        <v>88</v>
      </c>
      <c r="AI102" s="1">
        <f>+Main!K4*1000</f>
        <v>147330.63299999997</v>
      </c>
    </row>
    <row r="103" spans="34:35" x14ac:dyDescent="0.2">
      <c r="AH103" s="1" t="s">
        <v>91</v>
      </c>
      <c r="AI103" s="1">
        <f>+AI101/AI102</f>
        <v>96.780758205184014</v>
      </c>
    </row>
    <row r="104" spans="34:35" x14ac:dyDescent="0.2">
      <c r="AH104" s="1" t="s">
        <v>92</v>
      </c>
      <c r="AI104" s="1">
        <f>+Main!K3</f>
        <v>99.6</v>
      </c>
    </row>
    <row r="105" spans="34:35" x14ac:dyDescent="0.2">
      <c r="AI105" s="2">
        <f>+AI103/AI104-1</f>
        <v>-2.8305640510200569E-2</v>
      </c>
    </row>
  </sheetData>
  <pageMargins left="0.7" right="0.7" top="0.75" bottom="0.75" header="0.3" footer="0.3"/>
  <ignoredErrors>
    <ignoredError sqref="E10:F19 F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2025-09-09T04:14:28Z</dcterms:created>
  <dcterms:modified xsi:type="dcterms:W3CDTF">2025-09-29T03:57:26Z</dcterms:modified>
</cp:coreProperties>
</file>