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/Library/CloudStorage/Dropbox/models/"/>
    </mc:Choice>
  </mc:AlternateContent>
  <xr:revisionPtr revIDLastSave="0" documentId="13_ncr:1_{C54AEAF2-AF12-334D-B6C9-21DA62B95B0F}" xr6:coauthVersionLast="47" xr6:coauthVersionMax="47" xr10:uidLastSave="{00000000-0000-0000-0000-000000000000}"/>
  <bookViews>
    <workbookView xWindow="8780" yWindow="4100" windowWidth="31520" windowHeight="16940" activeTab="1" xr2:uid="{DF0DD9CE-87F8-7A49-A880-6C4F2C4F3B22}"/>
  </bookViews>
  <sheets>
    <sheet name="Main" sheetId="1" r:id="rId1"/>
    <sheet name="Model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3" i="2" l="1"/>
  <c r="K43" i="2"/>
  <c r="I43" i="2"/>
  <c r="H43" i="2"/>
  <c r="G43" i="2"/>
  <c r="E43" i="2"/>
  <c r="D43" i="2"/>
  <c r="C43" i="2"/>
  <c r="C42" i="2"/>
  <c r="D42" i="2"/>
  <c r="E42" i="2"/>
  <c r="G42" i="2"/>
  <c r="H42" i="2"/>
  <c r="I42" i="2"/>
  <c r="K42" i="2"/>
  <c r="L42" i="2"/>
  <c r="AJ45" i="2"/>
  <c r="M11" i="2"/>
  <c r="M8" i="2"/>
  <c r="M4" i="2"/>
  <c r="U8" i="2"/>
  <c r="L12" i="2"/>
  <c r="K12" i="2"/>
  <c r="J12" i="2"/>
  <c r="I12" i="2"/>
  <c r="H12" i="2"/>
  <c r="G12" i="2"/>
  <c r="F12" i="2"/>
  <c r="E12" i="2"/>
  <c r="D12" i="2"/>
  <c r="C12" i="2"/>
  <c r="K11" i="2"/>
  <c r="I11" i="2"/>
  <c r="H11" i="2"/>
  <c r="G11" i="2"/>
  <c r="F11" i="2"/>
  <c r="E11" i="2"/>
  <c r="D11" i="2"/>
  <c r="C11" i="2"/>
  <c r="U11" i="2" s="1"/>
  <c r="L11" i="2"/>
  <c r="F8" i="2"/>
  <c r="J8" i="2"/>
  <c r="V8" i="2" s="1"/>
  <c r="F4" i="2"/>
  <c r="U4" i="2" s="1"/>
  <c r="J4" i="2"/>
  <c r="J11" i="2" s="1"/>
  <c r="G38" i="2"/>
  <c r="G37" i="2"/>
  <c r="G36" i="2"/>
  <c r="H38" i="2"/>
  <c r="H37" i="2"/>
  <c r="H36" i="2"/>
  <c r="I38" i="2"/>
  <c r="I37" i="2"/>
  <c r="I36" i="2"/>
  <c r="F32" i="2"/>
  <c r="F28" i="2"/>
  <c r="F27" i="2"/>
  <c r="F25" i="2"/>
  <c r="F24" i="2"/>
  <c r="F23" i="2"/>
  <c r="F22" i="2"/>
  <c r="F21" i="2"/>
  <c r="F20" i="2"/>
  <c r="F18" i="2"/>
  <c r="F17" i="2"/>
  <c r="F43" i="2" s="1"/>
  <c r="F16" i="2"/>
  <c r="F42" i="2" s="1"/>
  <c r="J32" i="2"/>
  <c r="J28" i="2"/>
  <c r="J27" i="2"/>
  <c r="J25" i="2"/>
  <c r="J24" i="2"/>
  <c r="J23" i="2"/>
  <c r="J22" i="2"/>
  <c r="J21" i="2"/>
  <c r="J20" i="2"/>
  <c r="J18" i="2"/>
  <c r="J17" i="2"/>
  <c r="J43" i="2" s="1"/>
  <c r="J16" i="2"/>
  <c r="J42" i="2" s="1"/>
  <c r="V38" i="2"/>
  <c r="V37" i="2"/>
  <c r="V36" i="2"/>
  <c r="V19" i="2"/>
  <c r="V26" i="2" s="1"/>
  <c r="V31" i="2" s="1"/>
  <c r="V33" i="2" s="1"/>
  <c r="T38" i="2"/>
  <c r="T37" i="2"/>
  <c r="T36" i="2"/>
  <c r="U38" i="2"/>
  <c r="U37" i="2"/>
  <c r="U36" i="2"/>
  <c r="S19" i="2"/>
  <c r="S26" i="2" s="1"/>
  <c r="S31" i="2" s="1"/>
  <c r="S33" i="2" s="1"/>
  <c r="T19" i="2"/>
  <c r="T26" i="2" s="1"/>
  <c r="T31" i="2" s="1"/>
  <c r="T33" i="2" s="1"/>
  <c r="U19" i="2"/>
  <c r="U26" i="2" s="1"/>
  <c r="U31" i="2" s="1"/>
  <c r="U33" i="2" s="1"/>
  <c r="C19" i="2"/>
  <c r="C26" i="2" s="1"/>
  <c r="C31" i="2" s="1"/>
  <c r="C33" i="2" s="1"/>
  <c r="D19" i="2"/>
  <c r="D26" i="2" s="1"/>
  <c r="D31" i="2" s="1"/>
  <c r="D33" i="2" s="1"/>
  <c r="E19" i="2"/>
  <c r="E26" i="2" s="1"/>
  <c r="E31" i="2" s="1"/>
  <c r="E33" i="2" s="1"/>
  <c r="I19" i="2"/>
  <c r="I26" i="2" s="1"/>
  <c r="I31" i="2" s="1"/>
  <c r="I33" i="2" s="1"/>
  <c r="K38" i="2"/>
  <c r="K37" i="2"/>
  <c r="K36" i="2"/>
  <c r="G19" i="2"/>
  <c r="G26" i="2" s="1"/>
  <c r="G31" i="2" s="1"/>
  <c r="G33" i="2" s="1"/>
  <c r="K19" i="2"/>
  <c r="K26" i="2" s="1"/>
  <c r="K31" i="2" s="1"/>
  <c r="K33" i="2" s="1"/>
  <c r="L38" i="2"/>
  <c r="L37" i="2"/>
  <c r="L36" i="2"/>
  <c r="H19" i="2"/>
  <c r="H26" i="2" s="1"/>
  <c r="H31" i="2" s="1"/>
  <c r="H33" i="2" s="1"/>
  <c r="L19" i="2"/>
  <c r="L26" i="2" s="1"/>
  <c r="L31" i="2" s="1"/>
  <c r="L33" i="2" s="1"/>
  <c r="S2" i="2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HW2" i="2" s="1"/>
  <c r="HX2" i="2" s="1"/>
  <c r="HY2" i="2" s="1"/>
  <c r="K8" i="1"/>
  <c r="K9" i="1"/>
  <c r="K6" i="1"/>
  <c r="K7" i="1" s="1"/>
  <c r="K10" i="1" s="1"/>
  <c r="L8" i="1"/>
  <c r="L9" i="1" s="1"/>
  <c r="G14" i="2" l="1"/>
  <c r="H14" i="2"/>
  <c r="N8" i="2"/>
  <c r="AJ43" i="2"/>
  <c r="I14" i="2"/>
  <c r="L14" i="2"/>
  <c r="M14" i="2" s="1"/>
  <c r="N14" i="2" s="1"/>
  <c r="C14" i="2"/>
  <c r="K14" i="2"/>
  <c r="D14" i="2"/>
  <c r="U14" i="2"/>
  <c r="E14" i="2"/>
  <c r="V14" i="2"/>
  <c r="W14" i="2" s="1"/>
  <c r="X14" i="2" s="1"/>
  <c r="N4" i="2"/>
  <c r="N11" i="2" s="1"/>
  <c r="N19" i="2" s="1"/>
  <c r="V11" i="2"/>
  <c r="W11" i="2" s="1"/>
  <c r="V4" i="2"/>
  <c r="J33" i="2"/>
  <c r="U39" i="2"/>
  <c r="J36" i="2"/>
  <c r="J38" i="2"/>
  <c r="F33" i="2"/>
  <c r="J37" i="2"/>
  <c r="L39" i="2"/>
  <c r="F26" i="2"/>
  <c r="F19" i="2"/>
  <c r="F14" i="2" s="1"/>
  <c r="V39" i="2"/>
  <c r="F31" i="2"/>
  <c r="J26" i="2"/>
  <c r="J31" i="2"/>
  <c r="H39" i="2"/>
  <c r="K39" i="2"/>
  <c r="T39" i="2"/>
  <c r="J19" i="2"/>
  <c r="I39" i="2"/>
  <c r="G39" i="2"/>
  <c r="X11" i="2" l="1"/>
  <c r="Y11" i="2" s="1"/>
  <c r="W19" i="2"/>
  <c r="W39" i="2" s="1"/>
  <c r="N27" i="2"/>
  <c r="N23" i="2"/>
  <c r="N39" i="2"/>
  <c r="N22" i="2"/>
  <c r="N26" i="2" s="1"/>
  <c r="N31" i="2" s="1"/>
  <c r="N32" i="2" s="1"/>
  <c r="N33" i="2" s="1"/>
  <c r="N25" i="2"/>
  <c r="N21" i="2"/>
  <c r="N28" i="2"/>
  <c r="N24" i="2"/>
  <c r="N20" i="2"/>
  <c r="J39" i="2"/>
  <c r="J14" i="2"/>
  <c r="M19" i="2"/>
  <c r="X19" i="2"/>
  <c r="Y14" i="2"/>
  <c r="Z14" i="2" s="1"/>
  <c r="AA14" i="2" s="1"/>
  <c r="AB14" i="2" s="1"/>
  <c r="AC14" i="2" s="1"/>
  <c r="AD14" i="2" s="1"/>
  <c r="AE14" i="2" s="1"/>
  <c r="AF14" i="2" s="1"/>
  <c r="X24" i="2" l="1"/>
  <c r="X23" i="2"/>
  <c r="X22" i="2"/>
  <c r="X39" i="2"/>
  <c r="X21" i="2"/>
  <c r="M27" i="2"/>
  <c r="W27" i="2" s="1"/>
  <c r="X27" i="2" s="1"/>
  <c r="Y27" i="2" s="1"/>
  <c r="Z27" i="2" s="1"/>
  <c r="AA27" i="2" s="1"/>
  <c r="AB27" i="2" s="1"/>
  <c r="AC27" i="2" s="1"/>
  <c r="AD27" i="2" s="1"/>
  <c r="AE27" i="2" s="1"/>
  <c r="AF27" i="2" s="1"/>
  <c r="M23" i="2"/>
  <c r="W23" i="2" s="1"/>
  <c r="M39" i="2"/>
  <c r="M22" i="2"/>
  <c r="W22" i="2" s="1"/>
  <c r="M25" i="2"/>
  <c r="W25" i="2" s="1"/>
  <c r="X25" i="2" s="1"/>
  <c r="M21" i="2"/>
  <c r="W21" i="2" s="1"/>
  <c r="M28" i="2"/>
  <c r="W28" i="2" s="1"/>
  <c r="X28" i="2" s="1"/>
  <c r="Y28" i="2" s="1"/>
  <c r="Z28" i="2" s="1"/>
  <c r="AA28" i="2" s="1"/>
  <c r="AB28" i="2" s="1"/>
  <c r="AC28" i="2" s="1"/>
  <c r="AD28" i="2" s="1"/>
  <c r="AE28" i="2" s="1"/>
  <c r="AF28" i="2" s="1"/>
  <c r="M24" i="2"/>
  <c r="W24" i="2" s="1"/>
  <c r="M20" i="2"/>
  <c r="W20" i="2" s="1"/>
  <c r="X20" i="2" s="1"/>
  <c r="X26" i="2" s="1"/>
  <c r="X31" i="2" s="1"/>
  <c r="Y19" i="2"/>
  <c r="Z11" i="2"/>
  <c r="M26" i="2" l="1"/>
  <c r="Y25" i="2"/>
  <c r="Y21" i="2"/>
  <c r="Y24" i="2"/>
  <c r="Y20" i="2"/>
  <c r="Y23" i="2"/>
  <c r="Y26" i="2"/>
  <c r="Y31" i="2" s="1"/>
  <c r="Y39" i="2"/>
  <c r="Y22" i="2"/>
  <c r="Z19" i="2"/>
  <c r="AA11" i="2"/>
  <c r="AA19" i="2" l="1"/>
  <c r="AB11" i="2"/>
  <c r="Z24" i="2"/>
  <c r="AA24" i="2" s="1"/>
  <c r="Z20" i="2"/>
  <c r="AA20" i="2" s="1"/>
  <c r="Z23" i="2"/>
  <c r="AA23" i="2" s="1"/>
  <c r="Z26" i="2"/>
  <c r="Z31" i="2" s="1"/>
  <c r="Z39" i="2"/>
  <c r="Z22" i="2"/>
  <c r="Z25" i="2"/>
  <c r="AA25" i="2" s="1"/>
  <c r="Z21" i="2"/>
  <c r="AA21" i="2" s="1"/>
  <c r="M31" i="2"/>
  <c r="W26" i="2"/>
  <c r="W31" i="2" l="1"/>
  <c r="M32" i="2"/>
  <c r="W32" i="2" s="1"/>
  <c r="X32" i="2" s="1"/>
  <c r="AC11" i="2"/>
  <c r="AB19" i="2"/>
  <c r="AA39" i="2"/>
  <c r="AA22" i="2"/>
  <c r="AB22" i="2" s="1"/>
  <c r="X33" i="2" l="1"/>
  <c r="Y32" i="2"/>
  <c r="AA26" i="2"/>
  <c r="AA31" i="2" s="1"/>
  <c r="AB39" i="2"/>
  <c r="AB25" i="2"/>
  <c r="AC25" i="2" s="1"/>
  <c r="AD11" i="2"/>
  <c r="AC19" i="2"/>
  <c r="AB24" i="2"/>
  <c r="AC24" i="2" s="1"/>
  <c r="AB21" i="2"/>
  <c r="AC21" i="2" s="1"/>
  <c r="AB20" i="2"/>
  <c r="AC20" i="2" s="1"/>
  <c r="M33" i="2"/>
  <c r="W33" i="2" s="1"/>
  <c r="AB23" i="2"/>
  <c r="AC23" i="2" s="1"/>
  <c r="AE11" i="2" l="1"/>
  <c r="AD19" i="2"/>
  <c r="AD23" i="2"/>
  <c r="AD25" i="2"/>
  <c r="AB26" i="2"/>
  <c r="AB31" i="2" s="1"/>
  <c r="AD21" i="2"/>
  <c r="Y33" i="2"/>
  <c r="Z32" i="2"/>
  <c r="Z33" i="2" s="1"/>
  <c r="AD24" i="2"/>
  <c r="AC39" i="2"/>
  <c r="AC22" i="2"/>
  <c r="AD22" i="2" s="1"/>
  <c r="AA32" i="2" l="1"/>
  <c r="AA33" i="2" s="1"/>
  <c r="AB32" i="2"/>
  <c r="AB33" i="2"/>
  <c r="AC26" i="2"/>
  <c r="AC31" i="2" s="1"/>
  <c r="AE25" i="2"/>
  <c r="AF25" i="2" s="1"/>
  <c r="AE23" i="2"/>
  <c r="AF23" i="2" s="1"/>
  <c r="AD39" i="2"/>
  <c r="AD20" i="2"/>
  <c r="AD26" i="2" s="1"/>
  <c r="AD31" i="2" s="1"/>
  <c r="AF11" i="2"/>
  <c r="AF19" i="2" s="1"/>
  <c r="AE19" i="2"/>
  <c r="AE22" i="2" s="1"/>
  <c r="AF22" i="2" s="1"/>
  <c r="AC32" i="2" l="1"/>
  <c r="AD32" i="2" s="1"/>
  <c r="AD33" i="2" s="1"/>
  <c r="AC33" i="2"/>
  <c r="AE39" i="2"/>
  <c r="AE26" i="2"/>
  <c r="AE31" i="2" s="1"/>
  <c r="AF26" i="2"/>
  <c r="AF31" i="2" s="1"/>
  <c r="AF39" i="2"/>
  <c r="AE20" i="2"/>
  <c r="AF20" i="2" s="1"/>
  <c r="AE21" i="2"/>
  <c r="AF21" i="2" s="1"/>
  <c r="AE24" i="2"/>
  <c r="AF24" i="2" s="1"/>
  <c r="AE32" i="2" l="1"/>
  <c r="AF32" i="2" s="1"/>
  <c r="AF33" i="2" s="1"/>
  <c r="AG33" i="2" s="1"/>
  <c r="AH33" i="2" s="1"/>
  <c r="AI33" i="2" s="1"/>
  <c r="AJ33" i="2" s="1"/>
  <c r="AK33" i="2" s="1"/>
  <c r="AL33" i="2" s="1"/>
  <c r="AM33" i="2" s="1"/>
  <c r="AN33" i="2" s="1"/>
  <c r="AO33" i="2" s="1"/>
  <c r="AP33" i="2" s="1"/>
  <c r="AQ33" i="2" s="1"/>
  <c r="AR33" i="2" s="1"/>
  <c r="AS33" i="2" s="1"/>
  <c r="AT33" i="2" s="1"/>
  <c r="AU33" i="2" s="1"/>
  <c r="AV33" i="2" s="1"/>
  <c r="AW33" i="2" s="1"/>
  <c r="AX33" i="2" s="1"/>
  <c r="AY33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BJ33" i="2" s="1"/>
  <c r="BK33" i="2" s="1"/>
  <c r="BL33" i="2" s="1"/>
  <c r="BM33" i="2" s="1"/>
  <c r="BN33" i="2" s="1"/>
  <c r="BO33" i="2" s="1"/>
  <c r="BP33" i="2" s="1"/>
  <c r="BQ33" i="2" s="1"/>
  <c r="BR33" i="2" s="1"/>
  <c r="BS33" i="2" s="1"/>
  <c r="BT33" i="2" s="1"/>
  <c r="BU33" i="2" s="1"/>
  <c r="BV33" i="2" s="1"/>
  <c r="BW33" i="2" s="1"/>
  <c r="BX33" i="2" s="1"/>
  <c r="BY33" i="2" s="1"/>
  <c r="BZ33" i="2" s="1"/>
  <c r="CA33" i="2" s="1"/>
  <c r="CB33" i="2" s="1"/>
  <c r="CC33" i="2" s="1"/>
  <c r="CD33" i="2" s="1"/>
  <c r="CE33" i="2" s="1"/>
  <c r="CF33" i="2" s="1"/>
  <c r="CG33" i="2" s="1"/>
  <c r="CH33" i="2" s="1"/>
  <c r="CI33" i="2" s="1"/>
  <c r="CJ33" i="2" s="1"/>
  <c r="CK33" i="2" s="1"/>
  <c r="CL33" i="2" s="1"/>
  <c r="CM33" i="2" s="1"/>
  <c r="CN33" i="2" s="1"/>
  <c r="CO33" i="2" s="1"/>
  <c r="CP33" i="2" s="1"/>
  <c r="CQ33" i="2" s="1"/>
  <c r="CR33" i="2" s="1"/>
  <c r="CS33" i="2" s="1"/>
  <c r="CT33" i="2" s="1"/>
  <c r="CU33" i="2" s="1"/>
  <c r="CV33" i="2" s="1"/>
  <c r="CW33" i="2" s="1"/>
  <c r="CX33" i="2" s="1"/>
  <c r="CY33" i="2" s="1"/>
  <c r="CZ33" i="2" s="1"/>
  <c r="DA33" i="2" s="1"/>
  <c r="DB33" i="2" s="1"/>
  <c r="DC33" i="2" s="1"/>
  <c r="DD33" i="2" s="1"/>
  <c r="DE33" i="2" s="1"/>
  <c r="DF33" i="2" s="1"/>
  <c r="DG33" i="2" s="1"/>
  <c r="DH33" i="2" s="1"/>
  <c r="DI33" i="2" s="1"/>
  <c r="DJ33" i="2" s="1"/>
  <c r="DK33" i="2" s="1"/>
  <c r="DL33" i="2" s="1"/>
  <c r="DM33" i="2" s="1"/>
  <c r="DN33" i="2" s="1"/>
  <c r="DO33" i="2" s="1"/>
  <c r="DP33" i="2" s="1"/>
  <c r="DQ33" i="2" s="1"/>
  <c r="DR33" i="2" s="1"/>
  <c r="DS33" i="2" s="1"/>
  <c r="DT33" i="2" s="1"/>
  <c r="DU33" i="2" s="1"/>
  <c r="DV33" i="2" s="1"/>
  <c r="DW33" i="2" s="1"/>
  <c r="DX33" i="2" s="1"/>
  <c r="DY33" i="2" s="1"/>
  <c r="DZ33" i="2" s="1"/>
  <c r="EA33" i="2" s="1"/>
  <c r="EB33" i="2" s="1"/>
  <c r="EC33" i="2" s="1"/>
  <c r="ED33" i="2" s="1"/>
  <c r="EE33" i="2" s="1"/>
  <c r="EF33" i="2" s="1"/>
  <c r="EG33" i="2" s="1"/>
  <c r="EH33" i="2" s="1"/>
  <c r="EI33" i="2" s="1"/>
  <c r="EJ33" i="2" s="1"/>
  <c r="EK33" i="2" s="1"/>
  <c r="EL33" i="2" s="1"/>
  <c r="EM33" i="2" s="1"/>
  <c r="EN33" i="2" s="1"/>
  <c r="EO33" i="2" s="1"/>
  <c r="EP33" i="2" s="1"/>
  <c r="EQ33" i="2" s="1"/>
  <c r="ER33" i="2" s="1"/>
  <c r="ES33" i="2" s="1"/>
  <c r="ET33" i="2" s="1"/>
  <c r="EU33" i="2" s="1"/>
  <c r="EV33" i="2" s="1"/>
  <c r="EW33" i="2" s="1"/>
  <c r="EX33" i="2" s="1"/>
  <c r="EY33" i="2" s="1"/>
  <c r="EZ33" i="2" s="1"/>
  <c r="FA33" i="2" s="1"/>
  <c r="FB33" i="2" s="1"/>
  <c r="FC33" i="2" s="1"/>
  <c r="FD33" i="2" s="1"/>
  <c r="FE33" i="2" s="1"/>
  <c r="FF33" i="2" s="1"/>
  <c r="FG33" i="2" s="1"/>
  <c r="FH33" i="2" s="1"/>
  <c r="FI33" i="2" s="1"/>
  <c r="FJ33" i="2" s="1"/>
  <c r="FK33" i="2" s="1"/>
  <c r="FL33" i="2" s="1"/>
  <c r="FM33" i="2" s="1"/>
  <c r="FN33" i="2" s="1"/>
  <c r="FO33" i="2" s="1"/>
  <c r="FP33" i="2" s="1"/>
  <c r="FQ33" i="2" s="1"/>
  <c r="FR33" i="2" s="1"/>
  <c r="FS33" i="2" s="1"/>
  <c r="FT33" i="2" s="1"/>
  <c r="FU33" i="2" s="1"/>
  <c r="FV33" i="2" s="1"/>
  <c r="FW33" i="2" s="1"/>
  <c r="FX33" i="2" s="1"/>
  <c r="FY33" i="2" s="1"/>
  <c r="FZ33" i="2" s="1"/>
  <c r="GA33" i="2" s="1"/>
  <c r="GB33" i="2" s="1"/>
  <c r="GC33" i="2" s="1"/>
  <c r="GD33" i="2" s="1"/>
  <c r="GE33" i="2" s="1"/>
  <c r="GF33" i="2" s="1"/>
  <c r="GG33" i="2" s="1"/>
  <c r="GH33" i="2" s="1"/>
  <c r="GI33" i="2" s="1"/>
  <c r="GJ33" i="2" s="1"/>
  <c r="GK33" i="2" s="1"/>
  <c r="GL33" i="2" s="1"/>
  <c r="GM33" i="2" s="1"/>
  <c r="GN33" i="2" s="1"/>
  <c r="GO33" i="2" s="1"/>
  <c r="GP33" i="2" s="1"/>
  <c r="GQ33" i="2" s="1"/>
  <c r="GR33" i="2" s="1"/>
  <c r="GS33" i="2" s="1"/>
  <c r="GT33" i="2" s="1"/>
  <c r="GU33" i="2" s="1"/>
  <c r="GV33" i="2" s="1"/>
  <c r="GW33" i="2" s="1"/>
  <c r="GX33" i="2" s="1"/>
  <c r="GY33" i="2" s="1"/>
  <c r="GZ33" i="2" s="1"/>
  <c r="HA33" i="2" s="1"/>
  <c r="HB33" i="2" s="1"/>
  <c r="HC33" i="2" s="1"/>
  <c r="HD33" i="2" s="1"/>
  <c r="HE33" i="2" s="1"/>
  <c r="HF33" i="2" s="1"/>
  <c r="HG33" i="2" s="1"/>
  <c r="HH33" i="2" s="1"/>
  <c r="HI33" i="2" s="1"/>
  <c r="HJ33" i="2" s="1"/>
  <c r="HK33" i="2" s="1"/>
  <c r="HL33" i="2" s="1"/>
  <c r="HM33" i="2" s="1"/>
  <c r="HN33" i="2" s="1"/>
  <c r="HO33" i="2" s="1"/>
  <c r="HP33" i="2" s="1"/>
  <c r="HQ33" i="2" s="1"/>
  <c r="HR33" i="2" s="1"/>
  <c r="HS33" i="2" s="1"/>
  <c r="HT33" i="2" s="1"/>
  <c r="HU33" i="2" s="1"/>
  <c r="HV33" i="2" s="1"/>
  <c r="HW33" i="2" s="1"/>
  <c r="HX33" i="2" s="1"/>
  <c r="HY33" i="2" s="1"/>
  <c r="AJ42" i="2" s="1"/>
  <c r="AJ44" i="2" s="1"/>
  <c r="AE33" i="2"/>
</calcChain>
</file>

<file path=xl/sharedStrings.xml><?xml version="1.0" encoding="utf-8"?>
<sst xmlns="http://schemas.openxmlformats.org/spreadsheetml/2006/main" count="71" uniqueCount="64">
  <si>
    <t>P</t>
  </si>
  <si>
    <t>S</t>
  </si>
  <si>
    <t>MC</t>
  </si>
  <si>
    <t>C</t>
  </si>
  <si>
    <t>D</t>
  </si>
  <si>
    <t>EV</t>
  </si>
  <si>
    <t>Q225</t>
  </si>
  <si>
    <t xml:space="preserve">CEO </t>
  </si>
  <si>
    <t xml:space="preserve">CFO 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</si>
  <si>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</si>
  <si>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</si>
  <si>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</si>
  <si>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</si>
  <si>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</si>
  <si>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</si>
  <si>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</si>
  <si>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</si>
  <si>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</si>
  <si>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Q325</t>
  </si>
  <si>
    <t>Q425</t>
  </si>
  <si>
    <t>Cinemark Holdings</t>
  </si>
  <si>
    <t>HQ</t>
  </si>
  <si>
    <t>Plano, Texas</t>
  </si>
  <si>
    <t xml:space="preserve">Admissions </t>
  </si>
  <si>
    <t>Concession</t>
  </si>
  <si>
    <t xml:space="preserve">Other </t>
  </si>
  <si>
    <t xml:space="preserve">Total Revenues </t>
  </si>
  <si>
    <t>Film rentals and ads</t>
  </si>
  <si>
    <t>Concession supplies</t>
  </si>
  <si>
    <t>Salaries and wages</t>
  </si>
  <si>
    <t>Facility lease expense</t>
  </si>
  <si>
    <t>Utilities and other</t>
  </si>
  <si>
    <t>G&amp;A</t>
  </si>
  <si>
    <t>Operating Income</t>
  </si>
  <si>
    <t>Interest Expense</t>
  </si>
  <si>
    <t>Interest Income</t>
  </si>
  <si>
    <t>Distributions NCMI/NCM</t>
  </si>
  <si>
    <t>Interest Expense - NCM</t>
  </si>
  <si>
    <t xml:space="preserve">EBT </t>
  </si>
  <si>
    <t>Txes</t>
  </si>
  <si>
    <t>Net Income</t>
  </si>
  <si>
    <t xml:space="preserve">YY Growth </t>
  </si>
  <si>
    <t>129..5</t>
  </si>
  <si>
    <t>Press Release</t>
  </si>
  <si>
    <t xml:space="preserve">About </t>
  </si>
  <si>
    <t>Taylor Swift exclusive music video, tix sales 10/3/25</t>
  </si>
  <si>
    <t>Attendance</t>
  </si>
  <si>
    <t xml:space="preserve">Avg Ticket Price </t>
  </si>
  <si>
    <t>Americas</t>
  </si>
  <si>
    <t xml:space="preserve">International </t>
  </si>
  <si>
    <t>3..75</t>
  </si>
  <si>
    <t xml:space="preserve">Total Attendance </t>
  </si>
  <si>
    <t>Avg P</t>
  </si>
  <si>
    <t>Terminal</t>
  </si>
  <si>
    <t xml:space="preserve">Discount </t>
  </si>
  <si>
    <t>NPV</t>
  </si>
  <si>
    <t>Shares</t>
  </si>
  <si>
    <t>Estimate</t>
  </si>
  <si>
    <t>Current</t>
  </si>
  <si>
    <t xml:space="preserve">Admission </t>
  </si>
  <si>
    <t xml:space="preserve">Concession </t>
  </si>
  <si>
    <t>Margins</t>
  </si>
  <si>
    <t xml:space="preserve">Producer --&gt; Studio (universal, WB,etc) --&gt; Theater (CNK/AMC) --&gt; Audience </t>
  </si>
  <si>
    <t>NCMI sells the pre-show ads you see in theaters, then shares revenue with chains like CNK and AMC in exchange for access to their screens.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</si>
</sst>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"/>
    <numFmt numFmtId="166" formatCode="0.0%"/>
    <numFmt numFmtId="167" formatCode="0.0000%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3" fontId="0" fillId="0" borderId="0" xfId="0" applyNumberFormat="1" applyAlignment="1">
      <alignment horizontal="left"/>
    </xf>
    <xf numFmtId="14" fontId="2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406400</xdr:colOff>
      <xdr:row>0</xdr:row>
      <xdr:rowOff>38100</xdr:rowOff>
    </xdr:from>
    <xdr:to>
      <xdr:col>12</xdr:col>
      <xdr:colOff>12700</xdr:colOff>
      <xdr:row>60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2FE33EA-25AF-C703-BB62-B1E061BEF92B}"/>
            </a:ext>
          </a:extLst>
        </xdr:cNvPr>
        <xdr:cNvCxnSpPr/>
      </xdr:nvCxnSpPr>
      <xdr:spPr>
        <a:xfrm flipH="1">
          <a:off x="5765800" y="38100"/>
          <a:ext cx="25400" cy="9525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0</xdr:row>
      <xdr:rowOff>25400</xdr:rowOff>
    </xdr:from>
    <xdr:to>
      <xdr:col>22</xdr:col>
      <xdr:colOff>25400</xdr:colOff>
      <xdr:row>60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4514A6E-68C9-374A-9D50-AA4C22F53169}"/>
            </a:ext>
          </a:extLst>
        </xdr:cNvPr>
        <xdr:cNvCxnSpPr/>
      </xdr:nvCxnSpPr>
      <xdr:spPr>
        <a:xfrm flipH="1">
          <a:off x="11176000" y="25400"/>
          <a:ext cx="25400" cy="9525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.cinemark.com/news-events/press-releases/detail/625/cinemark-welcomes-taylor-swift-back-to-its-big-screens-wi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9525-A439-E246-B8A3-3C4E8B92B004}">
  <dimension ref="B2:N15"/>
  <sheetViews>
    <sheetView zoomScale="142" workbookViewId="0">
      <selection activeCell="B12" sqref="B12"/>
    </sheetView>
  </sheetViews>
  <sheetFormatPr baseColWidth="10" defaultRowHeight="16" x14ac:dyDescent="0.2"/>
  <cols>
    <col min="1" max="1" width="3.33203125" style="1" customWidth="1"/>
    <col min="2" max="2" width="12.33203125" style="10" bestFit="1" customWidth="1"/>
    <col min="3" max="9" width="10.83203125" style="1"/>
    <col min="10" max="10" width="4" style="1" bestFit="1" customWidth="1"/>
    <col min="11" max="11" width="7.83203125" style="1" bestFit="1" customWidth="1"/>
    <col min="12" max="12" width="5.5" style="1" bestFit="1" customWidth="1"/>
    <col min="13" max="16384" width="10.83203125" style="1"/>
  </cols>
  <sheetData>
    <row r="2" spans="2:14" x14ac:dyDescent="0.2">
      <c r="C2" s="1" t="s">
        <v>20</v>
      </c>
    </row>
    <row r="5" spans="2:14" x14ac:dyDescent="0.2">
      <c r="B5" s="10" t="s">
        <v>7</v>
      </c>
      <c r="J5" s="1" t="s">
        <v>0</v>
      </c>
      <c r="K5" s="2">
        <v>27.7</v>
      </c>
    </row>
    <row r="6" spans="2:14" x14ac:dyDescent="0.2">
      <c r="B6" s="10" t="s">
        <v>8</v>
      </c>
      <c r="J6" s="1" t="s">
        <v>1</v>
      </c>
      <c r="K6" s="1">
        <f>115.035514+0.0015</f>
        <v>115.037014</v>
      </c>
      <c r="L6" s="1" t="s">
        <v>6</v>
      </c>
    </row>
    <row r="7" spans="2:14" x14ac:dyDescent="0.2">
      <c r="B7" s="10" t="s">
        <v>21</v>
      </c>
      <c r="C7" s="1" t="s">
        <v>22</v>
      </c>
      <c r="J7" s="1" t="s">
        <v>2</v>
      </c>
      <c r="K7" s="1">
        <f>+K5*K6</f>
        <v>3186.5252878000001</v>
      </c>
    </row>
    <row r="8" spans="2:14" x14ac:dyDescent="0.2">
      <c r="J8" s="1" t="s">
        <v>3</v>
      </c>
      <c r="K8" s="1">
        <f>931.6+21.2+0</f>
        <v>952.80000000000007</v>
      </c>
      <c r="L8" s="1" t="str">
        <f>+L6</f>
        <v>Q225</v>
      </c>
      <c r="N8" s="3"/>
    </row>
    <row r="9" spans="2:14" x14ac:dyDescent="0.2">
      <c r="J9" s="1" t="s">
        <v>4</v>
      </c>
      <c r="K9" s="1">
        <f>466+1870.3</f>
        <v>2336.3000000000002</v>
      </c>
      <c r="L9" s="1" t="str">
        <f>+L8</f>
        <v>Q225</v>
      </c>
    </row>
    <row r="10" spans="2:14" x14ac:dyDescent="0.2">
      <c r="J10" s="1" t="s">
        <v>5</v>
      </c>
      <c r="K10" s="1">
        <f>+K7-K8+K9</f>
        <v>4570.0252878000001</v>
      </c>
    </row>
    <row r="11" spans="2:14" x14ac:dyDescent="0.2">
      <c r="B11" s="10" t="s">
        <v>62</v>
      </c>
    </row>
    <row r="12" spans="2:14" x14ac:dyDescent="0.2">
      <c r="B12" s="10" t="s">
        <v>63</v>
      </c>
    </row>
    <row r="14" spans="2:14" x14ac:dyDescent="0.2">
      <c r="B14" s="10" t="s">
        <v>43</v>
      </c>
      <c r="C14" s="1" t="s">
        <v>44</v>
      </c>
    </row>
    <row r="15" spans="2:14" x14ac:dyDescent="0.2">
      <c r="B15" s="11">
        <v>45919</v>
      </c>
      <c r="C15" s="1" t="s">
        <v>45</v>
      </c>
    </row>
  </sheetData>
  <hyperlinks>
    <hyperlink ref="B15" r:id="rId1" display="https://ir.cinemark.com/news-events/press-releases/detail/625/cinemark-welcomes-taylor-swift-back-to-its-big-screens-with" xr:uid="{2E8C0979-0DD8-8D4C-85F2-1A186B7D81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988E-2629-7547-81E3-F4C2DC8C3113}">
  <dimension ref="B2:HY47"/>
  <sheetViews>
    <sheetView tabSelected="1"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P19" sqref="P19"/>
    </sheetView>
  </sheetViews>
  <sheetFormatPr baseColWidth="10" defaultRowHeight="16" x14ac:dyDescent="0.2"/>
  <cols>
    <col min="1" max="1" width="1.83203125" style="1" customWidth="1"/>
    <col min="2" max="2" width="21.83203125" style="1" bestFit="1" customWidth="1"/>
    <col min="3" max="4" width="5.5" style="1" bestFit="1" customWidth="1"/>
    <col min="5" max="5" width="6.1640625" style="1" bestFit="1" customWidth="1"/>
    <col min="6" max="14" width="5.5" style="1" bestFit="1" customWidth="1"/>
    <col min="15" max="17" width="10.83203125" style="1"/>
    <col min="18" max="18" width="5.1640625" style="1" bestFit="1" customWidth="1"/>
    <col min="19" max="32" width="5.6640625" style="1" bestFit="1" customWidth="1"/>
    <col min="33" max="34" width="5.1640625" style="1" bestFit="1" customWidth="1"/>
    <col min="35" max="35" width="8.83203125" style="1" bestFit="1" customWidth="1"/>
    <col min="36" max="36" width="5.6640625" style="1" bestFit="1" customWidth="1"/>
    <col min="37" max="42" width="5.1640625" style="1" bestFit="1" customWidth="1"/>
    <col min="43" max="43" width="10.1640625" style="1" bestFit="1" customWidth="1"/>
    <col min="44" max="158" width="5.1640625" style="1" bestFit="1" customWidth="1"/>
    <col min="159" max="233" width="5.6640625" style="1" bestFit="1" customWidth="1"/>
    <col min="234" max="16384" width="10.83203125" style="1"/>
  </cols>
  <sheetData>
    <row r="2" spans="2:233" s="4" customFormat="1" x14ac:dyDescent="0.2"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6</v>
      </c>
      <c r="M2" s="4" t="s">
        <v>18</v>
      </c>
      <c r="N2" s="4" t="s">
        <v>19</v>
      </c>
      <c r="R2" s="4">
        <v>2020</v>
      </c>
      <c r="S2" s="4">
        <f>+R2+1</f>
        <v>2021</v>
      </c>
      <c r="T2" s="4">
        <f t="shared" ref="T2:AG2" si="0">+S2+1</f>
        <v>2022</v>
      </c>
      <c r="U2" s="4">
        <f t="shared" si="0"/>
        <v>2023</v>
      </c>
      <c r="V2" s="4">
        <f t="shared" si="0"/>
        <v>2024</v>
      </c>
      <c r="W2" s="4">
        <f t="shared" si="0"/>
        <v>2025</v>
      </c>
      <c r="X2" s="4">
        <f t="shared" si="0"/>
        <v>2026</v>
      </c>
      <c r="Y2" s="4">
        <f t="shared" si="0"/>
        <v>2027</v>
      </c>
      <c r="Z2" s="4">
        <f t="shared" si="0"/>
        <v>2028</v>
      </c>
      <c r="AA2" s="4">
        <f t="shared" si="0"/>
        <v>2029</v>
      </c>
      <c r="AB2" s="4">
        <f t="shared" si="0"/>
        <v>2030</v>
      </c>
      <c r="AC2" s="4">
        <f t="shared" si="0"/>
        <v>2031</v>
      </c>
      <c r="AD2" s="4">
        <f t="shared" si="0"/>
        <v>2032</v>
      </c>
      <c r="AE2" s="4">
        <f t="shared" si="0"/>
        <v>2033</v>
      </c>
      <c r="AF2" s="4">
        <f t="shared" si="0"/>
        <v>2034</v>
      </c>
      <c r="AG2" s="4">
        <f t="shared" si="0"/>
        <v>2035</v>
      </c>
      <c r="AH2" s="4">
        <f t="shared" ref="AH2:CS2" si="1">+AG2+1</f>
        <v>2036</v>
      </c>
      <c r="AI2" s="4">
        <f t="shared" si="1"/>
        <v>2037</v>
      </c>
      <c r="AJ2" s="4">
        <f t="shared" si="1"/>
        <v>2038</v>
      </c>
      <c r="AK2" s="4">
        <f t="shared" si="1"/>
        <v>2039</v>
      </c>
      <c r="AL2" s="4">
        <f t="shared" si="1"/>
        <v>2040</v>
      </c>
      <c r="AM2" s="4">
        <f t="shared" si="1"/>
        <v>2041</v>
      </c>
      <c r="AN2" s="4">
        <f t="shared" si="1"/>
        <v>2042</v>
      </c>
      <c r="AO2" s="4">
        <f t="shared" si="1"/>
        <v>2043</v>
      </c>
      <c r="AP2" s="4">
        <f t="shared" si="1"/>
        <v>2044</v>
      </c>
      <c r="AQ2" s="4">
        <f t="shared" si="1"/>
        <v>2045</v>
      </c>
      <c r="AR2" s="4">
        <f t="shared" si="1"/>
        <v>2046</v>
      </c>
      <c r="AS2" s="4">
        <f t="shared" si="1"/>
        <v>2047</v>
      </c>
      <c r="AT2" s="4">
        <f t="shared" si="1"/>
        <v>2048</v>
      </c>
      <c r="AU2" s="4">
        <f t="shared" si="1"/>
        <v>2049</v>
      </c>
      <c r="AV2" s="4">
        <f t="shared" si="1"/>
        <v>2050</v>
      </c>
      <c r="AW2" s="4">
        <f t="shared" si="1"/>
        <v>2051</v>
      </c>
      <c r="AX2" s="4">
        <f t="shared" si="1"/>
        <v>2052</v>
      </c>
      <c r="AY2" s="4">
        <f t="shared" si="1"/>
        <v>2053</v>
      </c>
      <c r="AZ2" s="4">
        <f t="shared" si="1"/>
        <v>2054</v>
      </c>
      <c r="BA2" s="4">
        <f t="shared" si="1"/>
        <v>2055</v>
      </c>
      <c r="BB2" s="4">
        <f t="shared" si="1"/>
        <v>2056</v>
      </c>
      <c r="BC2" s="4">
        <f t="shared" si="1"/>
        <v>2057</v>
      </c>
      <c r="BD2" s="4">
        <f t="shared" si="1"/>
        <v>2058</v>
      </c>
      <c r="BE2" s="4">
        <f t="shared" si="1"/>
        <v>2059</v>
      </c>
      <c r="BF2" s="4">
        <f t="shared" si="1"/>
        <v>2060</v>
      </c>
      <c r="BG2" s="4">
        <f t="shared" si="1"/>
        <v>2061</v>
      </c>
      <c r="BH2" s="4">
        <f t="shared" si="1"/>
        <v>2062</v>
      </c>
      <c r="BI2" s="4">
        <f t="shared" si="1"/>
        <v>2063</v>
      </c>
      <c r="BJ2" s="4">
        <f t="shared" si="1"/>
        <v>2064</v>
      </c>
      <c r="BK2" s="4">
        <f t="shared" si="1"/>
        <v>2065</v>
      </c>
      <c r="BL2" s="4">
        <f t="shared" si="1"/>
        <v>2066</v>
      </c>
      <c r="BM2" s="4">
        <f t="shared" si="1"/>
        <v>2067</v>
      </c>
      <c r="BN2" s="4">
        <f t="shared" si="1"/>
        <v>2068</v>
      </c>
      <c r="BO2" s="4">
        <f t="shared" si="1"/>
        <v>2069</v>
      </c>
      <c r="BP2" s="4">
        <f t="shared" si="1"/>
        <v>2070</v>
      </c>
      <c r="BQ2" s="4">
        <f t="shared" si="1"/>
        <v>2071</v>
      </c>
      <c r="BR2" s="4">
        <f t="shared" si="1"/>
        <v>2072</v>
      </c>
      <c r="BS2" s="4">
        <f t="shared" si="1"/>
        <v>2073</v>
      </c>
      <c r="BT2" s="4">
        <f t="shared" si="1"/>
        <v>2074</v>
      </c>
      <c r="BU2" s="4">
        <f t="shared" si="1"/>
        <v>2075</v>
      </c>
      <c r="BV2" s="4">
        <f t="shared" si="1"/>
        <v>2076</v>
      </c>
      <c r="BW2" s="4">
        <f t="shared" si="1"/>
        <v>2077</v>
      </c>
      <c r="BX2" s="4">
        <f t="shared" si="1"/>
        <v>2078</v>
      </c>
      <c r="BY2" s="4">
        <f t="shared" si="1"/>
        <v>2079</v>
      </c>
      <c r="BZ2" s="4">
        <f t="shared" si="1"/>
        <v>2080</v>
      </c>
      <c r="CA2" s="4">
        <f t="shared" si="1"/>
        <v>2081</v>
      </c>
      <c r="CB2" s="4">
        <f t="shared" si="1"/>
        <v>2082</v>
      </c>
      <c r="CC2" s="4">
        <f t="shared" si="1"/>
        <v>2083</v>
      </c>
      <c r="CD2" s="4">
        <f t="shared" si="1"/>
        <v>2084</v>
      </c>
      <c r="CE2" s="4">
        <f t="shared" si="1"/>
        <v>2085</v>
      </c>
      <c r="CF2" s="4">
        <f t="shared" si="1"/>
        <v>2086</v>
      </c>
      <c r="CG2" s="4">
        <f t="shared" si="1"/>
        <v>2087</v>
      </c>
      <c r="CH2" s="4">
        <f t="shared" si="1"/>
        <v>2088</v>
      </c>
      <c r="CI2" s="4">
        <f t="shared" si="1"/>
        <v>2089</v>
      </c>
      <c r="CJ2" s="4">
        <f t="shared" si="1"/>
        <v>2090</v>
      </c>
      <c r="CK2" s="4">
        <f t="shared" si="1"/>
        <v>2091</v>
      </c>
      <c r="CL2" s="4">
        <f t="shared" si="1"/>
        <v>2092</v>
      </c>
      <c r="CM2" s="4">
        <f t="shared" si="1"/>
        <v>2093</v>
      </c>
      <c r="CN2" s="4">
        <f t="shared" si="1"/>
        <v>2094</v>
      </c>
      <c r="CO2" s="4">
        <f t="shared" si="1"/>
        <v>2095</v>
      </c>
      <c r="CP2" s="4">
        <f t="shared" si="1"/>
        <v>2096</v>
      </c>
      <c r="CQ2" s="4">
        <f t="shared" si="1"/>
        <v>2097</v>
      </c>
      <c r="CR2" s="4">
        <f t="shared" si="1"/>
        <v>2098</v>
      </c>
      <c r="CS2" s="4">
        <f t="shared" si="1"/>
        <v>2099</v>
      </c>
      <c r="CT2" s="4">
        <f t="shared" ref="CT2:FE2" si="2">+CS2+1</f>
        <v>2100</v>
      </c>
      <c r="CU2" s="4">
        <f t="shared" si="2"/>
        <v>2101</v>
      </c>
      <c r="CV2" s="4">
        <f t="shared" si="2"/>
        <v>2102</v>
      </c>
      <c r="CW2" s="4">
        <f t="shared" si="2"/>
        <v>2103</v>
      </c>
      <c r="CX2" s="4">
        <f t="shared" si="2"/>
        <v>2104</v>
      </c>
      <c r="CY2" s="4">
        <f t="shared" si="2"/>
        <v>2105</v>
      </c>
      <c r="CZ2" s="4">
        <f t="shared" si="2"/>
        <v>2106</v>
      </c>
      <c r="DA2" s="4">
        <f t="shared" si="2"/>
        <v>2107</v>
      </c>
      <c r="DB2" s="4">
        <f t="shared" si="2"/>
        <v>2108</v>
      </c>
      <c r="DC2" s="4">
        <f t="shared" si="2"/>
        <v>2109</v>
      </c>
      <c r="DD2" s="4">
        <f t="shared" si="2"/>
        <v>2110</v>
      </c>
      <c r="DE2" s="4">
        <f t="shared" si="2"/>
        <v>2111</v>
      </c>
      <c r="DF2" s="4">
        <f t="shared" si="2"/>
        <v>2112</v>
      </c>
      <c r="DG2" s="4">
        <f t="shared" si="2"/>
        <v>2113</v>
      </c>
      <c r="DH2" s="4">
        <f t="shared" si="2"/>
        <v>2114</v>
      </c>
      <c r="DI2" s="4">
        <f t="shared" si="2"/>
        <v>2115</v>
      </c>
      <c r="DJ2" s="4">
        <f t="shared" si="2"/>
        <v>2116</v>
      </c>
      <c r="DK2" s="4">
        <f t="shared" si="2"/>
        <v>2117</v>
      </c>
      <c r="DL2" s="4">
        <f t="shared" si="2"/>
        <v>2118</v>
      </c>
      <c r="DM2" s="4">
        <f t="shared" si="2"/>
        <v>2119</v>
      </c>
      <c r="DN2" s="4">
        <f t="shared" si="2"/>
        <v>2120</v>
      </c>
      <c r="DO2" s="4">
        <f t="shared" si="2"/>
        <v>2121</v>
      </c>
      <c r="DP2" s="4">
        <f t="shared" si="2"/>
        <v>2122</v>
      </c>
      <c r="DQ2" s="4">
        <f t="shared" si="2"/>
        <v>2123</v>
      </c>
      <c r="DR2" s="4">
        <f t="shared" si="2"/>
        <v>2124</v>
      </c>
      <c r="DS2" s="4">
        <f t="shared" si="2"/>
        <v>2125</v>
      </c>
      <c r="DT2" s="4">
        <f t="shared" si="2"/>
        <v>2126</v>
      </c>
      <c r="DU2" s="4">
        <f t="shared" si="2"/>
        <v>2127</v>
      </c>
      <c r="DV2" s="4">
        <f t="shared" si="2"/>
        <v>2128</v>
      </c>
      <c r="DW2" s="4">
        <f t="shared" si="2"/>
        <v>2129</v>
      </c>
      <c r="DX2" s="4">
        <f t="shared" si="2"/>
        <v>2130</v>
      </c>
      <c r="DY2" s="4">
        <f t="shared" si="2"/>
        <v>2131</v>
      </c>
      <c r="DZ2" s="4">
        <f t="shared" si="2"/>
        <v>2132</v>
      </c>
      <c r="EA2" s="4">
        <f t="shared" si="2"/>
        <v>2133</v>
      </c>
      <c r="EB2" s="4">
        <f t="shared" si="2"/>
        <v>2134</v>
      </c>
      <c r="EC2" s="4">
        <f t="shared" si="2"/>
        <v>2135</v>
      </c>
      <c r="ED2" s="4">
        <f t="shared" si="2"/>
        <v>2136</v>
      </c>
      <c r="EE2" s="4">
        <f t="shared" si="2"/>
        <v>2137</v>
      </c>
      <c r="EF2" s="4">
        <f t="shared" si="2"/>
        <v>2138</v>
      </c>
      <c r="EG2" s="4">
        <f t="shared" si="2"/>
        <v>2139</v>
      </c>
      <c r="EH2" s="4">
        <f t="shared" si="2"/>
        <v>2140</v>
      </c>
      <c r="EI2" s="4">
        <f t="shared" si="2"/>
        <v>2141</v>
      </c>
      <c r="EJ2" s="4">
        <f t="shared" si="2"/>
        <v>2142</v>
      </c>
      <c r="EK2" s="4">
        <f t="shared" si="2"/>
        <v>2143</v>
      </c>
      <c r="EL2" s="4">
        <f t="shared" si="2"/>
        <v>2144</v>
      </c>
      <c r="EM2" s="4">
        <f t="shared" si="2"/>
        <v>2145</v>
      </c>
      <c r="EN2" s="4">
        <f t="shared" si="2"/>
        <v>2146</v>
      </c>
      <c r="EO2" s="4">
        <f t="shared" si="2"/>
        <v>2147</v>
      </c>
      <c r="EP2" s="4">
        <f t="shared" si="2"/>
        <v>2148</v>
      </c>
      <c r="EQ2" s="4">
        <f t="shared" si="2"/>
        <v>2149</v>
      </c>
      <c r="ER2" s="4">
        <f t="shared" si="2"/>
        <v>2150</v>
      </c>
      <c r="ES2" s="4">
        <f t="shared" si="2"/>
        <v>2151</v>
      </c>
      <c r="ET2" s="4">
        <f t="shared" si="2"/>
        <v>2152</v>
      </c>
      <c r="EU2" s="4">
        <f t="shared" si="2"/>
        <v>2153</v>
      </c>
      <c r="EV2" s="4">
        <f t="shared" si="2"/>
        <v>2154</v>
      </c>
      <c r="EW2" s="4">
        <f t="shared" si="2"/>
        <v>2155</v>
      </c>
      <c r="EX2" s="4">
        <f t="shared" si="2"/>
        <v>2156</v>
      </c>
      <c r="EY2" s="4">
        <f t="shared" si="2"/>
        <v>2157</v>
      </c>
      <c r="EZ2" s="4">
        <f t="shared" si="2"/>
        <v>2158</v>
      </c>
      <c r="FA2" s="4">
        <f t="shared" si="2"/>
        <v>2159</v>
      </c>
      <c r="FB2" s="4">
        <f t="shared" si="2"/>
        <v>2160</v>
      </c>
      <c r="FC2" s="4">
        <f t="shared" si="2"/>
        <v>2161</v>
      </c>
      <c r="FD2" s="4">
        <f t="shared" si="2"/>
        <v>2162</v>
      </c>
      <c r="FE2" s="4">
        <f t="shared" si="2"/>
        <v>2163</v>
      </c>
      <c r="FF2" s="4">
        <f t="shared" ref="FF2:FV2" si="3">+FE2+1</f>
        <v>2164</v>
      </c>
      <c r="FG2" s="4">
        <f t="shared" si="3"/>
        <v>2165</v>
      </c>
      <c r="FH2" s="4">
        <f t="shared" si="3"/>
        <v>2166</v>
      </c>
      <c r="FI2" s="4">
        <f t="shared" si="3"/>
        <v>2167</v>
      </c>
      <c r="FJ2" s="4">
        <f t="shared" si="3"/>
        <v>2168</v>
      </c>
      <c r="FK2" s="4">
        <f t="shared" si="3"/>
        <v>2169</v>
      </c>
      <c r="FL2" s="4">
        <f t="shared" si="3"/>
        <v>2170</v>
      </c>
      <c r="FM2" s="4">
        <f t="shared" si="3"/>
        <v>2171</v>
      </c>
      <c r="FN2" s="4">
        <f t="shared" si="3"/>
        <v>2172</v>
      </c>
      <c r="FO2" s="4">
        <f t="shared" si="3"/>
        <v>2173</v>
      </c>
      <c r="FP2" s="4">
        <f t="shared" si="3"/>
        <v>2174</v>
      </c>
      <c r="FQ2" s="4">
        <f t="shared" si="3"/>
        <v>2175</v>
      </c>
      <c r="FR2" s="4">
        <f t="shared" si="3"/>
        <v>2176</v>
      </c>
      <c r="FS2" s="4">
        <f t="shared" si="3"/>
        <v>2177</v>
      </c>
      <c r="FT2" s="4">
        <f t="shared" si="3"/>
        <v>2178</v>
      </c>
      <c r="FU2" s="4">
        <f t="shared" si="3"/>
        <v>2179</v>
      </c>
      <c r="FV2" s="4">
        <f t="shared" si="3"/>
        <v>2180</v>
      </c>
      <c r="FW2" s="4">
        <f t="shared" ref="FW2:HR2" si="4">+FV2+1</f>
        <v>2181</v>
      </c>
      <c r="FX2" s="4">
        <f t="shared" si="4"/>
        <v>2182</v>
      </c>
      <c r="FY2" s="4">
        <f t="shared" si="4"/>
        <v>2183</v>
      </c>
      <c r="FZ2" s="4">
        <f t="shared" si="4"/>
        <v>2184</v>
      </c>
      <c r="GA2" s="4">
        <f t="shared" si="4"/>
        <v>2185</v>
      </c>
      <c r="GB2" s="4">
        <f t="shared" si="4"/>
        <v>2186</v>
      </c>
      <c r="GC2" s="4">
        <f t="shared" si="4"/>
        <v>2187</v>
      </c>
      <c r="GD2" s="4">
        <f t="shared" si="4"/>
        <v>2188</v>
      </c>
      <c r="GE2" s="4">
        <f t="shared" si="4"/>
        <v>2189</v>
      </c>
      <c r="GF2" s="4">
        <f t="shared" si="4"/>
        <v>2190</v>
      </c>
      <c r="GG2" s="4">
        <f t="shared" si="4"/>
        <v>2191</v>
      </c>
      <c r="GH2" s="4">
        <f t="shared" si="4"/>
        <v>2192</v>
      </c>
      <c r="GI2" s="4">
        <f t="shared" si="4"/>
        <v>2193</v>
      </c>
      <c r="GJ2" s="4">
        <f t="shared" si="4"/>
        <v>2194</v>
      </c>
      <c r="GK2" s="4">
        <f t="shared" si="4"/>
        <v>2195</v>
      </c>
      <c r="GL2" s="4">
        <f t="shared" si="4"/>
        <v>2196</v>
      </c>
      <c r="GM2" s="4">
        <f t="shared" si="4"/>
        <v>2197</v>
      </c>
      <c r="GN2" s="4">
        <f t="shared" si="4"/>
        <v>2198</v>
      </c>
      <c r="GO2" s="4">
        <f t="shared" si="4"/>
        <v>2199</v>
      </c>
      <c r="GP2" s="4">
        <f t="shared" si="4"/>
        <v>2200</v>
      </c>
      <c r="GQ2" s="4">
        <f t="shared" si="4"/>
        <v>2201</v>
      </c>
      <c r="GR2" s="4">
        <f t="shared" si="4"/>
        <v>2202</v>
      </c>
      <c r="GS2" s="4">
        <f t="shared" si="4"/>
        <v>2203</v>
      </c>
      <c r="GT2" s="4">
        <f t="shared" si="4"/>
        <v>2204</v>
      </c>
      <c r="GU2" s="4">
        <f t="shared" si="4"/>
        <v>2205</v>
      </c>
      <c r="GV2" s="4">
        <f t="shared" si="4"/>
        <v>2206</v>
      </c>
      <c r="GW2" s="4">
        <f t="shared" si="4"/>
        <v>2207</v>
      </c>
      <c r="GX2" s="4">
        <f t="shared" si="4"/>
        <v>2208</v>
      </c>
      <c r="GY2" s="4">
        <f t="shared" si="4"/>
        <v>2209</v>
      </c>
      <c r="GZ2" s="4">
        <f t="shared" si="4"/>
        <v>2210</v>
      </c>
      <c r="HA2" s="4">
        <f t="shared" si="4"/>
        <v>2211</v>
      </c>
      <c r="HB2" s="4">
        <f t="shared" si="4"/>
        <v>2212</v>
      </c>
      <c r="HC2" s="4">
        <f t="shared" si="4"/>
        <v>2213</v>
      </c>
      <c r="HD2" s="4">
        <f t="shared" si="4"/>
        <v>2214</v>
      </c>
      <c r="HE2" s="4">
        <f t="shared" si="4"/>
        <v>2215</v>
      </c>
      <c r="HF2" s="4">
        <f t="shared" si="4"/>
        <v>2216</v>
      </c>
      <c r="HG2" s="4">
        <f t="shared" si="4"/>
        <v>2217</v>
      </c>
      <c r="HH2" s="4">
        <f t="shared" si="4"/>
        <v>2218</v>
      </c>
      <c r="HI2" s="4">
        <f t="shared" si="4"/>
        <v>2219</v>
      </c>
      <c r="HJ2" s="4">
        <f t="shared" si="4"/>
        <v>2220</v>
      </c>
      <c r="HK2" s="4">
        <f t="shared" si="4"/>
        <v>2221</v>
      </c>
      <c r="HL2" s="4">
        <f t="shared" si="4"/>
        <v>2222</v>
      </c>
      <c r="HM2" s="4">
        <f t="shared" si="4"/>
        <v>2223</v>
      </c>
      <c r="HN2" s="4">
        <f t="shared" si="4"/>
        <v>2224</v>
      </c>
      <c r="HO2" s="4">
        <f t="shared" si="4"/>
        <v>2225</v>
      </c>
      <c r="HP2" s="4">
        <f t="shared" si="4"/>
        <v>2226</v>
      </c>
      <c r="HQ2" s="4">
        <f t="shared" si="4"/>
        <v>2227</v>
      </c>
      <c r="HR2" s="4">
        <f t="shared" si="4"/>
        <v>2228</v>
      </c>
      <c r="HS2" s="4">
        <f t="shared" ref="HS2:HV2" si="5">+HR2+1</f>
        <v>2229</v>
      </c>
      <c r="HT2" s="4">
        <f t="shared" si="5"/>
        <v>2230</v>
      </c>
      <c r="HU2" s="4">
        <f t="shared" si="5"/>
        <v>2231</v>
      </c>
      <c r="HV2" s="4">
        <f t="shared" si="5"/>
        <v>2232</v>
      </c>
      <c r="HW2" s="4">
        <f t="shared" ref="HW2:HY2" si="6">+HV2+1</f>
        <v>2233</v>
      </c>
      <c r="HX2" s="4">
        <f t="shared" si="6"/>
        <v>2234</v>
      </c>
      <c r="HY2" s="4">
        <f t="shared" si="6"/>
        <v>2235</v>
      </c>
    </row>
    <row r="3" spans="2:233" s="4" customFormat="1" x14ac:dyDescent="0.2">
      <c r="B3" s="4" t="s">
        <v>48</v>
      </c>
    </row>
    <row r="4" spans="2:233" s="7" customFormat="1" x14ac:dyDescent="0.2">
      <c r="B4" s="7" t="s">
        <v>46</v>
      </c>
      <c r="C4" s="7">
        <v>25.2</v>
      </c>
      <c r="D4" s="7">
        <v>38.799999999999997</v>
      </c>
      <c r="E4" s="7">
        <v>37.5</v>
      </c>
      <c r="F4" s="7">
        <f>127.7-SUM(C4:E4)</f>
        <v>26.200000000000003</v>
      </c>
      <c r="G4" s="7">
        <v>23.6</v>
      </c>
      <c r="H4" s="7">
        <v>29.1</v>
      </c>
      <c r="I4" s="7">
        <v>37.6</v>
      </c>
      <c r="J4" s="7">
        <f>122.9-SUM(G4:I4)</f>
        <v>32.599999999999994</v>
      </c>
      <c r="K4" s="7">
        <v>20.6</v>
      </c>
      <c r="L4" s="7">
        <v>36.9</v>
      </c>
      <c r="M4" s="7">
        <f>+I4*1.01</f>
        <v>37.975999999999999</v>
      </c>
      <c r="N4" s="7">
        <f>+J4*1.01</f>
        <v>32.925999999999995</v>
      </c>
      <c r="U4" s="7">
        <f>SUM(C4:F4)</f>
        <v>127.7</v>
      </c>
      <c r="V4" s="7">
        <f>SUM(G4:J4)</f>
        <v>122.9</v>
      </c>
    </row>
    <row r="5" spans="2:233" s="7" customFormat="1" x14ac:dyDescent="0.2">
      <c r="B5" s="7" t="s">
        <v>47</v>
      </c>
      <c r="C5" s="7">
        <v>9.7100000000000009</v>
      </c>
      <c r="D5" s="7">
        <v>9.6199999999999992</v>
      </c>
      <c r="E5" s="7">
        <v>9.34</v>
      </c>
      <c r="F5" s="7">
        <v>9.68</v>
      </c>
      <c r="G5" s="7">
        <v>9.82</v>
      </c>
      <c r="H5" s="7">
        <v>9.8800000000000008</v>
      </c>
      <c r="I5" s="7">
        <v>9.98</v>
      </c>
      <c r="J5" s="7">
        <v>10.029999999999999</v>
      </c>
      <c r="K5" s="7">
        <v>10.08</v>
      </c>
      <c r="L5" s="7">
        <v>10.39</v>
      </c>
    </row>
    <row r="6" spans="2:233" s="7" customFormat="1" x14ac:dyDescent="0.2"/>
    <row r="7" spans="2:233" s="7" customFormat="1" x14ac:dyDescent="0.2">
      <c r="B7" s="7" t="s">
        <v>49</v>
      </c>
    </row>
    <row r="8" spans="2:233" s="7" customFormat="1" x14ac:dyDescent="0.2">
      <c r="B8" s="7" t="s">
        <v>46</v>
      </c>
      <c r="C8" s="7">
        <v>17.7</v>
      </c>
      <c r="D8" s="7">
        <v>25.6</v>
      </c>
      <c r="E8" s="7">
        <v>24.4</v>
      </c>
      <c r="F8" s="7">
        <f>82.1-SUM(C8:E8)</f>
        <v>14.400000000000006</v>
      </c>
      <c r="G8" s="7">
        <v>16.100000000000001</v>
      </c>
      <c r="H8" s="7">
        <v>20.9</v>
      </c>
      <c r="I8" s="7">
        <v>22.8</v>
      </c>
      <c r="J8" s="7">
        <f>78.2-SUM(G8:I8)</f>
        <v>18.400000000000006</v>
      </c>
      <c r="K8" s="7">
        <v>16</v>
      </c>
      <c r="L8" s="7">
        <v>21</v>
      </c>
      <c r="M8" s="7">
        <f>+I8*1.01</f>
        <v>23.028000000000002</v>
      </c>
      <c r="N8" s="7">
        <f>+J8*1.01</f>
        <v>18.584000000000007</v>
      </c>
      <c r="U8" s="7">
        <f>SUM(C8:F8)</f>
        <v>82.1</v>
      </c>
      <c r="V8" s="7">
        <f>SUM(G8:J8)</f>
        <v>78.2</v>
      </c>
    </row>
    <row r="9" spans="2:233" s="7" customFormat="1" x14ac:dyDescent="0.2">
      <c r="B9" s="7" t="s">
        <v>47</v>
      </c>
      <c r="C9" s="7">
        <v>3.75</v>
      </c>
      <c r="D9" s="7">
        <v>4.0999999999999996</v>
      </c>
      <c r="E9" s="7">
        <v>3.83</v>
      </c>
      <c r="F9" s="7">
        <v>3.89</v>
      </c>
      <c r="G9" s="7">
        <v>3.6</v>
      </c>
      <c r="H9" s="7" t="s">
        <v>50</v>
      </c>
      <c r="I9" s="7">
        <v>3.74</v>
      </c>
      <c r="J9" s="7">
        <v>3.7</v>
      </c>
      <c r="K9" s="7">
        <v>3.53</v>
      </c>
      <c r="L9" s="7">
        <v>3.99</v>
      </c>
    </row>
    <row r="10" spans="2:233" s="7" customFormat="1" x14ac:dyDescent="0.2"/>
    <row r="11" spans="2:233" s="7" customFormat="1" x14ac:dyDescent="0.2">
      <c r="B11" s="7" t="s">
        <v>51</v>
      </c>
      <c r="C11" s="7">
        <f t="shared" ref="C11:K11" si="7">SUM(C4,C8)</f>
        <v>42.9</v>
      </c>
      <c r="D11" s="7">
        <f t="shared" si="7"/>
        <v>64.400000000000006</v>
      </c>
      <c r="E11" s="7">
        <f t="shared" si="7"/>
        <v>61.9</v>
      </c>
      <c r="F11" s="7">
        <f t="shared" si="7"/>
        <v>40.600000000000009</v>
      </c>
      <c r="G11" s="7">
        <f t="shared" si="7"/>
        <v>39.700000000000003</v>
      </c>
      <c r="H11" s="7">
        <f t="shared" si="7"/>
        <v>50</v>
      </c>
      <c r="I11" s="7">
        <f t="shared" si="7"/>
        <v>60.400000000000006</v>
      </c>
      <c r="J11" s="7">
        <f t="shared" si="7"/>
        <v>51</v>
      </c>
      <c r="K11" s="7">
        <f t="shared" si="7"/>
        <v>36.6</v>
      </c>
      <c r="L11" s="7">
        <f>SUM(L4,L8)</f>
        <v>57.9</v>
      </c>
      <c r="M11" s="7">
        <f>SUM(M4,M8)</f>
        <v>61.004000000000005</v>
      </c>
      <c r="N11" s="7">
        <f>SUM(N4,N8)</f>
        <v>51.510000000000005</v>
      </c>
      <c r="U11" s="7">
        <f>SUM(C11:F11)</f>
        <v>209.8</v>
      </c>
      <c r="V11" s="7">
        <f>SUM(G11:J11)</f>
        <v>201.10000000000002</v>
      </c>
      <c r="W11" s="7">
        <f>+AVERAGE(U11:V11)</f>
        <v>205.45000000000002</v>
      </c>
      <c r="X11" s="7">
        <f>W11*1.01</f>
        <v>207.50450000000001</v>
      </c>
      <c r="Y11" s="7">
        <f t="shared" ref="Y11:AF11" si="8">X11*1.01</f>
        <v>209.579545</v>
      </c>
      <c r="Z11" s="7">
        <f t="shared" si="8"/>
        <v>211.67534044999999</v>
      </c>
      <c r="AA11" s="7">
        <f t="shared" si="8"/>
        <v>213.7920938545</v>
      </c>
      <c r="AB11" s="7">
        <f t="shared" si="8"/>
        <v>215.93001479304499</v>
      </c>
      <c r="AC11" s="7">
        <f t="shared" si="8"/>
        <v>218.08931494097544</v>
      </c>
      <c r="AD11" s="7">
        <f t="shared" si="8"/>
        <v>220.27020809038521</v>
      </c>
      <c r="AE11" s="7">
        <f t="shared" si="8"/>
        <v>222.47291017128907</v>
      </c>
      <c r="AF11" s="7">
        <f t="shared" si="8"/>
        <v>224.69763927300195</v>
      </c>
    </row>
    <row r="12" spans="2:233" s="7" customFormat="1" x14ac:dyDescent="0.2">
      <c r="B12" s="7" t="s">
        <v>52</v>
      </c>
      <c r="C12" s="7">
        <f>AVERAGE(C5,C9)</f>
        <v>6.73</v>
      </c>
      <c r="D12" s="7">
        <f t="shared" ref="D12:L12" si="9">AVERAGE(D5,D9)</f>
        <v>6.8599999999999994</v>
      </c>
      <c r="E12" s="7">
        <f t="shared" si="9"/>
        <v>6.585</v>
      </c>
      <c r="F12" s="7">
        <f t="shared" si="9"/>
        <v>6.7850000000000001</v>
      </c>
      <c r="G12" s="7">
        <f t="shared" si="9"/>
        <v>6.71</v>
      </c>
      <c r="H12" s="7">
        <f t="shared" si="9"/>
        <v>9.8800000000000008</v>
      </c>
      <c r="I12" s="7">
        <f t="shared" si="9"/>
        <v>6.86</v>
      </c>
      <c r="J12" s="7">
        <f t="shared" si="9"/>
        <v>6.8650000000000002</v>
      </c>
      <c r="K12" s="7">
        <f t="shared" si="9"/>
        <v>6.8049999999999997</v>
      </c>
      <c r="L12" s="7">
        <f t="shared" si="9"/>
        <v>7.19</v>
      </c>
    </row>
    <row r="13" spans="2:233" s="7" customFormat="1" x14ac:dyDescent="0.2"/>
    <row r="14" spans="2:233" s="7" customFormat="1" x14ac:dyDescent="0.2">
      <c r="C14" s="7">
        <f t="shared" ref="C14:K14" si="10">+C19/C11</f>
        <v>14.235431235431234</v>
      </c>
      <c r="D14" s="7">
        <f t="shared" si="10"/>
        <v>14.63198757763975</v>
      </c>
      <c r="E14" s="7">
        <f t="shared" si="10"/>
        <v>14.132471728594508</v>
      </c>
      <c r="F14" s="7">
        <f t="shared" si="10"/>
        <v>15.736453201970431</v>
      </c>
      <c r="G14" s="7">
        <f t="shared" si="10"/>
        <v>14.589420654911839</v>
      </c>
      <c r="H14" s="7">
        <f t="shared" si="10"/>
        <v>14.684000000000001</v>
      </c>
      <c r="I14" s="7">
        <f t="shared" si="10"/>
        <v>15.26158940397351</v>
      </c>
      <c r="J14" s="7">
        <f t="shared" si="10"/>
        <v>15.966666666666661</v>
      </c>
      <c r="K14" s="7">
        <f t="shared" si="10"/>
        <v>14.773224043715848</v>
      </c>
      <c r="L14" s="7">
        <f>+L19/L11</f>
        <v>16.243523316062177</v>
      </c>
      <c r="M14" s="7">
        <f>+L14</f>
        <v>16.243523316062177</v>
      </c>
      <c r="N14" s="7">
        <f>+M14</f>
        <v>16.243523316062177</v>
      </c>
      <c r="U14" s="7">
        <f>+U19/U11</f>
        <v>14.61725452812202</v>
      </c>
      <c r="V14" s="7">
        <f>+V19/V11</f>
        <v>15.164097463948282</v>
      </c>
      <c r="W14" s="7">
        <f>+V14*1.01</f>
        <v>15.315738438587765</v>
      </c>
      <c r="X14" s="7">
        <f>+W14*1.01</f>
        <v>15.468895822973643</v>
      </c>
      <c r="Y14" s="7">
        <f t="shared" ref="Y14:AF14" si="11">+X14*1.01</f>
        <v>15.623584781203379</v>
      </c>
      <c r="Z14" s="7">
        <f t="shared" si="11"/>
        <v>15.779820629015413</v>
      </c>
      <c r="AA14" s="7">
        <f t="shared" si="11"/>
        <v>15.937618835305567</v>
      </c>
      <c r="AB14" s="7">
        <f t="shared" si="11"/>
        <v>16.096995023658625</v>
      </c>
      <c r="AC14" s="7">
        <f t="shared" si="11"/>
        <v>16.257964973895213</v>
      </c>
      <c r="AD14" s="7">
        <f t="shared" si="11"/>
        <v>16.420544623634164</v>
      </c>
      <c r="AE14" s="7">
        <f t="shared" si="11"/>
        <v>16.584750069870505</v>
      </c>
      <c r="AF14" s="7">
        <f t="shared" si="11"/>
        <v>16.750597570569212</v>
      </c>
    </row>
    <row r="15" spans="2:233" s="4" customFormat="1" x14ac:dyDescent="0.2"/>
    <row r="16" spans="2:233" x14ac:dyDescent="0.2">
      <c r="B16" s="1" t="s">
        <v>23</v>
      </c>
      <c r="C16" s="1">
        <v>311</v>
      </c>
      <c r="D16" s="1">
        <v>478.4</v>
      </c>
      <c r="E16" s="1">
        <v>443.8</v>
      </c>
      <c r="F16" s="1">
        <f>+U16-SUM(C16:E16)</f>
        <v>322.39999999999986</v>
      </c>
      <c r="G16" s="1">
        <v>289.8</v>
      </c>
      <c r="H16" s="1">
        <v>365.8</v>
      </c>
      <c r="I16" s="1">
        <v>460.4</v>
      </c>
      <c r="J16" s="1">
        <f>+V16-SUM(G16:I16)</f>
        <v>406.5</v>
      </c>
      <c r="K16" s="1">
        <v>264.10000000000002</v>
      </c>
      <c r="L16" s="1">
        <v>467.1</v>
      </c>
      <c r="S16" s="1">
        <v>780</v>
      </c>
      <c r="T16" s="1">
        <v>1246.9000000000001</v>
      </c>
      <c r="U16" s="1">
        <v>1555.6</v>
      </c>
      <c r="V16" s="1">
        <v>1522.5</v>
      </c>
    </row>
    <row r="17" spans="2:32" x14ac:dyDescent="0.2">
      <c r="B17" s="1" t="s">
        <v>24</v>
      </c>
      <c r="C17" s="1">
        <v>235.8</v>
      </c>
      <c r="D17" s="1">
        <v>373.4</v>
      </c>
      <c r="E17" s="1">
        <v>339.8</v>
      </c>
      <c r="F17" s="1">
        <f t="shared" ref="F17:F33" si="12">+U17-SUM(C17:E17)</f>
        <v>243</v>
      </c>
      <c r="G17" s="1">
        <v>224.2</v>
      </c>
      <c r="H17" s="1">
        <v>292.89999999999998</v>
      </c>
      <c r="I17" s="1">
        <v>367.3</v>
      </c>
      <c r="J17" s="1">
        <f t="shared" ref="J17:J33" si="13">+V17-SUM(G17:I17)</f>
        <v>313.40000000000009</v>
      </c>
      <c r="K17" s="1">
        <v>210.4</v>
      </c>
      <c r="L17" s="1">
        <v>377.7</v>
      </c>
      <c r="S17" s="1">
        <v>567.70000000000005</v>
      </c>
      <c r="T17" s="1">
        <v>938.3</v>
      </c>
      <c r="U17" s="1">
        <v>1192</v>
      </c>
      <c r="V17" s="1">
        <v>1197.8</v>
      </c>
    </row>
    <row r="18" spans="2:32" x14ac:dyDescent="0.2">
      <c r="B18" s="1" t="s">
        <v>25</v>
      </c>
      <c r="C18" s="1">
        <v>63.9</v>
      </c>
      <c r="D18" s="1">
        <v>90.5</v>
      </c>
      <c r="E18" s="1">
        <v>91.2</v>
      </c>
      <c r="F18" s="1">
        <f t="shared" si="12"/>
        <v>73.5</v>
      </c>
      <c r="G18" s="1">
        <v>65.2</v>
      </c>
      <c r="H18" s="1">
        <v>75.5</v>
      </c>
      <c r="I18" s="1">
        <v>94.1</v>
      </c>
      <c r="J18" s="1">
        <f t="shared" si="13"/>
        <v>94.4</v>
      </c>
      <c r="K18" s="1">
        <v>66.2</v>
      </c>
      <c r="L18" s="1">
        <v>95.7</v>
      </c>
      <c r="S18" s="1">
        <v>168.8</v>
      </c>
      <c r="T18" s="1">
        <v>269.5</v>
      </c>
      <c r="U18" s="1">
        <v>319.10000000000002</v>
      </c>
      <c r="V18" s="1">
        <v>329.2</v>
      </c>
    </row>
    <row r="19" spans="2:32" s="6" customFormat="1" x14ac:dyDescent="0.2">
      <c r="B19" s="6" t="s">
        <v>26</v>
      </c>
      <c r="C19" s="6">
        <f>+SUM(C16:C18)</f>
        <v>610.69999999999993</v>
      </c>
      <c r="D19" s="6">
        <f>+SUM(D16:D18)</f>
        <v>942.3</v>
      </c>
      <c r="E19" s="6">
        <f>+SUM(E16:E18)</f>
        <v>874.80000000000007</v>
      </c>
      <c r="F19" s="6">
        <f t="shared" si="12"/>
        <v>638.89999999999964</v>
      </c>
      <c r="G19" s="6">
        <f>+SUM(G16:G18)</f>
        <v>579.20000000000005</v>
      </c>
      <c r="H19" s="6">
        <f>+SUM(H16:H18)</f>
        <v>734.2</v>
      </c>
      <c r="I19" s="6">
        <f>+SUM(I16:I18)</f>
        <v>921.80000000000007</v>
      </c>
      <c r="J19" s="6">
        <f t="shared" si="13"/>
        <v>814.29999999999973</v>
      </c>
      <c r="K19" s="6">
        <f>+SUM(K16:K18)</f>
        <v>540.70000000000005</v>
      </c>
      <c r="L19" s="6">
        <f>+SUM(L16:L18)</f>
        <v>940.5</v>
      </c>
      <c r="M19" s="6">
        <f>+M11*M14</f>
        <v>990.9198963730571</v>
      </c>
      <c r="N19" s="6">
        <f>+N11*N14</f>
        <v>836.70388601036279</v>
      </c>
      <c r="S19" s="6">
        <f>+SUM(S16:S18)</f>
        <v>1516.5</v>
      </c>
      <c r="T19" s="6">
        <f>+SUM(T16:T18)</f>
        <v>2454.6999999999998</v>
      </c>
      <c r="U19" s="6">
        <f>+SUM(U16:U18)</f>
        <v>3066.7</v>
      </c>
      <c r="V19" s="6">
        <f>+SUM(V16:V18)</f>
        <v>3049.5</v>
      </c>
      <c r="W19" s="6">
        <f>+W11*W14</f>
        <v>3146.6184622078567</v>
      </c>
      <c r="X19" s="6">
        <f t="shared" ref="X19:AF19" si="14">+X11*X14</f>
        <v>3209.8654932982345</v>
      </c>
      <c r="Y19" s="6">
        <f t="shared" si="14"/>
        <v>3274.3837897135286</v>
      </c>
      <c r="Z19" s="6">
        <f t="shared" si="14"/>
        <v>3340.1989038867705</v>
      </c>
      <c r="AA19" s="6">
        <f t="shared" si="14"/>
        <v>3407.3369018548947</v>
      </c>
      <c r="AB19" s="6">
        <f t="shared" si="14"/>
        <v>3475.8243735821784</v>
      </c>
      <c r="AC19" s="6">
        <f t="shared" si="14"/>
        <v>3545.6884434911808</v>
      </c>
      <c r="AD19" s="6">
        <f t="shared" si="14"/>
        <v>3616.9567812053533</v>
      </c>
      <c r="AE19" s="6">
        <f t="shared" si="14"/>
        <v>3689.6576125075812</v>
      </c>
      <c r="AF19" s="6">
        <f t="shared" si="14"/>
        <v>3763.8197305189838</v>
      </c>
    </row>
    <row r="20" spans="2:32" x14ac:dyDescent="0.2">
      <c r="B20" s="1" t="s">
        <v>27</v>
      </c>
      <c r="C20" s="1">
        <v>166.7</v>
      </c>
      <c r="D20" s="1">
        <v>278</v>
      </c>
      <c r="E20" s="1">
        <v>248.2</v>
      </c>
      <c r="F20" s="1">
        <f t="shared" si="12"/>
        <v>172.80000000000007</v>
      </c>
      <c r="G20" s="1">
        <v>154.30000000000001</v>
      </c>
      <c r="H20" s="1">
        <v>204</v>
      </c>
      <c r="I20" s="1">
        <v>265.60000000000002</v>
      </c>
      <c r="J20" s="1">
        <f t="shared" si="13"/>
        <v>235.69999999999993</v>
      </c>
      <c r="K20" s="1">
        <v>141.4</v>
      </c>
      <c r="L20" s="1">
        <v>270.8</v>
      </c>
      <c r="M20" s="1">
        <f t="shared" ref="M20:N25" si="15">+M$19*(I20/I$19)</f>
        <v>285.51564816303318</v>
      </c>
      <c r="N20" s="1">
        <f t="shared" si="15"/>
        <v>242.18482860449774</v>
      </c>
      <c r="S20" s="1">
        <v>415</v>
      </c>
      <c r="T20" s="1">
        <v>704.4</v>
      </c>
      <c r="U20" s="1">
        <v>865.7</v>
      </c>
      <c r="V20" s="1">
        <v>859.6</v>
      </c>
      <c r="W20" s="1">
        <f>SUM(K20:N20)</f>
        <v>939.9004767675309</v>
      </c>
      <c r="X20" s="1">
        <f t="shared" ref="X20:X25" si="16">+X$19*(W20/W$19)</f>
        <v>958.79247635055833</v>
      </c>
      <c r="Y20" s="1">
        <f t="shared" ref="Y20:AF20" si="17">+Y$19*(X20/X$19)</f>
        <v>978.06420512520435</v>
      </c>
      <c r="Z20" s="1">
        <f t="shared" si="17"/>
        <v>997.72329564822098</v>
      </c>
      <c r="AA20" s="1">
        <f t="shared" si="17"/>
        <v>1017.7775338907503</v>
      </c>
      <c r="AB20" s="1">
        <f t="shared" si="17"/>
        <v>1038.2348623219546</v>
      </c>
      <c r="AC20" s="1">
        <f t="shared" si="17"/>
        <v>1059.1033830546262</v>
      </c>
      <c r="AD20" s="1">
        <f t="shared" si="17"/>
        <v>1080.3913610540239</v>
      </c>
      <c r="AE20" s="1">
        <f t="shared" si="17"/>
        <v>1102.10722741121</v>
      </c>
      <c r="AF20" s="1">
        <f t="shared" si="17"/>
        <v>1124.2595826821753</v>
      </c>
    </row>
    <row r="21" spans="2:32" x14ac:dyDescent="0.2">
      <c r="B21" s="1" t="s">
        <v>28</v>
      </c>
      <c r="C21" s="1">
        <v>43.6</v>
      </c>
      <c r="D21" s="1">
        <v>67.400000000000006</v>
      </c>
      <c r="E21" s="1">
        <v>63</v>
      </c>
      <c r="F21" s="1">
        <f t="shared" si="12"/>
        <v>47.300000000000011</v>
      </c>
      <c r="G21" s="1">
        <v>44</v>
      </c>
      <c r="H21" s="1">
        <v>56.6</v>
      </c>
      <c r="I21" s="1">
        <v>64.5</v>
      </c>
      <c r="J21" s="1">
        <f t="shared" si="13"/>
        <v>60.300000000000011</v>
      </c>
      <c r="K21" s="1">
        <v>44.3</v>
      </c>
      <c r="L21" s="1">
        <v>73.099999999999994</v>
      </c>
      <c r="M21" s="1">
        <f t="shared" si="15"/>
        <v>69.336443172122131</v>
      </c>
      <c r="N21" s="1">
        <f t="shared" si="15"/>
        <v>61.959037610739166</v>
      </c>
      <c r="S21" s="1">
        <v>97.9</v>
      </c>
      <c r="T21" s="1">
        <v>169.3</v>
      </c>
      <c r="U21" s="1">
        <v>221.3</v>
      </c>
      <c r="V21" s="1">
        <v>225.4</v>
      </c>
      <c r="W21" s="1">
        <f t="shared" ref="W21:W33" si="18">SUM(K21:N21)</f>
        <v>248.69548078286127</v>
      </c>
      <c r="X21" s="1">
        <f t="shared" si="16"/>
        <v>253.69425994659676</v>
      </c>
      <c r="Y21" s="1">
        <f t="shared" ref="Y21:AF21" si="19">+Y$19*(X21/X$19)</f>
        <v>258.7935145715233</v>
      </c>
      <c r="Z21" s="1">
        <f t="shared" si="19"/>
        <v>263.99526421441089</v>
      </c>
      <c r="AA21" s="1">
        <f t="shared" si="19"/>
        <v>269.30156902512056</v>
      </c>
      <c r="AB21" s="1">
        <f t="shared" si="19"/>
        <v>274.71453056252551</v>
      </c>
      <c r="AC21" s="1">
        <f t="shared" si="19"/>
        <v>280.23629262683232</v>
      </c>
      <c r="AD21" s="1">
        <f t="shared" si="19"/>
        <v>285.86904210863162</v>
      </c>
      <c r="AE21" s="1">
        <f t="shared" si="19"/>
        <v>291.61500985501516</v>
      </c>
      <c r="AF21" s="1">
        <f t="shared" si="19"/>
        <v>297.47647155310096</v>
      </c>
    </row>
    <row r="22" spans="2:32" x14ac:dyDescent="0.2">
      <c r="B22" s="1" t="s">
        <v>29</v>
      </c>
      <c r="C22" s="1">
        <v>86.2</v>
      </c>
      <c r="D22" s="1">
        <v>112.1</v>
      </c>
      <c r="E22" s="1">
        <v>107.9</v>
      </c>
      <c r="F22" s="1">
        <f t="shared" si="12"/>
        <v>96.899999999999977</v>
      </c>
      <c r="G22" s="1">
        <v>86.9</v>
      </c>
      <c r="H22" s="1">
        <v>97.3</v>
      </c>
      <c r="I22" s="1">
        <v>109.9</v>
      </c>
      <c r="J22" s="1">
        <f t="shared" si="13"/>
        <v>107.69999999999999</v>
      </c>
      <c r="K22" s="1">
        <v>90.3</v>
      </c>
      <c r="L22" s="1">
        <v>109.4</v>
      </c>
      <c r="M22" s="1">
        <f t="shared" si="15"/>
        <v>118.14069929637554</v>
      </c>
      <c r="N22" s="1">
        <f t="shared" si="15"/>
        <v>110.66315672763857</v>
      </c>
      <c r="S22" s="1">
        <v>232.9</v>
      </c>
      <c r="T22" s="1">
        <v>372.7</v>
      </c>
      <c r="U22" s="1">
        <v>403.1</v>
      </c>
      <c r="V22" s="1">
        <v>401.8</v>
      </c>
      <c r="W22" s="1">
        <f t="shared" si="18"/>
        <v>428.50385602401411</v>
      </c>
      <c r="X22" s="1">
        <f t="shared" si="16"/>
        <v>437.11678353009682</v>
      </c>
      <c r="Y22" s="1">
        <f t="shared" ref="Y22:AF22" si="20">+Y$19*(X22/X$19)</f>
        <v>445.90283087905169</v>
      </c>
      <c r="Z22" s="1">
        <f t="shared" si="20"/>
        <v>454.86547777972066</v>
      </c>
      <c r="AA22" s="1">
        <f t="shared" si="20"/>
        <v>464.00827388309301</v>
      </c>
      <c r="AB22" s="1">
        <f t="shared" si="20"/>
        <v>473.33484018814323</v>
      </c>
      <c r="AC22" s="1">
        <f t="shared" si="20"/>
        <v>482.84887047592503</v>
      </c>
      <c r="AD22" s="1">
        <f t="shared" si="20"/>
        <v>492.55413277249107</v>
      </c>
      <c r="AE22" s="1">
        <f t="shared" si="20"/>
        <v>502.45447084121821</v>
      </c>
      <c r="AF22" s="1">
        <f t="shared" si="20"/>
        <v>512.55380570512671</v>
      </c>
    </row>
    <row r="23" spans="2:32" x14ac:dyDescent="0.2">
      <c r="B23" s="1" t="s">
        <v>30</v>
      </c>
      <c r="C23" s="1">
        <v>79.5</v>
      </c>
      <c r="D23" s="1">
        <v>87</v>
      </c>
      <c r="E23" s="1">
        <v>84.4</v>
      </c>
      <c r="F23" s="1">
        <f t="shared" si="12"/>
        <v>78.799999999999983</v>
      </c>
      <c r="G23" s="1">
        <v>77.3</v>
      </c>
      <c r="H23" s="1">
        <v>1.5</v>
      </c>
      <c r="I23" s="1">
        <v>85.9</v>
      </c>
      <c r="J23" s="1">
        <f t="shared" si="13"/>
        <v>160.60000000000002</v>
      </c>
      <c r="K23" s="1">
        <v>78.3</v>
      </c>
      <c r="L23" s="1">
        <v>82.9</v>
      </c>
      <c r="M23" s="1">
        <f t="shared" si="15"/>
        <v>92.341092534655672</v>
      </c>
      <c r="N23" s="1">
        <f t="shared" si="15"/>
        <v>165.01859768299684</v>
      </c>
      <c r="S23" s="1">
        <v>280</v>
      </c>
      <c r="T23" s="1">
        <v>308.3</v>
      </c>
      <c r="U23" s="1">
        <v>329.7</v>
      </c>
      <c r="V23" s="1">
        <v>325.3</v>
      </c>
      <c r="W23" s="1">
        <f t="shared" si="18"/>
        <v>418.55969021765247</v>
      </c>
      <c r="X23" s="1">
        <f t="shared" si="16"/>
        <v>426.97273999102731</v>
      </c>
      <c r="Y23" s="1">
        <f t="shared" ref="Y23:AF23" si="21">+Y$19*(X23/X$19)</f>
        <v>435.55489206484685</v>
      </c>
      <c r="Z23" s="1">
        <f t="shared" si="21"/>
        <v>444.30954539535031</v>
      </c>
      <c r="AA23" s="1">
        <f t="shared" si="21"/>
        <v>453.24016725779683</v>
      </c>
      <c r="AB23" s="1">
        <f t="shared" si="21"/>
        <v>462.35029461967861</v>
      </c>
      <c r="AC23" s="1">
        <f t="shared" si="21"/>
        <v>471.64353554153422</v>
      </c>
      <c r="AD23" s="1">
        <f t="shared" si="21"/>
        <v>481.12357060591904</v>
      </c>
      <c r="AE23" s="1">
        <f t="shared" si="21"/>
        <v>490.79415437509806</v>
      </c>
      <c r="AF23" s="1">
        <f t="shared" si="21"/>
        <v>500.65911687803754</v>
      </c>
    </row>
    <row r="24" spans="2:32" x14ac:dyDescent="0.2">
      <c r="B24" s="1" t="s">
        <v>31</v>
      </c>
      <c r="C24" s="1">
        <v>103.8</v>
      </c>
      <c r="D24" s="1">
        <v>120.2</v>
      </c>
      <c r="E24" s="1" t="s">
        <v>42</v>
      </c>
      <c r="F24" s="1">
        <f t="shared" si="12"/>
        <v>242.8</v>
      </c>
      <c r="G24" s="1">
        <v>100.4</v>
      </c>
      <c r="H24" s="1">
        <v>104.7</v>
      </c>
      <c r="I24" s="1">
        <v>127</v>
      </c>
      <c r="J24" s="1">
        <f t="shared" si="13"/>
        <v>127.29999999999995</v>
      </c>
      <c r="K24" s="1">
        <v>105.7</v>
      </c>
      <c r="L24" s="1">
        <v>124.7</v>
      </c>
      <c r="M24" s="1">
        <f t="shared" si="15"/>
        <v>136.52291911410094</v>
      </c>
      <c r="N24" s="1">
        <f t="shared" si="15"/>
        <v>130.8024127337826</v>
      </c>
      <c r="S24" s="1">
        <v>282.89999999999998</v>
      </c>
      <c r="T24" s="1">
        <v>407.2</v>
      </c>
      <c r="U24" s="1">
        <v>466.8</v>
      </c>
      <c r="V24" s="1">
        <v>459.4</v>
      </c>
      <c r="W24" s="1">
        <f t="shared" si="18"/>
        <v>497.72533184788358</v>
      </c>
      <c r="X24" s="1">
        <f t="shared" si="16"/>
        <v>507.72961101802599</v>
      </c>
      <c r="Y24" s="1">
        <f t="shared" ref="Y24:AF24" si="22">+Y$19*(X24/X$19)</f>
        <v>517.93497619948823</v>
      </c>
      <c r="Z24" s="1">
        <f t="shared" si="22"/>
        <v>528.34546922109803</v>
      </c>
      <c r="AA24" s="1">
        <f t="shared" si="22"/>
        <v>538.96521315244217</v>
      </c>
      <c r="AB24" s="1">
        <f t="shared" si="22"/>
        <v>549.79841393680624</v>
      </c>
      <c r="AC24" s="1">
        <f t="shared" si="22"/>
        <v>560.84936205693612</v>
      </c>
      <c r="AD24" s="1">
        <f t="shared" si="22"/>
        <v>572.12243423428049</v>
      </c>
      <c r="AE24" s="1">
        <f t="shared" si="22"/>
        <v>583.62209516238954</v>
      </c>
      <c r="AF24" s="1">
        <f t="shared" si="22"/>
        <v>595.35289927515362</v>
      </c>
    </row>
    <row r="25" spans="2:32" x14ac:dyDescent="0.2">
      <c r="B25" s="1" t="s">
        <v>32</v>
      </c>
      <c r="C25" s="1">
        <v>46.5</v>
      </c>
      <c r="D25" s="1">
        <v>50</v>
      </c>
      <c r="E25" s="1">
        <v>48.2</v>
      </c>
      <c r="F25" s="1">
        <f t="shared" si="12"/>
        <v>54.100000000000023</v>
      </c>
      <c r="G25" s="1">
        <v>48.9</v>
      </c>
      <c r="H25" s="1">
        <v>55.7</v>
      </c>
      <c r="I25" s="1">
        <v>56.4</v>
      </c>
      <c r="J25" s="1">
        <f t="shared" si="13"/>
        <v>57.099999999999994</v>
      </c>
      <c r="K25" s="1">
        <v>54.5</v>
      </c>
      <c r="L25" s="1">
        <v>54.1</v>
      </c>
      <c r="M25" s="1">
        <f t="shared" si="15"/>
        <v>60.629075890041676</v>
      </c>
      <c r="N25" s="1">
        <f t="shared" si="15"/>
        <v>58.670995813817669</v>
      </c>
      <c r="S25" s="1">
        <v>161.1</v>
      </c>
      <c r="T25" s="1">
        <v>177.6</v>
      </c>
      <c r="U25" s="1">
        <v>198.8</v>
      </c>
      <c r="V25" s="1">
        <v>218.1</v>
      </c>
      <c r="W25" s="1">
        <f t="shared" si="18"/>
        <v>227.90007170385934</v>
      </c>
      <c r="X25" s="1">
        <f t="shared" si="16"/>
        <v>232.48086314510689</v>
      </c>
      <c r="Y25" s="1">
        <f t="shared" ref="Y25:AF25" si="23">+Y$19*(X25/X$19)</f>
        <v>237.15372849432353</v>
      </c>
      <c r="Z25" s="1">
        <f t="shared" si="23"/>
        <v>241.92051843705943</v>
      </c>
      <c r="AA25" s="1">
        <f t="shared" si="23"/>
        <v>246.78312085764432</v>
      </c>
      <c r="AB25" s="1">
        <f t="shared" si="23"/>
        <v>251.743461586883</v>
      </c>
      <c r="AC25" s="1">
        <f t="shared" si="23"/>
        <v>256.80350516477938</v>
      </c>
      <c r="AD25" s="1">
        <f t="shared" si="23"/>
        <v>261.96525561859141</v>
      </c>
      <c r="AE25" s="1">
        <f t="shared" si="23"/>
        <v>267.23075725652512</v>
      </c>
      <c r="AF25" s="1">
        <f t="shared" si="23"/>
        <v>272.60209547738128</v>
      </c>
    </row>
    <row r="26" spans="2:32" x14ac:dyDescent="0.2">
      <c r="B26" s="1" t="s">
        <v>33</v>
      </c>
      <c r="C26" s="1">
        <f>+C19-SUM(C20:C25)</f>
        <v>84.399999999999977</v>
      </c>
      <c r="D26" s="1">
        <f>+D19-SUM(D20:D25)</f>
        <v>227.59999999999991</v>
      </c>
      <c r="E26" s="1">
        <f>+E19-SUM(E20:E25)</f>
        <v>323.10000000000002</v>
      </c>
      <c r="F26" s="1">
        <f t="shared" si="12"/>
        <v>-53.800000000000182</v>
      </c>
      <c r="G26" s="1">
        <f>+G19-SUM(G20:G25)</f>
        <v>67.399999999999977</v>
      </c>
      <c r="H26" s="1">
        <f>+H19-SUM(H20:H25)</f>
        <v>214.39999999999998</v>
      </c>
      <c r="I26" s="1">
        <f>+I19-SUM(I20:I25)</f>
        <v>212.50000000000011</v>
      </c>
      <c r="J26" s="1">
        <f t="shared" si="13"/>
        <v>65.600000000000023</v>
      </c>
      <c r="K26" s="1">
        <f>+K19-SUM(K20:K25)</f>
        <v>26.200000000000045</v>
      </c>
      <c r="L26" s="1">
        <f>+L19-SUM(L20:L25)</f>
        <v>225.5</v>
      </c>
      <c r="M26" s="1">
        <f>+M19-SUM(M20:M25)</f>
        <v>228.434018202728</v>
      </c>
      <c r="N26" s="1">
        <f>+N19-SUM(N20:N25)</f>
        <v>67.40485683689019</v>
      </c>
      <c r="S26" s="1">
        <f>+S19-SUM(S20:S25)</f>
        <v>46.700000000000273</v>
      </c>
      <c r="T26" s="1">
        <f>+T19-SUM(T20:T25)</f>
        <v>315.19999999999982</v>
      </c>
      <c r="U26" s="1">
        <f>+U19-SUM(U20:U25)</f>
        <v>581.29999999999973</v>
      </c>
      <c r="V26" s="1">
        <f>+V19-SUM(V20:V25)</f>
        <v>559.90000000000009</v>
      </c>
      <c r="W26" s="1">
        <f t="shared" si="18"/>
        <v>547.53887503961823</v>
      </c>
      <c r="X26" s="1">
        <f>+X19-SUM(X20:X25)</f>
        <v>393.07875931682247</v>
      </c>
      <c r="Y26" s="1">
        <f t="shared" ref="Y26:AF26" si="24">+Y19-SUM(Y20:Y25)</f>
        <v>400.97964237909082</v>
      </c>
      <c r="Z26" s="1">
        <f t="shared" si="24"/>
        <v>409.03933319091038</v>
      </c>
      <c r="AA26" s="1">
        <f t="shared" si="24"/>
        <v>417.26102378804762</v>
      </c>
      <c r="AB26" s="1">
        <f t="shared" si="24"/>
        <v>425.64797036618711</v>
      </c>
      <c r="AC26" s="1">
        <f t="shared" si="24"/>
        <v>434.20349457054726</v>
      </c>
      <c r="AD26" s="1">
        <f t="shared" si="24"/>
        <v>442.93098481141533</v>
      </c>
      <c r="AE26" s="1">
        <f t="shared" si="24"/>
        <v>451.83389760612499</v>
      </c>
      <c r="AF26" s="1">
        <f t="shared" si="24"/>
        <v>460.91575894800872</v>
      </c>
    </row>
    <row r="27" spans="2:32" x14ac:dyDescent="0.2">
      <c r="B27" s="1" t="s">
        <v>34</v>
      </c>
      <c r="C27" s="1">
        <v>-36.799999999999997</v>
      </c>
      <c r="D27" s="1">
        <v>-37.1</v>
      </c>
      <c r="E27" s="1">
        <v>-38.1</v>
      </c>
      <c r="F27" s="1">
        <f t="shared" si="12"/>
        <v>-38.400000000000006</v>
      </c>
      <c r="G27" s="1">
        <v>-37.700000000000003</v>
      </c>
      <c r="H27" s="1">
        <v>-34.6</v>
      </c>
      <c r="I27" s="1">
        <v>-36.700000000000003</v>
      </c>
      <c r="J27" s="1">
        <f t="shared" si="13"/>
        <v>-34.999999999999986</v>
      </c>
      <c r="K27" s="1">
        <v>-38.5</v>
      </c>
      <c r="L27" s="1">
        <v>-39.4</v>
      </c>
      <c r="M27" s="1">
        <f>+M$19*(I27/I$19)</f>
        <v>-39.451898673129961</v>
      </c>
      <c r="N27" s="1">
        <f>+N$19*(J27/J$19)</f>
        <v>-35.962957153828683</v>
      </c>
      <c r="S27" s="1">
        <v>-149.69999999999999</v>
      </c>
      <c r="T27" s="1">
        <v>-155.30000000000001</v>
      </c>
      <c r="U27" s="1">
        <v>-150.4</v>
      </c>
      <c r="V27" s="1">
        <v>-144</v>
      </c>
      <c r="W27" s="1">
        <f t="shared" si="18"/>
        <v>-153.31485582695865</v>
      </c>
      <c r="X27" s="1">
        <f>+W27</f>
        <v>-153.31485582695865</v>
      </c>
      <c r="Y27" s="1">
        <f t="shared" ref="Y27:AF27" si="25">+X27</f>
        <v>-153.31485582695865</v>
      </c>
      <c r="Z27" s="1">
        <f t="shared" si="25"/>
        <v>-153.31485582695865</v>
      </c>
      <c r="AA27" s="1">
        <f t="shared" si="25"/>
        <v>-153.31485582695865</v>
      </c>
      <c r="AB27" s="1">
        <f t="shared" si="25"/>
        <v>-153.31485582695865</v>
      </c>
      <c r="AC27" s="1">
        <f t="shared" si="25"/>
        <v>-153.31485582695865</v>
      </c>
      <c r="AD27" s="1">
        <f t="shared" si="25"/>
        <v>-153.31485582695865</v>
      </c>
      <c r="AE27" s="1">
        <f t="shared" si="25"/>
        <v>-153.31485582695865</v>
      </c>
      <c r="AF27" s="1">
        <f t="shared" si="25"/>
        <v>-153.31485582695865</v>
      </c>
    </row>
    <row r="28" spans="2:32" x14ac:dyDescent="0.2">
      <c r="B28" s="1" t="s">
        <v>35</v>
      </c>
      <c r="C28" s="1">
        <v>11.9</v>
      </c>
      <c r="D28" s="1">
        <v>13</v>
      </c>
      <c r="E28" s="1">
        <v>15.3</v>
      </c>
      <c r="F28" s="1">
        <f t="shared" si="12"/>
        <v>14.799999999999997</v>
      </c>
      <c r="G28" s="1">
        <v>13.6</v>
      </c>
      <c r="H28" s="1">
        <v>12.5</v>
      </c>
      <c r="I28" s="1">
        <v>14.2</v>
      </c>
      <c r="J28" s="1">
        <f t="shared" si="13"/>
        <v>12.900000000000006</v>
      </c>
      <c r="K28" s="1">
        <v>12</v>
      </c>
      <c r="L28" s="1">
        <v>11.2</v>
      </c>
      <c r="M28" s="1">
        <f>+M$19*(I28/I$19)</f>
        <v>15.264767334017584</v>
      </c>
      <c r="N28" s="1">
        <f>+N$19*(J28/J$19)</f>
        <v>13.254918493839725</v>
      </c>
      <c r="S28" s="1">
        <v>6.4</v>
      </c>
      <c r="T28" s="1">
        <v>20.399999999999999</v>
      </c>
      <c r="U28" s="1">
        <v>55</v>
      </c>
      <c r="V28" s="1">
        <v>53.2</v>
      </c>
      <c r="W28" s="1">
        <f t="shared" si="18"/>
        <v>51.719685827857305</v>
      </c>
      <c r="X28" s="1">
        <f>+W28</f>
        <v>51.719685827857305</v>
      </c>
      <c r="Y28" s="1">
        <f t="shared" ref="Y28:AF28" si="26">+X28</f>
        <v>51.719685827857305</v>
      </c>
      <c r="Z28" s="1">
        <f t="shared" si="26"/>
        <v>51.719685827857305</v>
      </c>
      <c r="AA28" s="1">
        <f t="shared" si="26"/>
        <v>51.719685827857305</v>
      </c>
      <c r="AB28" s="1">
        <f t="shared" si="26"/>
        <v>51.719685827857305</v>
      </c>
      <c r="AC28" s="1">
        <f t="shared" si="26"/>
        <v>51.719685827857305</v>
      </c>
      <c r="AD28" s="1">
        <f t="shared" si="26"/>
        <v>51.719685827857305</v>
      </c>
      <c r="AE28" s="1">
        <f t="shared" si="26"/>
        <v>51.719685827857305</v>
      </c>
      <c r="AF28" s="1">
        <f t="shared" si="26"/>
        <v>51.719685827857305</v>
      </c>
    </row>
    <row r="29" spans="2:32" x14ac:dyDescent="0.2">
      <c r="B29" s="1" t="s">
        <v>36</v>
      </c>
    </row>
    <row r="30" spans="2:32" x14ac:dyDescent="0.2">
      <c r="B30" s="1" t="s">
        <v>37</v>
      </c>
    </row>
    <row r="31" spans="2:32" x14ac:dyDescent="0.2">
      <c r="B31" s="1" t="s">
        <v>38</v>
      </c>
      <c r="C31" s="1">
        <f>+SUM(C26:C30)</f>
        <v>59.499999999999979</v>
      </c>
      <c r="D31" s="1">
        <f>+SUM(D26:D30)</f>
        <v>203.49999999999991</v>
      </c>
      <c r="E31" s="1">
        <f>+SUM(E26:E30)</f>
        <v>300.3</v>
      </c>
      <c r="F31" s="1">
        <f t="shared" si="12"/>
        <v>-77.400000000000205</v>
      </c>
      <c r="G31" s="1">
        <f>+SUM(G26:G30)</f>
        <v>43.299999999999976</v>
      </c>
      <c r="H31" s="1">
        <f>+SUM(H26:H30)</f>
        <v>192.29999999999998</v>
      </c>
      <c r="I31" s="1">
        <f>+SUM(I26:I30)</f>
        <v>190.00000000000011</v>
      </c>
      <c r="J31" s="1">
        <f t="shared" si="13"/>
        <v>43.5</v>
      </c>
      <c r="K31" s="1">
        <f>+SUM(K26:K30)</f>
        <v>-0.29999999999995453</v>
      </c>
      <c r="L31" s="1">
        <f>+SUM(L26:L30)</f>
        <v>197.29999999999998</v>
      </c>
      <c r="M31" s="1">
        <f>+SUM(M26:M30)</f>
        <v>204.24688686361563</v>
      </c>
      <c r="N31" s="1">
        <f>+SUM(N26:N30)</f>
        <v>44.696818176901232</v>
      </c>
      <c r="S31" s="1">
        <f>+SUM(S26:S30)</f>
        <v>-96.59999999999971</v>
      </c>
      <c r="T31" s="1">
        <f>+SUM(T26:T30)</f>
        <v>180.29999999999981</v>
      </c>
      <c r="U31" s="1">
        <f>+SUM(U26:U30)</f>
        <v>485.89999999999975</v>
      </c>
      <c r="V31" s="1">
        <f>+SUM(V26:V30)</f>
        <v>469.10000000000008</v>
      </c>
      <c r="W31" s="1">
        <f t="shared" si="18"/>
        <v>445.94370504051687</v>
      </c>
      <c r="X31" s="1">
        <f>+SUM(X26:X30)</f>
        <v>291.48358931772111</v>
      </c>
      <c r="Y31" s="1">
        <f t="shared" ref="Y31:AF31" si="27">+SUM(Y26:Y30)</f>
        <v>299.38447237998946</v>
      </c>
      <c r="Z31" s="1">
        <f t="shared" si="27"/>
        <v>307.44416319180903</v>
      </c>
      <c r="AA31" s="1">
        <f t="shared" si="27"/>
        <v>315.66585378894627</v>
      </c>
      <c r="AB31" s="1">
        <f t="shared" si="27"/>
        <v>324.05280036708575</v>
      </c>
      <c r="AC31" s="1">
        <f t="shared" si="27"/>
        <v>332.60832457144591</v>
      </c>
      <c r="AD31" s="1">
        <f t="shared" si="27"/>
        <v>341.33581481231397</v>
      </c>
      <c r="AE31" s="1">
        <f t="shared" si="27"/>
        <v>350.23872760702363</v>
      </c>
      <c r="AF31" s="1">
        <f t="shared" si="27"/>
        <v>359.32058894890736</v>
      </c>
    </row>
    <row r="32" spans="2:32" x14ac:dyDescent="0.2">
      <c r="B32" s="1" t="s">
        <v>39</v>
      </c>
      <c r="C32" s="1">
        <v>-3.9</v>
      </c>
      <c r="D32" s="1">
        <v>12.3</v>
      </c>
      <c r="E32" s="1">
        <v>21.4</v>
      </c>
      <c r="F32" s="1">
        <f t="shared" si="12"/>
        <v>0.10000000000000142</v>
      </c>
      <c r="G32" s="1">
        <v>-27.7</v>
      </c>
      <c r="H32" s="1">
        <v>-0.9</v>
      </c>
      <c r="I32" s="1">
        <v>-42.7</v>
      </c>
      <c r="J32" s="1">
        <f t="shared" si="13"/>
        <v>11.199999999999996</v>
      </c>
      <c r="K32" s="1">
        <v>0.3</v>
      </c>
      <c r="L32" s="1">
        <v>42.5</v>
      </c>
      <c r="M32" s="1">
        <f>+M31*0.21</f>
        <v>42.891846241359282</v>
      </c>
      <c r="N32" s="1">
        <f>+N31*0.21</f>
        <v>9.3863318171492587</v>
      </c>
      <c r="S32" s="1">
        <v>-16.8</v>
      </c>
      <c r="T32" s="1">
        <v>3</v>
      </c>
      <c r="U32" s="1">
        <v>29.9</v>
      </c>
      <c r="V32" s="1">
        <v>-60.1</v>
      </c>
      <c r="W32" s="1">
        <f t="shared" si="18"/>
        <v>95.078178058508541</v>
      </c>
      <c r="X32" s="1">
        <f>+X31*(W32/W31)</f>
        <v>62.14624916336804</v>
      </c>
      <c r="Y32" s="1">
        <f t="shared" ref="Y32:AF32" si="28">+Y31*(X32/X31)</f>
        <v>63.830770232110453</v>
      </c>
      <c r="Z32" s="1">
        <f t="shared" si="28"/>
        <v>65.549150174334514</v>
      </c>
      <c r="AA32" s="1">
        <f t="shared" si="28"/>
        <v>67.302069553397288</v>
      </c>
      <c r="AB32" s="1">
        <f t="shared" si="28"/>
        <v>69.090222611979186</v>
      </c>
      <c r="AC32" s="1">
        <f t="shared" si="28"/>
        <v>70.914317547038593</v>
      </c>
      <c r="AD32" s="1">
        <f t="shared" si="28"/>
        <v>72.775076790292758</v>
      </c>
      <c r="AE32" s="1">
        <f t="shared" si="28"/>
        <v>74.67323729433636</v>
      </c>
      <c r="AF32" s="1">
        <f t="shared" si="28"/>
        <v>76.609550824511317</v>
      </c>
    </row>
    <row r="33" spans="2:233" s="6" customFormat="1" x14ac:dyDescent="0.2">
      <c r="B33" s="6" t="s">
        <v>40</v>
      </c>
      <c r="C33" s="6">
        <f>+C31-C32</f>
        <v>63.399999999999977</v>
      </c>
      <c r="D33" s="6">
        <f>+D31-D32</f>
        <v>191.1999999999999</v>
      </c>
      <c r="E33" s="6">
        <f>+E31-E32</f>
        <v>278.90000000000003</v>
      </c>
      <c r="F33" s="6">
        <f t="shared" si="12"/>
        <v>-77.500000000000114</v>
      </c>
      <c r="G33" s="6">
        <f>+G31-G32</f>
        <v>70.999999999999972</v>
      </c>
      <c r="H33" s="6">
        <f>+H31-H32</f>
        <v>193.2</v>
      </c>
      <c r="I33" s="6">
        <f>+I31-I32</f>
        <v>232.7000000000001</v>
      </c>
      <c r="J33" s="6">
        <f t="shared" si="13"/>
        <v>32.300000000000011</v>
      </c>
      <c r="K33" s="6">
        <f>+K31-K32</f>
        <v>-0.59999999999995457</v>
      </c>
      <c r="L33" s="6">
        <f>+L31-L32</f>
        <v>154.79999999999998</v>
      </c>
      <c r="M33" s="6">
        <f>+M31-M32</f>
        <v>161.35504062225635</v>
      </c>
      <c r="N33" s="6">
        <f>+N31-N32</f>
        <v>35.310486359751977</v>
      </c>
      <c r="S33" s="6">
        <f>+S31-S32</f>
        <v>-79.799999999999713</v>
      </c>
      <c r="T33" s="6">
        <f>+T31-T32</f>
        <v>177.29999999999981</v>
      </c>
      <c r="U33" s="6">
        <f>+U31-U32</f>
        <v>455.99999999999977</v>
      </c>
      <c r="V33" s="6">
        <f>+V31-V32</f>
        <v>529.20000000000005</v>
      </c>
      <c r="W33" s="1">
        <f t="shared" si="18"/>
        <v>350.8655269820083</v>
      </c>
      <c r="X33" s="6">
        <f>+X31-X32</f>
        <v>229.33734015435306</v>
      </c>
      <c r="Y33" s="6">
        <f t="shared" ref="Y33:AF33" si="29">+Y31-Y32</f>
        <v>235.55370214787899</v>
      </c>
      <c r="Z33" s="6">
        <f t="shared" si="29"/>
        <v>241.89501301747453</v>
      </c>
      <c r="AA33" s="6">
        <f t="shared" si="29"/>
        <v>248.36378423554896</v>
      </c>
      <c r="AB33" s="6">
        <f t="shared" si="29"/>
        <v>254.96257775510657</v>
      </c>
      <c r="AC33" s="6">
        <f t="shared" si="29"/>
        <v>261.69400702440731</v>
      </c>
      <c r="AD33" s="6">
        <f t="shared" si="29"/>
        <v>268.56073802202121</v>
      </c>
      <c r="AE33" s="6">
        <f t="shared" si="29"/>
        <v>275.5654903126873</v>
      </c>
      <c r="AF33" s="6">
        <f t="shared" si="29"/>
        <v>282.71103812439605</v>
      </c>
      <c r="AG33" s="6">
        <f>+AF33*(1+$AJ$40)</f>
        <v>285.53814850564004</v>
      </c>
      <c r="AH33" s="6">
        <f t="shared" ref="AH33:CS33" si="30">+AG33*(1+$AJ$40)</f>
        <v>288.39352999069644</v>
      </c>
      <c r="AI33" s="6">
        <f t="shared" si="30"/>
        <v>291.2774652906034</v>
      </c>
      <c r="AJ33" s="6">
        <f t="shared" si="30"/>
        <v>294.19023994350943</v>
      </c>
      <c r="AK33" s="6">
        <f t="shared" si="30"/>
        <v>297.13214234294452</v>
      </c>
      <c r="AL33" s="6">
        <f t="shared" si="30"/>
        <v>300.10346376637398</v>
      </c>
      <c r="AM33" s="6">
        <f t="shared" si="30"/>
        <v>303.10449840403771</v>
      </c>
      <c r="AN33" s="6">
        <f t="shared" si="30"/>
        <v>306.13554338807808</v>
      </c>
      <c r="AO33" s="6">
        <f t="shared" si="30"/>
        <v>309.19689882195888</v>
      </c>
      <c r="AP33" s="6">
        <f t="shared" si="30"/>
        <v>312.28886781017849</v>
      </c>
      <c r="AQ33" s="6">
        <f t="shared" si="30"/>
        <v>315.41175648828028</v>
      </c>
      <c r="AR33" s="6">
        <f t="shared" si="30"/>
        <v>318.5658740531631</v>
      </c>
      <c r="AS33" s="6">
        <f t="shared" si="30"/>
        <v>321.75153279369471</v>
      </c>
      <c r="AT33" s="6">
        <f t="shared" si="30"/>
        <v>324.96904812163166</v>
      </c>
      <c r="AU33" s="6">
        <f t="shared" si="30"/>
        <v>328.21873860284796</v>
      </c>
      <c r="AV33" s="6">
        <f t="shared" si="30"/>
        <v>331.50092598887647</v>
      </c>
      <c r="AW33" s="6">
        <f t="shared" si="30"/>
        <v>334.81593524876524</v>
      </c>
      <c r="AX33" s="6">
        <f t="shared" si="30"/>
        <v>338.16409460125288</v>
      </c>
      <c r="AY33" s="6">
        <f t="shared" si="30"/>
        <v>341.54573554726539</v>
      </c>
      <c r="AZ33" s="6">
        <f t="shared" si="30"/>
        <v>344.96119290273805</v>
      </c>
      <c r="BA33" s="6">
        <f t="shared" si="30"/>
        <v>348.4108048317654</v>
      </c>
      <c r="BB33" s="6">
        <f t="shared" si="30"/>
        <v>351.89491288008304</v>
      </c>
      <c r="BC33" s="6">
        <f t="shared" si="30"/>
        <v>355.41386200888388</v>
      </c>
      <c r="BD33" s="6">
        <f t="shared" si="30"/>
        <v>358.96800062897273</v>
      </c>
      <c r="BE33" s="6">
        <f t="shared" si="30"/>
        <v>362.55768063526244</v>
      </c>
      <c r="BF33" s="6">
        <f t="shared" si="30"/>
        <v>366.18325744161507</v>
      </c>
      <c r="BG33" s="6">
        <f t="shared" si="30"/>
        <v>369.84509001603124</v>
      </c>
      <c r="BH33" s="6">
        <f t="shared" si="30"/>
        <v>373.54354091619155</v>
      </c>
      <c r="BI33" s="6">
        <f t="shared" si="30"/>
        <v>377.27897632535348</v>
      </c>
      <c r="BJ33" s="6">
        <f t="shared" si="30"/>
        <v>381.051766088607</v>
      </c>
      <c r="BK33" s="6">
        <f t="shared" si="30"/>
        <v>384.86228374949309</v>
      </c>
      <c r="BL33" s="6">
        <f t="shared" si="30"/>
        <v>388.71090658698802</v>
      </c>
      <c r="BM33" s="6">
        <f t="shared" si="30"/>
        <v>392.5980156528579</v>
      </c>
      <c r="BN33" s="6">
        <f t="shared" si="30"/>
        <v>396.52399580938646</v>
      </c>
      <c r="BO33" s="6">
        <f t="shared" si="30"/>
        <v>400.48923576748035</v>
      </c>
      <c r="BP33" s="6">
        <f t="shared" si="30"/>
        <v>404.49412812515516</v>
      </c>
      <c r="BQ33" s="6">
        <f t="shared" si="30"/>
        <v>408.53906940640672</v>
      </c>
      <c r="BR33" s="6">
        <f t="shared" si="30"/>
        <v>412.6244601004708</v>
      </c>
      <c r="BS33" s="6">
        <f t="shared" si="30"/>
        <v>416.75070470147551</v>
      </c>
      <c r="BT33" s="6">
        <f t="shared" si="30"/>
        <v>420.91821174849025</v>
      </c>
      <c r="BU33" s="6">
        <f t="shared" si="30"/>
        <v>425.12739386597514</v>
      </c>
      <c r="BV33" s="6">
        <f t="shared" si="30"/>
        <v>429.37866780463492</v>
      </c>
      <c r="BW33" s="6">
        <f t="shared" si="30"/>
        <v>433.67245448268125</v>
      </c>
      <c r="BX33" s="6">
        <f t="shared" si="30"/>
        <v>438.00917902750808</v>
      </c>
      <c r="BY33" s="6">
        <f t="shared" si="30"/>
        <v>442.38927081778314</v>
      </c>
      <c r="BZ33" s="6">
        <f t="shared" si="30"/>
        <v>446.81316352596099</v>
      </c>
      <c r="CA33" s="6">
        <f t="shared" si="30"/>
        <v>451.28129516122061</v>
      </c>
      <c r="CB33" s="6">
        <f t="shared" si="30"/>
        <v>455.79410811283282</v>
      </c>
      <c r="CC33" s="6">
        <f t="shared" si="30"/>
        <v>460.35204919396114</v>
      </c>
      <c r="CD33" s="6">
        <f t="shared" si="30"/>
        <v>464.95556968590074</v>
      </c>
      <c r="CE33" s="6">
        <f t="shared" si="30"/>
        <v>469.60512538275975</v>
      </c>
      <c r="CF33" s="6">
        <f t="shared" si="30"/>
        <v>474.30117663658734</v>
      </c>
      <c r="CG33" s="6">
        <f t="shared" si="30"/>
        <v>479.04418840295324</v>
      </c>
      <c r="CH33" s="6">
        <f t="shared" si="30"/>
        <v>483.83463028698276</v>
      </c>
      <c r="CI33" s="6">
        <f t="shared" si="30"/>
        <v>488.67297658985257</v>
      </c>
      <c r="CJ33" s="6">
        <f t="shared" si="30"/>
        <v>493.55970635575108</v>
      </c>
      <c r="CK33" s="6">
        <f t="shared" si="30"/>
        <v>498.49530341930858</v>
      </c>
      <c r="CL33" s="6">
        <f t="shared" si="30"/>
        <v>503.48025645350168</v>
      </c>
      <c r="CM33" s="6">
        <f t="shared" si="30"/>
        <v>508.51505901803671</v>
      </c>
      <c r="CN33" s="6">
        <f t="shared" si="30"/>
        <v>513.60020960821703</v>
      </c>
      <c r="CO33" s="6">
        <f t="shared" si="30"/>
        <v>518.73621170429919</v>
      </c>
      <c r="CP33" s="6">
        <f t="shared" si="30"/>
        <v>523.92357382134219</v>
      </c>
      <c r="CQ33" s="6">
        <f t="shared" si="30"/>
        <v>529.16280955955563</v>
      </c>
      <c r="CR33" s="6">
        <f t="shared" si="30"/>
        <v>534.4544376551512</v>
      </c>
      <c r="CS33" s="6">
        <f t="shared" si="30"/>
        <v>539.79898203170274</v>
      </c>
      <c r="CT33" s="6">
        <f t="shared" ref="CT33:FE33" si="31">+CS33*(1+$AJ$40)</f>
        <v>545.19697185201971</v>
      </c>
      <c r="CU33" s="6">
        <f t="shared" si="31"/>
        <v>550.64894157053993</v>
      </c>
      <c r="CV33" s="6">
        <f t="shared" si="31"/>
        <v>556.15543098624539</v>
      </c>
      <c r="CW33" s="6">
        <f t="shared" si="31"/>
        <v>561.71698529610785</v>
      </c>
      <c r="CX33" s="6">
        <f t="shared" si="31"/>
        <v>567.33415514906892</v>
      </c>
      <c r="CY33" s="6">
        <f t="shared" si="31"/>
        <v>573.00749670055961</v>
      </c>
      <c r="CZ33" s="6">
        <f t="shared" si="31"/>
        <v>578.73757166756525</v>
      </c>
      <c r="DA33" s="6">
        <f t="shared" si="31"/>
        <v>584.52494738424093</v>
      </c>
      <c r="DB33" s="6">
        <f t="shared" si="31"/>
        <v>590.37019685808332</v>
      </c>
      <c r="DC33" s="6">
        <f t="shared" si="31"/>
        <v>596.27389882666421</v>
      </c>
      <c r="DD33" s="6">
        <f t="shared" si="31"/>
        <v>602.23663781493087</v>
      </c>
      <c r="DE33" s="6">
        <f t="shared" si="31"/>
        <v>608.25900419308016</v>
      </c>
      <c r="DF33" s="6">
        <f t="shared" si="31"/>
        <v>614.34159423501092</v>
      </c>
      <c r="DG33" s="6">
        <f t="shared" si="31"/>
        <v>620.485010177361</v>
      </c>
      <c r="DH33" s="6">
        <f t="shared" si="31"/>
        <v>626.68986027913456</v>
      </c>
      <c r="DI33" s="6">
        <f t="shared" si="31"/>
        <v>632.95675888192591</v>
      </c>
      <c r="DJ33" s="6">
        <f t="shared" si="31"/>
        <v>639.28632647074517</v>
      </c>
      <c r="DK33" s="6">
        <f t="shared" si="31"/>
        <v>645.67918973545261</v>
      </c>
      <c r="DL33" s="6">
        <f t="shared" si="31"/>
        <v>652.1359816328071</v>
      </c>
      <c r="DM33" s="6">
        <f t="shared" si="31"/>
        <v>658.65734144913517</v>
      </c>
      <c r="DN33" s="6">
        <f t="shared" si="31"/>
        <v>665.24391486362651</v>
      </c>
      <c r="DO33" s="6">
        <f t="shared" si="31"/>
        <v>671.8963540122628</v>
      </c>
      <c r="DP33" s="6">
        <f t="shared" si="31"/>
        <v>678.61531755238548</v>
      </c>
      <c r="DQ33" s="6">
        <f t="shared" si="31"/>
        <v>685.40147072790933</v>
      </c>
      <c r="DR33" s="6">
        <f t="shared" si="31"/>
        <v>692.25548543518846</v>
      </c>
      <c r="DS33" s="6">
        <f t="shared" si="31"/>
        <v>699.17804028954038</v>
      </c>
      <c r="DT33" s="6">
        <f t="shared" si="31"/>
        <v>706.16982069243579</v>
      </c>
      <c r="DU33" s="6">
        <f t="shared" si="31"/>
        <v>713.23151889936014</v>
      </c>
      <c r="DV33" s="6">
        <f t="shared" si="31"/>
        <v>720.36383408835377</v>
      </c>
      <c r="DW33" s="6">
        <f t="shared" si="31"/>
        <v>727.56747242923734</v>
      </c>
      <c r="DX33" s="6">
        <f t="shared" si="31"/>
        <v>734.84314715352969</v>
      </c>
      <c r="DY33" s="6">
        <f t="shared" si="31"/>
        <v>742.19157862506495</v>
      </c>
      <c r="DZ33" s="6">
        <f t="shared" si="31"/>
        <v>749.61349441131563</v>
      </c>
      <c r="EA33" s="6">
        <f t="shared" si="31"/>
        <v>757.10962935542875</v>
      </c>
      <c r="EB33" s="6">
        <f t="shared" si="31"/>
        <v>764.68072564898307</v>
      </c>
      <c r="EC33" s="6">
        <f t="shared" si="31"/>
        <v>772.32753290547294</v>
      </c>
      <c r="ED33" s="6">
        <f t="shared" si="31"/>
        <v>780.05080823452772</v>
      </c>
      <c r="EE33" s="6">
        <f t="shared" si="31"/>
        <v>787.85131631687295</v>
      </c>
      <c r="EF33" s="6">
        <f t="shared" si="31"/>
        <v>795.72982948004164</v>
      </c>
      <c r="EG33" s="6">
        <f t="shared" si="31"/>
        <v>803.68712777484211</v>
      </c>
      <c r="EH33" s="6">
        <f t="shared" si="31"/>
        <v>811.72399905259056</v>
      </c>
      <c r="EI33" s="6">
        <f t="shared" si="31"/>
        <v>819.8412390431165</v>
      </c>
      <c r="EJ33" s="6">
        <f t="shared" si="31"/>
        <v>828.03965143354765</v>
      </c>
      <c r="EK33" s="6">
        <f t="shared" si="31"/>
        <v>836.32004794788315</v>
      </c>
      <c r="EL33" s="6">
        <f t="shared" si="31"/>
        <v>844.68324842736195</v>
      </c>
      <c r="EM33" s="6">
        <f t="shared" si="31"/>
        <v>853.13008091163556</v>
      </c>
      <c r="EN33" s="6">
        <f t="shared" si="31"/>
        <v>861.66138172075193</v>
      </c>
      <c r="EO33" s="6">
        <f t="shared" si="31"/>
        <v>870.27799553795944</v>
      </c>
      <c r="EP33" s="6">
        <f t="shared" si="31"/>
        <v>878.98077549333902</v>
      </c>
      <c r="EQ33" s="6">
        <f t="shared" si="31"/>
        <v>887.77058324827237</v>
      </c>
      <c r="ER33" s="6">
        <f t="shared" si="31"/>
        <v>896.64828908075515</v>
      </c>
      <c r="ES33" s="6">
        <f t="shared" si="31"/>
        <v>905.61477197156273</v>
      </c>
      <c r="ET33" s="6">
        <f t="shared" si="31"/>
        <v>914.67091969127841</v>
      </c>
      <c r="EU33" s="6">
        <f t="shared" si="31"/>
        <v>923.81762888819117</v>
      </c>
      <c r="EV33" s="6">
        <f t="shared" si="31"/>
        <v>933.05580517707313</v>
      </c>
      <c r="EW33" s="6">
        <f t="shared" si="31"/>
        <v>942.38636322884383</v>
      </c>
      <c r="EX33" s="6">
        <f t="shared" si="31"/>
        <v>951.81022686113226</v>
      </c>
      <c r="EY33" s="6">
        <f t="shared" si="31"/>
        <v>961.32832912974357</v>
      </c>
      <c r="EZ33" s="6">
        <f t="shared" si="31"/>
        <v>970.94161242104099</v>
      </c>
      <c r="FA33" s="6">
        <f t="shared" si="31"/>
        <v>980.65102854525139</v>
      </c>
      <c r="FB33" s="6">
        <f t="shared" si="31"/>
        <v>990.45753883070392</v>
      </c>
      <c r="FC33" s="6">
        <f t="shared" si="31"/>
        <v>1000.362114219011</v>
      </c>
      <c r="FD33" s="6">
        <f t="shared" si="31"/>
        <v>1010.3657353612011</v>
      </c>
      <c r="FE33" s="6">
        <f t="shared" si="31"/>
        <v>1020.4693927148131</v>
      </c>
      <c r="FF33" s="6">
        <f t="shared" ref="FF33:FV33" si="32">+FE33*(1+$AJ$40)</f>
        <v>1030.6740866419614</v>
      </c>
      <c r="FG33" s="6">
        <f t="shared" si="32"/>
        <v>1040.980827508381</v>
      </c>
      <c r="FH33" s="6">
        <f t="shared" si="32"/>
        <v>1051.3906357834649</v>
      </c>
      <c r="FI33" s="6">
        <f t="shared" si="32"/>
        <v>1061.9045421412995</v>
      </c>
      <c r="FJ33" s="6">
        <f t="shared" si="32"/>
        <v>1072.5235875627125</v>
      </c>
      <c r="FK33" s="6">
        <f t="shared" si="32"/>
        <v>1083.2488234383395</v>
      </c>
      <c r="FL33" s="6">
        <f t="shared" si="32"/>
        <v>1094.0813116727229</v>
      </c>
      <c r="FM33" s="6">
        <f t="shared" si="32"/>
        <v>1105.0221247894501</v>
      </c>
      <c r="FN33" s="6">
        <f t="shared" si="32"/>
        <v>1116.0723460373447</v>
      </c>
      <c r="FO33" s="6">
        <f t="shared" si="32"/>
        <v>1127.2330694977181</v>
      </c>
      <c r="FP33" s="6">
        <f t="shared" si="32"/>
        <v>1138.5054001926953</v>
      </c>
      <c r="FQ33" s="6">
        <f t="shared" si="32"/>
        <v>1149.8904541946224</v>
      </c>
      <c r="FR33" s="6">
        <f t="shared" si="32"/>
        <v>1161.3893587365687</v>
      </c>
      <c r="FS33" s="6">
        <f t="shared" si="32"/>
        <v>1173.0032523239345</v>
      </c>
      <c r="FT33" s="6">
        <f t="shared" si="32"/>
        <v>1184.7332848471738</v>
      </c>
      <c r="FU33" s="6">
        <f t="shared" si="32"/>
        <v>1196.5806176956455</v>
      </c>
      <c r="FV33" s="6">
        <f t="shared" si="32"/>
        <v>1208.546423872602</v>
      </c>
      <c r="FW33" s="6">
        <f t="shared" ref="FW33:HR33" si="33">+FV33*(1+$AJ$40)</f>
        <v>1220.631888111328</v>
      </c>
      <c r="FX33" s="6">
        <f t="shared" si="33"/>
        <v>1232.8382069924412</v>
      </c>
      <c r="FY33" s="6">
        <f t="shared" si="33"/>
        <v>1245.1665890623656</v>
      </c>
      <c r="FZ33" s="6">
        <f t="shared" si="33"/>
        <v>1257.6182549529892</v>
      </c>
      <c r="GA33" s="6">
        <f t="shared" si="33"/>
        <v>1270.1944375025191</v>
      </c>
      <c r="GB33" s="6">
        <f t="shared" si="33"/>
        <v>1282.8963818775444</v>
      </c>
      <c r="GC33" s="6">
        <f t="shared" si="33"/>
        <v>1295.7253456963199</v>
      </c>
      <c r="GD33" s="6">
        <f t="shared" si="33"/>
        <v>1308.682599153283</v>
      </c>
      <c r="GE33" s="6">
        <f t="shared" si="33"/>
        <v>1321.7694251448158</v>
      </c>
      <c r="GF33" s="6">
        <f t="shared" si="33"/>
        <v>1334.987119396264</v>
      </c>
      <c r="GG33" s="6">
        <f t="shared" si="33"/>
        <v>1348.3369905902266</v>
      </c>
      <c r="GH33" s="6">
        <f t="shared" si="33"/>
        <v>1361.8203604961288</v>
      </c>
      <c r="GI33" s="6">
        <f t="shared" si="33"/>
        <v>1375.4385641010902</v>
      </c>
      <c r="GJ33" s="6">
        <f t="shared" si="33"/>
        <v>1389.1929497421011</v>
      </c>
      <c r="GK33" s="6">
        <f t="shared" si="33"/>
        <v>1403.084879239522</v>
      </c>
      <c r="GL33" s="6">
        <f t="shared" si="33"/>
        <v>1417.1157280319173</v>
      </c>
      <c r="GM33" s="6">
        <f t="shared" si="33"/>
        <v>1431.2868853122366</v>
      </c>
      <c r="GN33" s="6">
        <f t="shared" si="33"/>
        <v>1445.5997541653589</v>
      </c>
      <c r="GO33" s="6">
        <f t="shared" si="33"/>
        <v>1460.0557517070126</v>
      </c>
      <c r="GP33" s="6">
        <f t="shared" si="33"/>
        <v>1474.6563092240829</v>
      </c>
      <c r="GQ33" s="6">
        <f t="shared" si="33"/>
        <v>1489.4028723163237</v>
      </c>
      <c r="GR33" s="6">
        <f t="shared" si="33"/>
        <v>1504.296901039487</v>
      </c>
      <c r="GS33" s="6">
        <f t="shared" si="33"/>
        <v>1519.3398700498819</v>
      </c>
      <c r="GT33" s="6">
        <f t="shared" si="33"/>
        <v>1534.5332687503808</v>
      </c>
      <c r="GU33" s="6">
        <f t="shared" si="33"/>
        <v>1549.8786014378845</v>
      </c>
      <c r="GV33" s="6">
        <f t="shared" si="33"/>
        <v>1565.3773874522633</v>
      </c>
      <c r="GW33" s="6">
        <f t="shared" si="33"/>
        <v>1581.0311613267859</v>
      </c>
      <c r="GX33" s="6">
        <f t="shared" si="33"/>
        <v>1596.8414729400538</v>
      </c>
      <c r="GY33" s="6">
        <f t="shared" si="33"/>
        <v>1612.8098876694544</v>
      </c>
      <c r="GZ33" s="6">
        <f t="shared" si="33"/>
        <v>1628.937986546149</v>
      </c>
      <c r="HA33" s="6">
        <f t="shared" si="33"/>
        <v>1645.2273664116105</v>
      </c>
      <c r="HB33" s="6">
        <f t="shared" si="33"/>
        <v>1661.6796400757266</v>
      </c>
      <c r="HC33" s="6">
        <f t="shared" si="33"/>
        <v>1678.2964364764839</v>
      </c>
      <c r="HD33" s="6">
        <f t="shared" si="33"/>
        <v>1695.0794008412488</v>
      </c>
      <c r="HE33" s="6">
        <f t="shared" si="33"/>
        <v>1712.0301948496613</v>
      </c>
      <c r="HF33" s="6">
        <f t="shared" si="33"/>
        <v>1729.150496798158</v>
      </c>
      <c r="HG33" s="6">
        <f t="shared" si="33"/>
        <v>1746.4420017661396</v>
      </c>
      <c r="HH33" s="6">
        <f t="shared" si="33"/>
        <v>1763.9064217838011</v>
      </c>
      <c r="HI33" s="6">
        <f t="shared" si="33"/>
        <v>1781.5454860016391</v>
      </c>
      <c r="HJ33" s="6">
        <f t="shared" si="33"/>
        <v>1799.3609408616555</v>
      </c>
      <c r="HK33" s="6">
        <f t="shared" si="33"/>
        <v>1817.3545502702721</v>
      </c>
      <c r="HL33" s="6">
        <f t="shared" si="33"/>
        <v>1835.5280957729749</v>
      </c>
      <c r="HM33" s="6">
        <f t="shared" si="33"/>
        <v>1853.8833767307046</v>
      </c>
      <c r="HN33" s="6">
        <f t="shared" si="33"/>
        <v>1872.4222104980117</v>
      </c>
      <c r="HO33" s="6">
        <f t="shared" si="33"/>
        <v>1891.1464326029918</v>
      </c>
      <c r="HP33" s="6">
        <f t="shared" si="33"/>
        <v>1910.0578969290218</v>
      </c>
      <c r="HQ33" s="6">
        <f t="shared" si="33"/>
        <v>1929.158475898312</v>
      </c>
      <c r="HR33" s="6">
        <f t="shared" si="33"/>
        <v>1948.4500606572951</v>
      </c>
      <c r="HS33" s="6">
        <f t="shared" ref="HS33:HV33" si="34">+HR33*(1+$AJ$40)</f>
        <v>1967.9345612638681</v>
      </c>
      <c r="HT33" s="6">
        <f t="shared" si="34"/>
        <v>1987.6139068765067</v>
      </c>
      <c r="HU33" s="6">
        <f t="shared" si="34"/>
        <v>2007.4900459452717</v>
      </c>
      <c r="HV33" s="6">
        <f t="shared" si="34"/>
        <v>2027.5649464047244</v>
      </c>
      <c r="HW33" s="6">
        <f t="shared" ref="HW33:HY33" si="35">+HV33*(1+$AJ$40)</f>
        <v>2047.8405958687717</v>
      </c>
      <c r="HX33" s="6">
        <f t="shared" si="35"/>
        <v>2068.3190018274595</v>
      </c>
      <c r="HY33" s="6">
        <f t="shared" si="35"/>
        <v>2089.0021918457342</v>
      </c>
    </row>
    <row r="35" spans="2:233" x14ac:dyDescent="0.2">
      <c r="B35" s="6" t="s">
        <v>41</v>
      </c>
    </row>
    <row r="36" spans="2:233" s="5" customFormat="1" x14ac:dyDescent="0.2">
      <c r="B36" s="1" t="s">
        <v>23</v>
      </c>
      <c r="G36" s="5">
        <f t="shared" ref="G36:L39" si="36">+G16/C16-1</f>
        <v>-6.8167202572347207E-2</v>
      </c>
      <c r="H36" s="5">
        <f t="shared" si="36"/>
        <v>-0.23536789297658856</v>
      </c>
      <c r="I36" s="5">
        <f t="shared" si="36"/>
        <v>3.7404236142406511E-2</v>
      </c>
      <c r="J36" s="5">
        <f t="shared" si="36"/>
        <v>0.26085607940446698</v>
      </c>
      <c r="K36" s="5">
        <f t="shared" si="36"/>
        <v>-8.8681849551414671E-2</v>
      </c>
      <c r="L36" s="5">
        <f t="shared" si="36"/>
        <v>0.27692728266812461</v>
      </c>
      <c r="T36" s="5">
        <f t="shared" ref="T36:V39" si="37">+T16/S16-1</f>
        <v>0.59858974358974382</v>
      </c>
      <c r="U36" s="5">
        <f t="shared" si="37"/>
        <v>0.24757398347902781</v>
      </c>
      <c r="V36" s="5">
        <f t="shared" si="37"/>
        <v>-2.1277963486757479E-2</v>
      </c>
    </row>
    <row r="37" spans="2:233" s="5" customFormat="1" x14ac:dyDescent="0.2">
      <c r="B37" s="1" t="s">
        <v>24</v>
      </c>
      <c r="G37" s="5">
        <f t="shared" si="36"/>
        <v>-4.9194232400339377E-2</v>
      </c>
      <c r="H37" s="5">
        <f t="shared" si="36"/>
        <v>-0.21558650241028388</v>
      </c>
      <c r="I37" s="5">
        <f t="shared" si="36"/>
        <v>8.0929958799293766E-2</v>
      </c>
      <c r="J37" s="5">
        <f t="shared" si="36"/>
        <v>0.28971193415637897</v>
      </c>
      <c r="K37" s="5">
        <f t="shared" si="36"/>
        <v>-6.1552185548617189E-2</v>
      </c>
      <c r="L37" s="5">
        <f t="shared" si="36"/>
        <v>0.28951860703311727</v>
      </c>
      <c r="T37" s="5">
        <f t="shared" si="37"/>
        <v>0.65280958252598187</v>
      </c>
      <c r="U37" s="5">
        <f t="shared" si="37"/>
        <v>0.27038260684216131</v>
      </c>
      <c r="V37" s="5">
        <f t="shared" si="37"/>
        <v>4.8657718120805882E-3</v>
      </c>
    </row>
    <row r="38" spans="2:233" s="5" customFormat="1" x14ac:dyDescent="0.2">
      <c r="B38" s="1" t="s">
        <v>25</v>
      </c>
      <c r="G38" s="5">
        <f t="shared" si="36"/>
        <v>2.0344287949921824E-2</v>
      </c>
      <c r="H38" s="5">
        <f t="shared" si="36"/>
        <v>-0.16574585635359118</v>
      </c>
      <c r="I38" s="5">
        <f t="shared" si="36"/>
        <v>3.1798245614035103E-2</v>
      </c>
      <c r="J38" s="5">
        <f t="shared" si="36"/>
        <v>0.28435374149659864</v>
      </c>
      <c r="K38" s="5">
        <f t="shared" si="36"/>
        <v>1.5337423312883347E-2</v>
      </c>
      <c r="L38" s="5">
        <f t="shared" si="36"/>
        <v>0.26754966887417231</v>
      </c>
      <c r="T38" s="5">
        <f t="shared" si="37"/>
        <v>0.59656398104265396</v>
      </c>
      <c r="U38" s="5">
        <f t="shared" si="37"/>
        <v>0.18404452690166995</v>
      </c>
      <c r="V38" s="5">
        <f t="shared" si="37"/>
        <v>3.1651519899717817E-2</v>
      </c>
    </row>
    <row r="39" spans="2:233" s="5" customFormat="1" x14ac:dyDescent="0.2">
      <c r="B39" s="1" t="s">
        <v>26</v>
      </c>
      <c r="G39" s="5">
        <f t="shared" si="36"/>
        <v>-5.1580153921728988E-2</v>
      </c>
      <c r="H39" s="5">
        <f t="shared" si="36"/>
        <v>-0.22084261912342129</v>
      </c>
      <c r="I39" s="5">
        <f t="shared" si="36"/>
        <v>5.3726566072245019E-2</v>
      </c>
      <c r="J39" s="5">
        <f t="shared" si="36"/>
        <v>0.27453435592424502</v>
      </c>
      <c r="K39" s="5">
        <f t="shared" si="36"/>
        <v>-6.6470994475138157E-2</v>
      </c>
      <c r="L39" s="5">
        <f t="shared" si="36"/>
        <v>0.28098610732770357</v>
      </c>
      <c r="M39" s="5">
        <f>+M19/I19-1</f>
        <v>7.4983615071660958E-2</v>
      </c>
      <c r="N39" s="5">
        <f>+N19/J19-1</f>
        <v>2.7513061537962846E-2</v>
      </c>
      <c r="T39" s="5">
        <f t="shared" si="37"/>
        <v>0.61866139136168807</v>
      </c>
      <c r="U39" s="5">
        <f t="shared" si="37"/>
        <v>0.24931763555627984</v>
      </c>
      <c r="V39" s="5">
        <f t="shared" si="37"/>
        <v>-5.6086346887532779E-3</v>
      </c>
      <c r="W39" s="5">
        <f t="shared" ref="W39:AF39" si="38">+W19/V19-1</f>
        <v>3.1847339632023797E-2</v>
      </c>
      <c r="X39" s="5">
        <f t="shared" si="38"/>
        <v>2.0100000000000007E-2</v>
      </c>
      <c r="Y39" s="5">
        <f t="shared" si="38"/>
        <v>2.0099999999999785E-2</v>
      </c>
      <c r="Z39" s="5">
        <f t="shared" si="38"/>
        <v>2.0100000000000007E-2</v>
      </c>
      <c r="AA39" s="5">
        <f t="shared" si="38"/>
        <v>2.0100000000000007E-2</v>
      </c>
      <c r="AB39" s="5">
        <f t="shared" si="38"/>
        <v>2.0100000000000007E-2</v>
      </c>
      <c r="AC39" s="5">
        <f t="shared" si="38"/>
        <v>2.0100000000000229E-2</v>
      </c>
      <c r="AD39" s="5">
        <f t="shared" si="38"/>
        <v>2.0100000000000007E-2</v>
      </c>
      <c r="AE39" s="5">
        <f t="shared" si="38"/>
        <v>2.0100000000000007E-2</v>
      </c>
      <c r="AF39" s="5">
        <f t="shared" si="38"/>
        <v>2.0100000000000007E-2</v>
      </c>
    </row>
    <row r="40" spans="2:233" x14ac:dyDescent="0.2">
      <c r="AI40" s="1" t="s">
        <v>53</v>
      </c>
      <c r="AJ40" s="8">
        <v>0.01</v>
      </c>
    </row>
    <row r="41" spans="2:233" x14ac:dyDescent="0.2">
      <c r="B41" s="1" t="s">
        <v>61</v>
      </c>
      <c r="AI41" s="1" t="s">
        <v>54</v>
      </c>
      <c r="AJ41" s="8">
        <v>0.08</v>
      </c>
    </row>
    <row r="42" spans="2:233" x14ac:dyDescent="0.2">
      <c r="B42" s="1" t="s">
        <v>59</v>
      </c>
      <c r="C42" s="5">
        <f t="shared" ref="C42:L42" si="39">(C16-C20)/C16</f>
        <v>0.46398713826366561</v>
      </c>
      <c r="D42" s="5">
        <f t="shared" si="39"/>
        <v>0.41889632107023411</v>
      </c>
      <c r="E42" s="5">
        <f t="shared" si="39"/>
        <v>0.4407390716538982</v>
      </c>
      <c r="F42" s="5">
        <f t="shared" si="39"/>
        <v>0.46401985111662486</v>
      </c>
      <c r="G42" s="5">
        <f t="shared" si="39"/>
        <v>0.46756383712905453</v>
      </c>
      <c r="H42" s="5">
        <f t="shared" si="39"/>
        <v>0.44231820667031169</v>
      </c>
      <c r="I42" s="5">
        <f t="shared" si="39"/>
        <v>0.42311033883579491</v>
      </c>
      <c r="J42" s="5">
        <f t="shared" si="39"/>
        <v>0.42017220172201741</v>
      </c>
      <c r="K42" s="5">
        <f t="shared" si="39"/>
        <v>0.46459674365770542</v>
      </c>
      <c r="L42" s="5">
        <f t="shared" si="39"/>
        <v>0.42025262256476131</v>
      </c>
      <c r="AI42" s="1" t="s">
        <v>55</v>
      </c>
      <c r="AJ42" s="1">
        <f>NPV(AJ41,W33:HY33)</f>
        <v>3671.9970616896812</v>
      </c>
    </row>
    <row r="43" spans="2:233" x14ac:dyDescent="0.2">
      <c r="B43" s="1" t="s">
        <v>60</v>
      </c>
      <c r="C43" s="5">
        <f t="shared" ref="C43:L43" si="40">(C17-C21)/C17</f>
        <v>0.81509754028838</v>
      </c>
      <c r="D43" s="5">
        <f t="shared" si="40"/>
        <v>0.81949651847884308</v>
      </c>
      <c r="E43" s="5">
        <f t="shared" si="40"/>
        <v>0.81459682165979985</v>
      </c>
      <c r="F43" s="5">
        <f t="shared" si="40"/>
        <v>0.80534979423868303</v>
      </c>
      <c r="G43" s="5">
        <f t="shared" si="40"/>
        <v>0.80374665477252449</v>
      </c>
      <c r="H43" s="5">
        <f t="shared" si="40"/>
        <v>0.80675998634346191</v>
      </c>
      <c r="I43" s="5">
        <f t="shared" si="40"/>
        <v>0.82439422815137486</v>
      </c>
      <c r="J43" s="5">
        <f t="shared" si="40"/>
        <v>0.80759412890874283</v>
      </c>
      <c r="K43" s="5">
        <f t="shared" si="40"/>
        <v>0.78944866920152101</v>
      </c>
      <c r="L43" s="5">
        <f t="shared" si="40"/>
        <v>0.8064601535610274</v>
      </c>
      <c r="AI43" s="1" t="s">
        <v>56</v>
      </c>
      <c r="AJ43" s="1">
        <f>+Main!K6</f>
        <v>115.037014</v>
      </c>
      <c r="AQ43" s="6"/>
    </row>
    <row r="44" spans="2:233" x14ac:dyDescent="0.2">
      <c r="AI44" s="1" t="s">
        <v>57</v>
      </c>
      <c r="AJ44" s="1">
        <f>+AJ42/AJ43</f>
        <v>31.920135389551064</v>
      </c>
    </row>
    <row r="45" spans="2:233" x14ac:dyDescent="0.2">
      <c r="AI45" s="1" t="s">
        <v>58</v>
      </c>
      <c r="AJ45" s="1">
        <f>+Main!K5</f>
        <v>27.7</v>
      </c>
    </row>
    <row r="46" spans="2:233" x14ac:dyDescent="0.2">
      <c r="AQ46" s="9"/>
    </row>
    <row r="47" spans="2:233" x14ac:dyDescent="0.2">
      <c r="AQ47" s="6"/>
    </row>
  </sheetData>
  <pageMargins left="0.7" right="0.7" top="0.75" bottom="0.75" header="0.3" footer="0.3"/>
  <ignoredErrors>
    <ignoredError sqref="F36:Q37 F19:L19 O19:Q19 F20:L20 O20:Q20 F21:L21 O21:Q21 F22:L22 O22:Q22 F23:L23 O23:Q23 F24:L24 O24:Q24 F25:L25 O25:Q25 F26:L26 O26:Q26 F27:L27 O27:Q27 F28:L28 O28:Q28 F31:L31 O31:Q31 F32:L32 O32:Q32 F33:L33 O33:Q33 M34:Q34 M35:Q35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Brannon</dc:creator>
  <cp:lastModifiedBy>Jameel Brannon</cp:lastModifiedBy>
  <dcterms:created xsi:type="dcterms:W3CDTF">2025-09-22T14:21:07Z</dcterms:created>
  <dcterms:modified xsi:type="dcterms:W3CDTF">2025-09-22T16:29:35Z</dcterms:modified>
</cp:coreProperties>
</file>