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F5781EA2-9F67-7640-A33A-43D7B2B58953}" xr6:coauthVersionLast="47" xr6:coauthVersionMax="47" xr10:uidLastSave="{00000000-0000-0000-0000-000000000000}"/>
  <bookViews>
    <workbookView xWindow="7080" yWindow="4220" windowWidth="34420" windowHeight="16940" xr2:uid="{BDC8575E-1F7B-8A4D-8CF5-83B2922DCE33}"/>
  </bookViews>
  <sheets>
    <sheet name="Main" sheetId="1" r:id="rId1"/>
    <sheet name="Content" sheetId="4" r:id="rId2"/>
    <sheet name="Model" sheetId="2" r:id="rId3"/>
    <sheet name="Debt Schedul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H5" i="2"/>
  <c r="W76" i="2"/>
  <c r="E100" i="2"/>
  <c r="F100" i="2"/>
  <c r="G92" i="2"/>
  <c r="G83" i="2"/>
  <c r="G76" i="2"/>
  <c r="G100" i="2" s="1"/>
  <c r="D94" i="2"/>
  <c r="D91" i="2"/>
  <c r="D90" i="2"/>
  <c r="D89" i="2"/>
  <c r="D88" i="2"/>
  <c r="D87" i="2"/>
  <c r="D86" i="2"/>
  <c r="D85" i="2"/>
  <c r="D82" i="2"/>
  <c r="D81" i="2"/>
  <c r="D80" i="2"/>
  <c r="D79" i="2"/>
  <c r="D78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H94" i="2"/>
  <c r="H91" i="2"/>
  <c r="H90" i="2"/>
  <c r="H89" i="2"/>
  <c r="H88" i="2"/>
  <c r="H87" i="2"/>
  <c r="H86" i="2"/>
  <c r="H85" i="2"/>
  <c r="H82" i="2"/>
  <c r="H81" i="2"/>
  <c r="H80" i="2"/>
  <c r="H79" i="2"/>
  <c r="H78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C57" i="2"/>
  <c r="D57" i="2"/>
  <c r="E57" i="2"/>
  <c r="C54" i="2"/>
  <c r="C53" i="2"/>
  <c r="C44" i="2"/>
  <c r="D54" i="2"/>
  <c r="D53" i="2"/>
  <c r="D44" i="2"/>
  <c r="E54" i="2"/>
  <c r="E53" i="2"/>
  <c r="E44" i="2"/>
  <c r="H57" i="2"/>
  <c r="H60" i="2" s="1"/>
  <c r="G57" i="2"/>
  <c r="G60" i="2" s="1"/>
  <c r="F57" i="2"/>
  <c r="G53" i="2"/>
  <c r="G55" i="2" s="1"/>
  <c r="G44" i="2"/>
  <c r="F53" i="2"/>
  <c r="F55" i="2" s="1"/>
  <c r="F44" i="2"/>
  <c r="H53" i="2"/>
  <c r="H55" i="2" s="1"/>
  <c r="H44" i="2"/>
  <c r="N5" i="1"/>
  <c r="N7" i="1"/>
  <c r="AL27" i="2"/>
  <c r="F14" i="2"/>
  <c r="X18" i="2"/>
  <c r="Y18" i="2" s="1"/>
  <c r="Z18" i="2" s="1"/>
  <c r="AA18" i="2" s="1"/>
  <c r="AB18" i="2" s="1"/>
  <c r="AC18" i="2" s="1"/>
  <c r="AD18" i="2" s="1"/>
  <c r="AE18" i="2" s="1"/>
  <c r="AF18" i="2" s="1"/>
  <c r="AG18" i="2" s="1"/>
  <c r="X17" i="2"/>
  <c r="Y17" i="2" s="1"/>
  <c r="Z17" i="2" s="1"/>
  <c r="AA17" i="2" s="1"/>
  <c r="AB17" i="2" s="1"/>
  <c r="AC17" i="2" s="1"/>
  <c r="AD17" i="2" s="1"/>
  <c r="AE17" i="2" s="1"/>
  <c r="AF17" i="2" s="1"/>
  <c r="AG17" i="2" s="1"/>
  <c r="I16" i="2"/>
  <c r="J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D61" i="3"/>
  <c r="E61" i="3"/>
  <c r="W104" i="2"/>
  <c r="X104" i="2" s="1"/>
  <c r="Y104" i="2" s="1"/>
  <c r="Z104" i="2" s="1"/>
  <c r="AA104" i="2" s="1"/>
  <c r="AB104" i="2" s="1"/>
  <c r="AC104" i="2" s="1"/>
  <c r="AD104" i="2" s="1"/>
  <c r="AE104" i="2" s="1"/>
  <c r="AF104" i="2" s="1"/>
  <c r="AG104" i="2" s="1"/>
  <c r="AH104" i="2" s="1"/>
  <c r="V104" i="2"/>
  <c r="U104" i="2"/>
  <c r="C104" i="2"/>
  <c r="G104" i="2"/>
  <c r="D103" i="2"/>
  <c r="D102" i="2"/>
  <c r="H103" i="2"/>
  <c r="H102" i="2"/>
  <c r="E11" i="2"/>
  <c r="E15" i="2" s="1"/>
  <c r="F20" i="2"/>
  <c r="F18" i="2"/>
  <c r="F17" i="2"/>
  <c r="F16" i="2"/>
  <c r="F13" i="2"/>
  <c r="F12" i="2"/>
  <c r="F10" i="2"/>
  <c r="F9" i="2"/>
  <c r="F8" i="2"/>
  <c r="F7" i="2"/>
  <c r="W28" i="2"/>
  <c r="V28" i="2"/>
  <c r="W27" i="2"/>
  <c r="V27" i="2"/>
  <c r="W26" i="2"/>
  <c r="V26" i="2"/>
  <c r="V25" i="2"/>
  <c r="W25" i="2"/>
  <c r="U11" i="2"/>
  <c r="U15" i="2" s="1"/>
  <c r="U19" i="2" s="1"/>
  <c r="U21" i="2" s="1"/>
  <c r="V11" i="2"/>
  <c r="V15" i="2" s="1"/>
  <c r="V19" i="2" s="1"/>
  <c r="V21" i="2" s="1"/>
  <c r="W11" i="2"/>
  <c r="W15" i="2" s="1"/>
  <c r="W19" i="2" s="1"/>
  <c r="W21" i="2" s="1"/>
  <c r="G28" i="2"/>
  <c r="G27" i="2"/>
  <c r="G26" i="2"/>
  <c r="G25" i="2"/>
  <c r="C11" i="2"/>
  <c r="C15" i="2" s="1"/>
  <c r="C19" i="2" s="1"/>
  <c r="C21" i="2" s="1"/>
  <c r="G11" i="2"/>
  <c r="G15" i="2" s="1"/>
  <c r="G19" i="2" s="1"/>
  <c r="G21" i="2" s="1"/>
  <c r="H28" i="2"/>
  <c r="H27" i="2"/>
  <c r="H26" i="2"/>
  <c r="H25" i="2"/>
  <c r="D11" i="2"/>
  <c r="D15" i="2" s="1"/>
  <c r="D19" i="2" s="1"/>
  <c r="D21" i="2" s="1"/>
  <c r="H11" i="2"/>
  <c r="H32" i="2" s="1"/>
  <c r="R2" i="2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GE2" i="2" s="1"/>
  <c r="GF2" i="2" s="1"/>
  <c r="GG2" i="2" s="1"/>
  <c r="GH2" i="2" s="1"/>
  <c r="GI2" i="2" s="1"/>
  <c r="GJ2" i="2" s="1"/>
  <c r="GK2" i="2" s="1"/>
  <c r="GL2" i="2" s="1"/>
  <c r="GM2" i="2" s="1"/>
  <c r="GN2" i="2" s="1"/>
  <c r="GO2" i="2" s="1"/>
  <c r="GP2" i="2" s="1"/>
  <c r="GQ2" i="2" s="1"/>
  <c r="GR2" i="2" s="1"/>
  <c r="GS2" i="2" s="1"/>
  <c r="GT2" i="2" s="1"/>
  <c r="GU2" i="2" s="1"/>
  <c r="GV2" i="2" s="1"/>
  <c r="GW2" i="2" s="1"/>
  <c r="GX2" i="2" s="1"/>
  <c r="GY2" i="2" s="1"/>
  <c r="GZ2" i="2" s="1"/>
  <c r="HA2" i="2" s="1"/>
  <c r="HB2" i="2" s="1"/>
  <c r="HC2" i="2" s="1"/>
  <c r="HD2" i="2" s="1"/>
  <c r="HE2" i="2" s="1"/>
  <c r="HF2" i="2" s="1"/>
  <c r="HG2" i="2" s="1"/>
  <c r="HH2" i="2" s="1"/>
  <c r="HI2" i="2" s="1"/>
  <c r="HJ2" i="2" s="1"/>
  <c r="HK2" i="2" s="1"/>
  <c r="HL2" i="2" s="1"/>
  <c r="HM2" i="2" s="1"/>
  <c r="HN2" i="2" s="1"/>
  <c r="HO2" i="2" s="1"/>
  <c r="HP2" i="2" s="1"/>
  <c r="HQ2" i="2" s="1"/>
  <c r="HR2" i="2" s="1"/>
  <c r="HS2" i="2" s="1"/>
  <c r="HT2" i="2" s="1"/>
  <c r="HU2" i="2" s="1"/>
  <c r="HV2" i="2" s="1"/>
  <c r="HW2" i="2" s="1"/>
  <c r="HX2" i="2" s="1"/>
  <c r="HY2" i="2" s="1"/>
  <c r="HZ2" i="2" s="1"/>
  <c r="L7" i="1"/>
  <c r="L8" i="1" s="1"/>
  <c r="K6" i="1"/>
  <c r="K8" i="1"/>
  <c r="E55" i="2" l="1"/>
  <c r="G95" i="2"/>
  <c r="G97" i="2" s="1"/>
  <c r="D92" i="2"/>
  <c r="D76" i="2"/>
  <c r="D100" i="2" s="1"/>
  <c r="D83" i="2"/>
  <c r="H92" i="2"/>
  <c r="D95" i="2"/>
  <c r="D97" i="2" s="1"/>
  <c r="H83" i="2"/>
  <c r="H76" i="2"/>
  <c r="H100" i="2" s="1"/>
  <c r="D58" i="2"/>
  <c r="D59" i="2" s="1"/>
  <c r="C58" i="2"/>
  <c r="C59" i="2" s="1"/>
  <c r="E58" i="2"/>
  <c r="E59" i="2" s="1"/>
  <c r="F58" i="2"/>
  <c r="F59" i="2" s="1"/>
  <c r="G58" i="2"/>
  <c r="G59" i="2" s="1"/>
  <c r="C60" i="2"/>
  <c r="H58" i="2"/>
  <c r="H59" i="2" s="1"/>
  <c r="D60" i="2"/>
  <c r="E60" i="2"/>
  <c r="F60" i="2"/>
  <c r="D55" i="2"/>
  <c r="C55" i="2"/>
  <c r="K9" i="1"/>
  <c r="N9" i="1" s="1"/>
  <c r="N6" i="1" s="1"/>
  <c r="N4" i="1" s="1"/>
  <c r="W32" i="2"/>
  <c r="H33" i="2"/>
  <c r="E32" i="2"/>
  <c r="W33" i="2"/>
  <c r="G31" i="2"/>
  <c r="E33" i="2"/>
  <c r="I11" i="2"/>
  <c r="I29" i="2" s="1"/>
  <c r="V31" i="2"/>
  <c r="G32" i="2"/>
  <c r="D31" i="2"/>
  <c r="V32" i="2"/>
  <c r="G33" i="2"/>
  <c r="D32" i="2"/>
  <c r="V33" i="2"/>
  <c r="D33" i="2"/>
  <c r="U31" i="2"/>
  <c r="C31" i="2"/>
  <c r="U32" i="2"/>
  <c r="H31" i="2"/>
  <c r="C32" i="2"/>
  <c r="W31" i="2"/>
  <c r="U33" i="2"/>
  <c r="E31" i="2"/>
  <c r="C33" i="2"/>
  <c r="U29" i="2"/>
  <c r="D104" i="2"/>
  <c r="H104" i="2"/>
  <c r="H29" i="2"/>
  <c r="E102" i="2"/>
  <c r="F102" i="2" s="1"/>
  <c r="E103" i="2"/>
  <c r="F103" i="2" s="1"/>
  <c r="G29" i="2"/>
  <c r="V29" i="2"/>
  <c r="W29" i="2"/>
  <c r="H15" i="2"/>
  <c r="F11" i="2"/>
  <c r="F32" i="2" s="1"/>
  <c r="E19" i="2"/>
  <c r="H95" i="2" l="1"/>
  <c r="H97" i="2" s="1"/>
  <c r="I14" i="2"/>
  <c r="I33" i="2" s="1"/>
  <c r="I13" i="2"/>
  <c r="I32" i="2" s="1"/>
  <c r="I12" i="2"/>
  <c r="I31" i="2" s="1"/>
  <c r="F31" i="2"/>
  <c r="F33" i="2"/>
  <c r="F104" i="2"/>
  <c r="J11" i="2"/>
  <c r="X11" i="2" s="1"/>
  <c r="F15" i="2"/>
  <c r="F19" i="2" s="1"/>
  <c r="F21" i="2" s="1"/>
  <c r="H19" i="2"/>
  <c r="E104" i="2"/>
  <c r="E21" i="2"/>
  <c r="I15" i="2" l="1"/>
  <c r="I19" i="2" s="1"/>
  <c r="I20" i="2" s="1"/>
  <c r="X29" i="2"/>
  <c r="Y11" i="2"/>
  <c r="Y29" i="2" s="1"/>
  <c r="X33" i="2"/>
  <c r="Y33" i="2" s="1"/>
  <c r="Z33" i="2" s="1"/>
  <c r="AA33" i="2" s="1"/>
  <c r="AB33" i="2" s="1"/>
  <c r="AC33" i="2" s="1"/>
  <c r="AD33" i="2" s="1"/>
  <c r="AE33" i="2" s="1"/>
  <c r="AF33" i="2" s="1"/>
  <c r="AG33" i="2" s="1"/>
  <c r="Z11" i="2"/>
  <c r="J13" i="2"/>
  <c r="J12" i="2"/>
  <c r="J14" i="2"/>
  <c r="J33" i="2" s="1"/>
  <c r="J29" i="2"/>
  <c r="H21" i="2"/>
  <c r="F106" i="2"/>
  <c r="G106" i="2"/>
  <c r="H106" i="2"/>
  <c r="I21" i="2" l="1"/>
  <c r="X13" i="2"/>
  <c r="X32" i="2" s="1"/>
  <c r="Y32" i="2" s="1"/>
  <c r="Z32" i="2" s="1"/>
  <c r="J32" i="2"/>
  <c r="J15" i="2"/>
  <c r="J19" i="2" s="1"/>
  <c r="J20" i="2" s="1"/>
  <c r="J21" i="2" s="1"/>
  <c r="X21" i="2" s="1"/>
  <c r="X12" i="2"/>
  <c r="X31" i="2" s="1"/>
  <c r="Y31" i="2" s="1"/>
  <c r="Z31" i="2" s="1"/>
  <c r="J31" i="2"/>
  <c r="AA11" i="2"/>
  <c r="Z29" i="2"/>
  <c r="Y13" i="2" l="1"/>
  <c r="X15" i="2"/>
  <c r="X20" i="2"/>
  <c r="X19" i="2"/>
  <c r="Z12" i="2"/>
  <c r="AA31" i="2"/>
  <c r="AB31" i="2" s="1"/>
  <c r="AC31" i="2" s="1"/>
  <c r="AD31" i="2" s="1"/>
  <c r="AE31" i="2" s="1"/>
  <c r="AB11" i="2"/>
  <c r="AA29" i="2"/>
  <c r="Y12" i="2"/>
  <c r="Y15" i="2" s="1"/>
  <c r="Y19" i="2" s="1"/>
  <c r="Z13" i="2"/>
  <c r="AA32" i="2"/>
  <c r="AB32" i="2" s="1"/>
  <c r="AC32" i="2" s="1"/>
  <c r="AD32" i="2" s="1"/>
  <c r="AE32" i="2"/>
  <c r="AA13" i="2" l="1"/>
  <c r="AA12" i="2"/>
  <c r="AA15" i="2" s="1"/>
  <c r="AA19" i="2" s="1"/>
  <c r="AA20" i="2" s="1"/>
  <c r="AA21" i="2" s="1"/>
  <c r="AC11" i="2"/>
  <c r="AB29" i="2"/>
  <c r="AB12" i="2"/>
  <c r="AB13" i="2"/>
  <c r="Z15" i="2"/>
  <c r="Z19" i="2" s="1"/>
  <c r="Z20" i="2" s="1"/>
  <c r="Z21" i="2" s="1"/>
  <c r="AF32" i="2"/>
  <c r="AF31" i="2"/>
  <c r="Y20" i="2"/>
  <c r="Y21" i="2" s="1"/>
  <c r="AB15" i="2" l="1"/>
  <c r="AB19" i="2" s="1"/>
  <c r="AB20" i="2" s="1"/>
  <c r="AB21" i="2" s="1"/>
  <c r="AD11" i="2"/>
  <c r="AC29" i="2"/>
  <c r="AC13" i="2"/>
  <c r="AC12" i="2"/>
  <c r="AC15" i="2" s="1"/>
  <c r="AC19" i="2" s="1"/>
  <c r="AC20" i="2" s="1"/>
  <c r="AC21" i="2" s="1"/>
  <c r="AG31" i="2"/>
  <c r="AG32" i="2"/>
  <c r="AE11" i="2" l="1"/>
  <c r="AD29" i="2"/>
  <c r="AD12" i="2"/>
  <c r="AD13" i="2"/>
  <c r="AD15" i="2"/>
  <c r="AD19" i="2" s="1"/>
  <c r="AD20" i="2" s="1"/>
  <c r="AD21" i="2" s="1"/>
  <c r="AF11" i="2" l="1"/>
  <c r="AE29" i="2"/>
  <c r="AE12" i="2"/>
  <c r="AE13" i="2"/>
  <c r="AE15" i="2" l="1"/>
  <c r="AE19" i="2" s="1"/>
  <c r="AE20" i="2" s="1"/>
  <c r="AE21" i="2" s="1"/>
  <c r="AG11" i="2"/>
  <c r="AF29" i="2"/>
  <c r="AF12" i="2"/>
  <c r="AF13" i="2"/>
  <c r="AF15" i="2" l="1"/>
  <c r="AF19" i="2" s="1"/>
  <c r="AF20" i="2" s="1"/>
  <c r="AF21" i="2" s="1"/>
  <c r="AG29" i="2"/>
  <c r="AG12" i="2"/>
  <c r="AG13" i="2"/>
  <c r="AG15" i="2" l="1"/>
  <c r="AG19" i="2" s="1"/>
  <c r="AG20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X21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DL21" i="2" s="1"/>
  <c r="DM21" i="2" s="1"/>
  <c r="DN21" i="2" s="1"/>
  <c r="DO21" i="2" s="1"/>
  <c r="DP21" i="2" s="1"/>
  <c r="DQ21" i="2" s="1"/>
  <c r="DR21" i="2" s="1"/>
  <c r="DS21" i="2" s="1"/>
  <c r="DT21" i="2" s="1"/>
  <c r="DU21" i="2" s="1"/>
  <c r="DV21" i="2" s="1"/>
  <c r="DW21" i="2" s="1"/>
  <c r="DX21" i="2" s="1"/>
  <c r="DY21" i="2" s="1"/>
  <c r="DZ21" i="2" s="1"/>
  <c r="EA21" i="2" s="1"/>
  <c r="EB21" i="2" s="1"/>
  <c r="EC21" i="2" s="1"/>
  <c r="ED21" i="2" s="1"/>
  <c r="EE21" i="2" s="1"/>
  <c r="EF21" i="2" s="1"/>
  <c r="EG21" i="2" s="1"/>
  <c r="EH21" i="2" s="1"/>
  <c r="EI21" i="2" s="1"/>
  <c r="EJ21" i="2" s="1"/>
  <c r="EK21" i="2" s="1"/>
  <c r="EL21" i="2" s="1"/>
  <c r="EM21" i="2" s="1"/>
  <c r="EN21" i="2" s="1"/>
  <c r="EO21" i="2" s="1"/>
  <c r="EP21" i="2" s="1"/>
  <c r="EQ21" i="2" s="1"/>
  <c r="ER21" i="2" s="1"/>
  <c r="ES21" i="2" s="1"/>
  <c r="ET21" i="2" s="1"/>
  <c r="EU21" i="2" s="1"/>
  <c r="EV21" i="2" s="1"/>
  <c r="EW21" i="2" s="1"/>
  <c r="EX21" i="2" s="1"/>
  <c r="EY21" i="2" s="1"/>
  <c r="EZ21" i="2" s="1"/>
  <c r="FA21" i="2" s="1"/>
  <c r="FB21" i="2" s="1"/>
  <c r="FC21" i="2" s="1"/>
  <c r="FD21" i="2" s="1"/>
  <c r="FE21" i="2" s="1"/>
  <c r="FF21" i="2" s="1"/>
  <c r="FG21" i="2" s="1"/>
  <c r="FH21" i="2" s="1"/>
  <c r="FI21" i="2" s="1"/>
  <c r="FJ21" i="2" s="1"/>
  <c r="FK21" i="2" s="1"/>
  <c r="FL21" i="2" s="1"/>
  <c r="FM21" i="2" s="1"/>
  <c r="FN21" i="2" s="1"/>
  <c r="FO21" i="2" s="1"/>
  <c r="FP21" i="2" s="1"/>
  <c r="FQ21" i="2" s="1"/>
  <c r="FR21" i="2" s="1"/>
  <c r="FS21" i="2" s="1"/>
  <c r="FT21" i="2" s="1"/>
  <c r="FU21" i="2" s="1"/>
  <c r="FV21" i="2" s="1"/>
  <c r="FW21" i="2" s="1"/>
  <c r="FX21" i="2" s="1"/>
  <c r="FY21" i="2" s="1"/>
  <c r="FZ21" i="2" s="1"/>
  <c r="GA21" i="2" s="1"/>
  <c r="GB21" i="2" s="1"/>
  <c r="GC21" i="2" s="1"/>
  <c r="GD21" i="2" s="1"/>
  <c r="GE21" i="2" s="1"/>
  <c r="GF21" i="2" s="1"/>
  <c r="GG21" i="2" s="1"/>
  <c r="GH21" i="2" s="1"/>
  <c r="GI21" i="2" s="1"/>
  <c r="GJ21" i="2" s="1"/>
  <c r="GK21" i="2" s="1"/>
  <c r="GL21" i="2" s="1"/>
  <c r="GM21" i="2" s="1"/>
  <c r="GN21" i="2" s="1"/>
  <c r="GO21" i="2" s="1"/>
  <c r="GP21" i="2" s="1"/>
  <c r="GQ21" i="2" s="1"/>
  <c r="GR21" i="2" s="1"/>
  <c r="GS21" i="2" s="1"/>
  <c r="GT21" i="2" s="1"/>
  <c r="GU21" i="2" s="1"/>
  <c r="GV21" i="2" s="1"/>
  <c r="GW21" i="2" s="1"/>
  <c r="GX21" i="2" s="1"/>
  <c r="GY21" i="2" s="1"/>
  <c r="GZ21" i="2" s="1"/>
  <c r="HA21" i="2" s="1"/>
  <c r="HB21" i="2" s="1"/>
  <c r="HC21" i="2" s="1"/>
  <c r="HD21" i="2" s="1"/>
  <c r="HE21" i="2" s="1"/>
  <c r="HF21" i="2" s="1"/>
  <c r="HG21" i="2" s="1"/>
  <c r="HH21" i="2" s="1"/>
  <c r="HI21" i="2" s="1"/>
  <c r="HJ21" i="2" s="1"/>
  <c r="HK21" i="2" s="1"/>
  <c r="HL21" i="2" s="1"/>
  <c r="HM21" i="2" s="1"/>
  <c r="HN21" i="2" s="1"/>
  <c r="HO21" i="2" s="1"/>
  <c r="HP21" i="2" s="1"/>
  <c r="HQ21" i="2" s="1"/>
  <c r="HR21" i="2" s="1"/>
  <c r="HS21" i="2" s="1"/>
  <c r="HT21" i="2" s="1"/>
  <c r="HU21" i="2" s="1"/>
  <c r="HV21" i="2" s="1"/>
  <c r="HW21" i="2" s="1"/>
  <c r="HX21" i="2" s="1"/>
  <c r="HY21" i="2" s="1"/>
  <c r="HZ21" i="2" s="1"/>
  <c r="AL26" i="2" l="1"/>
  <c r="AL28" i="2" s="1"/>
</calcChain>
</file>

<file path=xl/sharedStrings.xml><?xml version="1.0" encoding="utf-8"?>
<sst xmlns="http://schemas.openxmlformats.org/spreadsheetml/2006/main" count="463" uniqueCount="290">
  <si>
    <t>P</t>
  </si>
  <si>
    <t>S</t>
  </si>
  <si>
    <t>MC</t>
  </si>
  <si>
    <t>C</t>
  </si>
  <si>
    <t>D</t>
  </si>
  <si>
    <t>EV</t>
  </si>
  <si>
    <t>Q225</t>
  </si>
  <si>
    <t xml:space="preserve">CEO </t>
  </si>
  <si>
    <t xml:space="preserve">CFO </t>
  </si>
  <si>
    <t>Q124</t>
  </si>
  <si>
    <t>Q224</t>
  </si>
  <si>
    <t>Q324</t>
  </si>
  <si>
    <t>Q424</t>
  </si>
  <si>
    <t>Q125</t>
  </si>
  <si>
    <t>Q325</t>
  </si>
  <si>
    <t>Q425</t>
  </si>
  <si>
    <t>Q126</t>
  </si>
  <si>
    <t>Q226</t>
  </si>
  <si>
    <t>Q326</t>
  </si>
  <si>
    <t>Q426</t>
  </si>
  <si>
    <t xml:space="preserve">Distribution </t>
  </si>
  <si>
    <t xml:space="preserve">Advertising </t>
  </si>
  <si>
    <t xml:space="preserve">Content </t>
  </si>
  <si>
    <t xml:space="preserve">Other </t>
  </si>
  <si>
    <t>Total Revenues</t>
  </si>
  <si>
    <t xml:space="preserve">Costs </t>
  </si>
  <si>
    <t>SG&amp;A</t>
  </si>
  <si>
    <t>D&amp;A</t>
  </si>
  <si>
    <t xml:space="preserve">Operating Income </t>
  </si>
  <si>
    <t>Interest Expense</t>
  </si>
  <si>
    <t>Equity Investees</t>
  </si>
  <si>
    <t xml:space="preserve">Other Income </t>
  </si>
  <si>
    <t xml:space="preserve">EBT </t>
  </si>
  <si>
    <t>Taxes</t>
  </si>
  <si>
    <t xml:space="preserve">Net Income </t>
  </si>
  <si>
    <t xml:space="preserve">Noncontrolling </t>
  </si>
  <si>
    <t>Growth Analysis Y/Y</t>
  </si>
  <si>
    <t>CFFO</t>
  </si>
  <si>
    <t>Capex</t>
  </si>
  <si>
    <t xml:space="preserve">FCF </t>
  </si>
  <si>
    <t>4QFCF</t>
  </si>
  <si>
    <t xml:space="preserve">Cash </t>
  </si>
  <si>
    <t>Recievables</t>
  </si>
  <si>
    <t>Prepaid Exp</t>
  </si>
  <si>
    <t>Currency</t>
  </si>
  <si>
    <t>Warner Media LLC</t>
  </si>
  <si>
    <t>USD</t>
  </si>
  <si>
    <t>Floating</t>
  </si>
  <si>
    <t>EUR</t>
  </si>
  <si>
    <t>Issuer</t>
  </si>
  <si>
    <t>Notional</t>
  </si>
  <si>
    <t>Notional (USD)</t>
  </si>
  <si>
    <t>Rate</t>
  </si>
  <si>
    <t>Maturity</t>
  </si>
  <si>
    <t>3.600%</t>
  </si>
  <si>
    <t>7/15/2025</t>
  </si>
  <si>
    <t>3.875%</t>
  </si>
  <si>
    <t>1/15/2026</t>
  </si>
  <si>
    <t>Historic TW Inc</t>
  </si>
  <si>
    <t>6.850%</t>
  </si>
  <si>
    <t>Discovery Communications LLC</t>
  </si>
  <si>
    <t>4.900%</t>
  </si>
  <si>
    <t>3/11/2026</t>
  </si>
  <si>
    <t>2.950%</t>
  </si>
  <si>
    <t>7/15/2026</t>
  </si>
  <si>
    <t>Warnermedia Holdings Inc - Secured Bridge Loan</t>
  </si>
  <si>
    <t>12/30/2026</t>
  </si>
  <si>
    <t>3.800%</t>
  </si>
  <si>
    <t>2/15/2027</t>
  </si>
  <si>
    <t>Warnermedia Holdings Inc</t>
  </si>
  <si>
    <t>3.755%</t>
  </si>
  <si>
    <t>3/15/2027</t>
  </si>
  <si>
    <t>Warnermedia Holdings Inc (a)</t>
  </si>
  <si>
    <t>1.900%</t>
  </si>
  <si>
    <t>3/19/2027</t>
  </si>
  <si>
    <t>6.950%</t>
  </si>
  <si>
    <t>1/15/2028</t>
  </si>
  <si>
    <t>3.950%</t>
  </si>
  <si>
    <t>3/20/2028</t>
  </si>
  <si>
    <t>Discovery Communications LLC (a)</t>
  </si>
  <si>
    <t>4.054%</t>
  </si>
  <si>
    <t>3/15/2029</t>
  </si>
  <si>
    <t>4.125%</t>
  </si>
  <si>
    <t>5/15/2029</t>
  </si>
  <si>
    <t>6.625%</t>
  </si>
  <si>
    <t>4.302%</t>
  </si>
  <si>
    <t>1/17/2030</t>
  </si>
  <si>
    <t>3.625%</t>
  </si>
  <si>
    <t>5/15/2030</t>
  </si>
  <si>
    <t>7.625%</t>
  </si>
  <si>
    <t>4/15/2031</t>
  </si>
  <si>
    <t>4.279%</t>
  </si>
  <si>
    <t>3/15/2032</t>
  </si>
  <si>
    <t>7.700%</t>
  </si>
  <si>
    <t>5/1/2032</t>
  </si>
  <si>
    <t>4.693%</t>
  </si>
  <si>
    <t>5/17/2033</t>
  </si>
  <si>
    <t>8.300%</t>
  </si>
  <si>
    <t>1/15/2036</t>
  </si>
  <si>
    <t>6.500%</t>
  </si>
  <si>
    <t>11/15/2036</t>
  </si>
  <si>
    <t>5.000%</t>
  </si>
  <si>
    <t>9/20/2037</t>
  </si>
  <si>
    <t>6.200%</t>
  </si>
  <si>
    <t>3/15/2040</t>
  </si>
  <si>
    <t>6.350%</t>
  </si>
  <si>
    <t>6/1/2040</t>
  </si>
  <si>
    <t>6.100%</t>
  </si>
  <si>
    <t>7/15/2040</t>
  </si>
  <si>
    <t>6.250%</t>
  </si>
  <si>
    <t>3/29/2041</t>
  </si>
  <si>
    <t>5.375%</t>
  </si>
  <si>
    <t>10/15/2041</t>
  </si>
  <si>
    <t>5.050%</t>
  </si>
  <si>
    <t>3/15/2042</t>
  </si>
  <si>
    <t>4.950%</t>
  </si>
  <si>
    <t>5/15/2042</t>
  </si>
  <si>
    <t>6/15/2042</t>
  </si>
  <si>
    <t>4.875%</t>
  </si>
  <si>
    <t>4/1/2043</t>
  </si>
  <si>
    <t>5.350%</t>
  </si>
  <si>
    <t>12/15/2043</t>
  </si>
  <si>
    <t>4.650%</t>
  </si>
  <si>
    <t>6/1/2044</t>
  </si>
  <si>
    <t>4.850%</t>
  </si>
  <si>
    <t>7/15/2045</t>
  </si>
  <si>
    <t>5.200%</t>
  </si>
  <si>
    <t>9/20/2047</t>
  </si>
  <si>
    <t>5.300%</t>
  </si>
  <si>
    <t>5/15/2049</t>
  </si>
  <si>
    <t>5/15/2050</t>
  </si>
  <si>
    <t>5.141%</t>
  </si>
  <si>
    <t>3/15/2052</t>
  </si>
  <si>
    <t>4.000%</t>
  </si>
  <si>
    <t>9/15/2055</t>
  </si>
  <si>
    <t>5.391%</t>
  </si>
  <si>
    <t>3/15/2062</t>
  </si>
  <si>
    <t>Term</t>
  </si>
  <si>
    <t xml:space="preserve">Discount </t>
  </si>
  <si>
    <t>Disc</t>
  </si>
  <si>
    <t>NPV</t>
  </si>
  <si>
    <t>Shares</t>
  </si>
  <si>
    <t xml:space="preserve">Estimate </t>
  </si>
  <si>
    <t>Shareholder Letters</t>
  </si>
  <si>
    <t>Q423</t>
  </si>
  <si>
    <t>Q323</t>
  </si>
  <si>
    <t>Q223</t>
  </si>
  <si>
    <t>Q123</t>
  </si>
  <si>
    <t>Earnings Lease</t>
  </si>
  <si>
    <t>David Zaslav</t>
  </si>
  <si>
    <t xml:space="preserve">Gunnar Wiedenfels </t>
  </si>
  <si>
    <t>Motion Pictures</t>
  </si>
  <si>
    <t>Warner Bors Pictures</t>
  </si>
  <si>
    <t>New Line</t>
  </si>
  <si>
    <t xml:space="preserve">DC Studios </t>
  </si>
  <si>
    <t>Warner Bros TV: producing shows for HBO, Max, broadcast, and 3rd parties</t>
  </si>
  <si>
    <t xml:space="preserve">Games: Mortal Kombat, Harry Potter/Hogwarts Legacy </t>
  </si>
  <si>
    <t xml:space="preserve">1. Studios </t>
  </si>
  <si>
    <t xml:space="preserve">2. Network </t>
  </si>
  <si>
    <t>Legacy linear TV business [Domestic &amp; International]</t>
  </si>
  <si>
    <t>Stations: TNT, TBS, Discovery, TLC, HGTV, CNN, Food Network, Cartoon Network</t>
  </si>
  <si>
    <t>Cash cow in secular decline as streaming picks up</t>
  </si>
  <si>
    <t xml:space="preserve">3. Direct to Consumer </t>
  </si>
  <si>
    <t>Max (formerly HBO Max + Discovery + Merged)</t>
  </si>
  <si>
    <t>Discovery+ (still exists as standalone in US)</t>
  </si>
  <si>
    <t>Includes subcription + advertising tiers (AVOD/SVOD)</t>
  </si>
  <si>
    <t xml:space="preserve">1. Studios = content creation </t>
  </si>
  <si>
    <t xml:space="preserve">2. Networks = linear distribution </t>
  </si>
  <si>
    <t xml:space="preserve">3. DTC = streaming distribution </t>
  </si>
  <si>
    <t xml:space="preserve">Summary </t>
  </si>
  <si>
    <t xml:space="preserve">Legacy Structure </t>
  </si>
  <si>
    <t xml:space="preserve">New Structure </t>
  </si>
  <si>
    <t>1. Content &amp; Studios Group</t>
  </si>
  <si>
    <t>film, tv, and games</t>
  </si>
  <si>
    <t>includes global content licensing (sellign shows to netflix/amazon)</t>
  </si>
  <si>
    <t xml:space="preserve">2. Networks &amp; Streaming Group </t>
  </si>
  <si>
    <t xml:space="preserve">combines linear networks + max/discovery+ streaming into one unit </t>
  </si>
  <si>
    <t xml:space="preserve">3. Corporate/ Other </t>
  </si>
  <si>
    <t>central functions: finance, legal, tech. hr, strategy</t>
  </si>
  <si>
    <t>Film and tv content rights</t>
  </si>
  <si>
    <t>PPE</t>
  </si>
  <si>
    <t>Goodwill</t>
  </si>
  <si>
    <t>Intangibles</t>
  </si>
  <si>
    <t>ONCA</t>
  </si>
  <si>
    <t xml:space="preserve">Total Assets </t>
  </si>
  <si>
    <t>A/P</t>
  </si>
  <si>
    <t>Accrued Liab</t>
  </si>
  <si>
    <t>Deferred Rev</t>
  </si>
  <si>
    <t xml:space="preserve">Current debt </t>
  </si>
  <si>
    <t>NC Debt</t>
  </si>
  <si>
    <t>Deferred i/t</t>
  </si>
  <si>
    <t>ONCL</t>
  </si>
  <si>
    <t xml:space="preserve">Total Liabilities </t>
  </si>
  <si>
    <t xml:space="preserve">Equity </t>
  </si>
  <si>
    <t xml:space="preserve">Total Liabilities + Equity </t>
  </si>
  <si>
    <t>Total Debt</t>
  </si>
  <si>
    <t xml:space="preserve">Total Capital </t>
  </si>
  <si>
    <t>Debt to Capital</t>
  </si>
  <si>
    <t>Net Cash</t>
  </si>
  <si>
    <t>Net Income</t>
  </si>
  <si>
    <t xml:space="preserve">Content rights </t>
  </si>
  <si>
    <t>Deferrd i/t</t>
  </si>
  <si>
    <t>SBC</t>
  </si>
  <si>
    <t>Gain on sales investments</t>
  </si>
  <si>
    <t xml:space="preserve">Debt Extinguishment </t>
  </si>
  <si>
    <t>Impairments</t>
  </si>
  <si>
    <t>Other</t>
  </si>
  <si>
    <t xml:space="preserve">Recievables </t>
  </si>
  <si>
    <t>Fx</t>
  </si>
  <si>
    <t xml:space="preserve">CFFO </t>
  </si>
  <si>
    <t>Proceeds from sales of investments</t>
  </si>
  <si>
    <t>Investments in &amp; advances to equity inv</t>
  </si>
  <si>
    <t>Proceeds from asset disposition</t>
  </si>
  <si>
    <t xml:space="preserve">Other investing activities </t>
  </si>
  <si>
    <t xml:space="preserve">CFFI </t>
  </si>
  <si>
    <t xml:space="preserve">Principal repayments of debt </t>
  </si>
  <si>
    <t xml:space="preserve">Borrowings </t>
  </si>
  <si>
    <t>Distributions to noncontrlling</t>
  </si>
  <si>
    <t>Proceeds from noncontrolling interests in JV</t>
  </si>
  <si>
    <t>Borrowings under commercial paper program</t>
  </si>
  <si>
    <t>Repayments under commercial paper program</t>
  </si>
  <si>
    <t>CFFF</t>
  </si>
  <si>
    <t xml:space="preserve">Other Activities </t>
  </si>
  <si>
    <t>Cash Increase</t>
  </si>
  <si>
    <t>Cash @ Beginning</t>
  </si>
  <si>
    <t xml:space="preserve">Cash @ End </t>
  </si>
  <si>
    <t>FCF</t>
  </si>
  <si>
    <t xml:space="preserve">Black Centric </t>
  </si>
  <si>
    <t xml:space="preserve">Fresh Prince of Bel Air </t>
  </si>
  <si>
    <t xml:space="preserve">Living Single </t>
  </si>
  <si>
    <t xml:space="preserve">A Different World </t>
  </si>
  <si>
    <t>Insecure</t>
  </si>
  <si>
    <t xml:space="preserve">Euphoria </t>
  </si>
  <si>
    <t xml:space="preserve">Lovecraft Country </t>
  </si>
  <si>
    <t xml:space="preserve">Black Lightning </t>
  </si>
  <si>
    <t xml:space="preserve">Static Shock </t>
  </si>
  <si>
    <t>BET Content Partnership s</t>
  </si>
  <si>
    <t xml:space="preserve">TNT/TBS Sports Coverage </t>
  </si>
  <si>
    <t xml:space="preserve">Adult Swim/Cartoon Network </t>
  </si>
  <si>
    <t>Film Franchises</t>
  </si>
  <si>
    <t xml:space="preserve">Harry Potter / Wizarding World </t>
  </si>
  <si>
    <t xml:space="preserve">The Lord of the Rings / The Hobbit </t>
  </si>
  <si>
    <t xml:space="preserve">The Matrix </t>
  </si>
  <si>
    <t xml:space="preserve">The Lego Movie Franchise </t>
  </si>
  <si>
    <t xml:space="preserve">It and The Conjuring Horror </t>
  </si>
  <si>
    <t xml:space="preserve">Mad Max / Furiosa </t>
  </si>
  <si>
    <t xml:space="preserve">Superheroes / Dc Entertainment </t>
  </si>
  <si>
    <t>Batman/ Superman, Wonder Woman, Aquaman,The Flask, The Joker, Justicec League, Suicide Squad</t>
  </si>
  <si>
    <t>Animated Dc Universe (Animated series, teen titans, young justice)</t>
  </si>
  <si>
    <t xml:space="preserve">TV/Streaming </t>
  </si>
  <si>
    <t>Game of Thrones + House of Dragon</t>
  </si>
  <si>
    <t>Succession</t>
  </si>
  <si>
    <t>Soporanos</t>
  </si>
  <si>
    <t>The Wire</t>
  </si>
  <si>
    <t>Sex and the City</t>
  </si>
  <si>
    <t>Friends</t>
  </si>
  <si>
    <t xml:space="preserve">Big bang Theory </t>
  </si>
  <si>
    <t>Westworld</t>
  </si>
  <si>
    <t>True Detective</t>
  </si>
  <si>
    <t>Curbe your Enthusiasm</t>
  </si>
  <si>
    <t>Animaton</t>
  </si>
  <si>
    <t>Looney Tunes</t>
  </si>
  <si>
    <t>Scooby-Doo</t>
  </si>
  <si>
    <t xml:space="preserve">Tom &amp; Jerry </t>
  </si>
  <si>
    <t>Hanna Barbera Catalog (Flintstones, Jetsons, Yogi Bear)</t>
  </si>
  <si>
    <t>Ricky and Morty</t>
  </si>
  <si>
    <t>News/Sports</t>
  </si>
  <si>
    <t>CNN</t>
  </si>
  <si>
    <t>TNT, TBS, truTV</t>
  </si>
  <si>
    <t xml:space="preserve">Discovery Networks </t>
  </si>
  <si>
    <t xml:space="preserve">Food Network </t>
  </si>
  <si>
    <t>HGTV</t>
  </si>
  <si>
    <t>TLC</t>
  </si>
  <si>
    <t xml:space="preserve">Discovery Channel </t>
  </si>
  <si>
    <t>Animal Planet</t>
  </si>
  <si>
    <t xml:space="preserve">OWN JV with Oprah </t>
  </si>
  <si>
    <t>New Line Cinema</t>
  </si>
  <si>
    <t xml:space="preserve">Nightmare on Elm Street </t>
  </si>
  <si>
    <t>IT</t>
  </si>
  <si>
    <t xml:space="preserve">Final Destination Series </t>
  </si>
  <si>
    <t xml:space="preserve">Rush Hour Series </t>
  </si>
  <si>
    <t xml:space="preserve">Austin Powers Trilogy </t>
  </si>
  <si>
    <t>Friday Series [ rights split with CubeVision/Universal ]</t>
  </si>
  <si>
    <t xml:space="preserve">Set it Off </t>
  </si>
  <si>
    <t xml:space="preserve">Love Jones </t>
  </si>
  <si>
    <t xml:space="preserve">Lord of the rings + Hobbit </t>
  </si>
  <si>
    <t xml:space="preserve">Blade Trilogy </t>
  </si>
  <si>
    <t xml:space="preserve">Domestic </t>
  </si>
  <si>
    <t xml:space="preserve">International </t>
  </si>
  <si>
    <t xml:space="preserve">Total Subscribers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</si>
</sst>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b/>
      <sz val="11"/>
      <name val="Calibri"/>
      <family val="2"/>
    </font>
    <font>
      <i/>
      <sz val="12"/>
      <color theme="1"/>
      <name val="Aptos Narrow"/>
      <scheme val="minor"/>
    </font>
    <font>
      <b/>
      <i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3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3" fontId="0" fillId="0" borderId="0" xfId="0" applyNumberFormat="1" applyAlignment="1">
      <alignment horizontal="left" indent="1"/>
    </xf>
    <xf numFmtId="3" fontId="1" fillId="0" borderId="0" xfId="0" applyNumberFormat="1" applyFont="1"/>
    <xf numFmtId="9" fontId="0" fillId="0" borderId="0" xfId="0" applyNumberFormat="1"/>
    <xf numFmtId="3" fontId="2" fillId="0" borderId="0" xfId="1" applyNumberFormat="1"/>
    <xf numFmtId="165" fontId="0" fillId="0" borderId="0" xfId="0" applyNumberFormat="1"/>
    <xf numFmtId="10" fontId="0" fillId="0" borderId="0" xfId="0" applyNumberFormat="1"/>
    <xf numFmtId="0" fontId="3" fillId="0" borderId="0" xfId="0" applyFont="1" applyAlignment="1">
      <alignment horizontal="center" vertical="top"/>
    </xf>
    <xf numFmtId="3" fontId="3" fillId="0" borderId="0" xfId="0" applyNumberFormat="1" applyFont="1" applyAlignment="1">
      <alignment horizontal="center" vertical="top"/>
    </xf>
    <xf numFmtId="164" fontId="1" fillId="0" borderId="0" xfId="0" applyNumberFormat="1" applyFont="1"/>
    <xf numFmtId="3" fontId="4" fillId="0" borderId="0" xfId="0" applyNumberFormat="1" applyFont="1" applyAlignment="1">
      <alignment horizontal="left" indent="1"/>
    </xf>
    <xf numFmtId="0" fontId="4" fillId="0" borderId="0" xfId="0" applyFont="1"/>
    <xf numFmtId="0" fontId="5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9478</xdr:colOff>
      <xdr:row>0</xdr:row>
      <xdr:rowOff>9478</xdr:rowOff>
    </xdr:from>
    <xdr:to>
      <xdr:col>8</xdr:col>
      <xdr:colOff>9478</xdr:colOff>
      <xdr:row>131</xdr:row>
      <xdr:rowOff>28433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B825C80-C22F-501A-D9E7-A045C4A10BF9}"/>
            </a:ext>
          </a:extLst>
        </xdr:cNvPr>
        <xdr:cNvCxnSpPr/>
      </xdr:nvCxnSpPr>
      <xdr:spPr>
        <a:xfrm>
          <a:off x="4084851" y="9478"/>
          <a:ext cx="0" cy="1136365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37911</xdr:colOff>
      <xdr:row>0</xdr:row>
      <xdr:rowOff>9477</xdr:rowOff>
    </xdr:from>
    <xdr:to>
      <xdr:col>23</xdr:col>
      <xdr:colOff>37911</xdr:colOff>
      <xdr:row>111</xdr:row>
      <xdr:rowOff>199029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2963AE1-0997-9446-ACB5-703308BD4D32}"/>
            </a:ext>
          </a:extLst>
        </xdr:cNvPr>
        <xdr:cNvCxnSpPr/>
      </xdr:nvCxnSpPr>
      <xdr:spPr>
        <a:xfrm>
          <a:off x="11486866" y="9477"/>
          <a:ext cx="0" cy="775268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201.q4cdn.com/336605034/files/doc_earnings/2024/q2/earnings-result/WBD-2Q24-Earnings-Release.pdf" TargetMode="External"/><Relationship Id="rId13" Type="http://schemas.openxmlformats.org/officeDocument/2006/relationships/hyperlink" Target="https://s201.q4cdn.com/336605034/files/doc_financials/2023/q1/WBD-1Q23-Earnings-Release-Final-05-04-23.pdf" TargetMode="External"/><Relationship Id="rId3" Type="http://schemas.openxmlformats.org/officeDocument/2006/relationships/hyperlink" Target="https://s201.q4cdn.com/336605034/files/doc_earnings/2024/q4/earnings-result/WBD-4Q24-Shareholder-Letter.pdf" TargetMode="External"/><Relationship Id="rId7" Type="http://schemas.openxmlformats.org/officeDocument/2006/relationships/hyperlink" Target="https://s201.q4cdn.com/336605034/files/doc_earnings/2024/q3/earnings-result/WBD-3Q24-Earnings-Release.pdf" TargetMode="External"/><Relationship Id="rId12" Type="http://schemas.openxmlformats.org/officeDocument/2006/relationships/hyperlink" Target="https://s201.q4cdn.com/336605034/files/doc_earnings/2023/q2/earnings-result/WBD-2Q23-Earnings-Release.pdf" TargetMode="External"/><Relationship Id="rId2" Type="http://schemas.openxmlformats.org/officeDocument/2006/relationships/hyperlink" Target="https://s201.q4cdn.com/336605034/files/doc_earnings/2025/q1/generic/WBD-1Q25-Shareholder-Letter.pdf" TargetMode="External"/><Relationship Id="rId1" Type="http://schemas.openxmlformats.org/officeDocument/2006/relationships/hyperlink" Target="https://s201.q4cdn.com/336605034/files/doc_earnings/2025/q2/earnings-result/WBD-2Q25-Shareholder-Letter.pdf" TargetMode="External"/><Relationship Id="rId6" Type="http://schemas.openxmlformats.org/officeDocument/2006/relationships/hyperlink" Target="https://s201.q4cdn.com/336605034/files/doc_earnings/2024/q4/earnings-result/WBD-4Q24-Earnings-Release.pdf" TargetMode="External"/><Relationship Id="rId11" Type="http://schemas.openxmlformats.org/officeDocument/2006/relationships/hyperlink" Target="https://s201.q4cdn.com/336605034/files/doc_earnings/2023/q3/earnings-result/WBD-3Q23-Earnings-Release.pdf" TargetMode="External"/><Relationship Id="rId5" Type="http://schemas.openxmlformats.org/officeDocument/2006/relationships/hyperlink" Target="https://s201.q4cdn.com/336605034/files/doc_earnings/2025/q1/generic/WBD-1Q25-Shareholder-Letter.pdf" TargetMode="External"/><Relationship Id="rId10" Type="http://schemas.openxmlformats.org/officeDocument/2006/relationships/hyperlink" Target="https://s201.q4cdn.com/336605034/files/doc_earnings/2023/q4/earnings-result/WBD-4Q23-Earnings-Release.pdf" TargetMode="External"/><Relationship Id="rId4" Type="http://schemas.openxmlformats.org/officeDocument/2006/relationships/hyperlink" Target="https://s201.q4cdn.com/336605034/files/doc_earnings/2025/q2/earnings-result/WBD-2Q25-Earnings-Release.pdf" TargetMode="External"/><Relationship Id="rId9" Type="http://schemas.openxmlformats.org/officeDocument/2006/relationships/hyperlink" Target="https://s201.q4cdn.com/336605034/files/doc_earnings/2024/q1/earnings-result/WBD-1Q24-Earnings-Release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5087-14B9-D049-974A-2BEFD66A4854}">
  <dimension ref="B2:S33"/>
  <sheetViews>
    <sheetView tabSelected="1" topLeftCell="B1" zoomScale="109" workbookViewId="0">
      <selection activeCell="F31" sqref="F31"/>
    </sheetView>
  </sheetViews>
  <sheetFormatPr baseColWidth="10" defaultRowHeight="16" x14ac:dyDescent="0.2"/>
  <cols>
    <col min="1" max="1" width="2.83203125" style="2" customWidth="1"/>
    <col min="2" max="2" width="5.1640625" style="2" bestFit="1" customWidth="1"/>
    <col min="3" max="3" width="17.1640625" style="2" bestFit="1" customWidth="1"/>
    <col min="4" max="4" width="13.33203125" style="2" bestFit="1" customWidth="1"/>
    <col min="5" max="5" width="10.83203125" style="2"/>
    <col min="6" max="6" width="19.33203125" style="2" bestFit="1" customWidth="1"/>
    <col min="7" max="9" width="10.83203125" style="2"/>
    <col min="10" max="10" width="4" style="2" bestFit="1" customWidth="1"/>
    <col min="11" max="11" width="6.6640625" style="2" bestFit="1" customWidth="1"/>
    <col min="12" max="12" width="5.5" style="2" bestFit="1" customWidth="1"/>
    <col min="13" max="13" width="3.5" style="2" customWidth="1"/>
    <col min="14" max="16" width="10.83203125" style="2"/>
    <col min="17" max="17" width="15.6640625" style="2" bestFit="1" customWidth="1"/>
    <col min="18" max="18" width="16.6640625" style="2" bestFit="1" customWidth="1"/>
    <col min="19" max="16384" width="10.83203125" style="2"/>
  </cols>
  <sheetData>
    <row r="2" spans="2:19" x14ac:dyDescent="0.2">
      <c r="B2" s="2" t="s">
        <v>7</v>
      </c>
      <c r="C2" s="2" t="s">
        <v>149</v>
      </c>
    </row>
    <row r="3" spans="2:19" x14ac:dyDescent="0.2">
      <c r="B3" s="2" t="s">
        <v>8</v>
      </c>
      <c r="C3" s="2" t="s">
        <v>150</v>
      </c>
      <c r="K3" s="2">
        <v>12.1</v>
      </c>
      <c r="Q3" s="8"/>
      <c r="R3" s="8"/>
      <c r="S3" s="8"/>
    </row>
    <row r="4" spans="2:19" x14ac:dyDescent="0.2">
      <c r="J4" s="2" t="s">
        <v>0</v>
      </c>
      <c r="K4" s="1">
        <v>17.95</v>
      </c>
      <c r="L4" s="7"/>
      <c r="M4" s="1"/>
      <c r="N4" s="1">
        <f>+N6/N5</f>
        <v>17.85548403756626</v>
      </c>
    </row>
    <row r="5" spans="2:19" x14ac:dyDescent="0.2">
      <c r="F5" s="6" t="s">
        <v>170</v>
      </c>
      <c r="J5" s="2" t="s">
        <v>1</v>
      </c>
      <c r="K5" s="2">
        <v>2475.7722819999999</v>
      </c>
      <c r="L5" s="2" t="s">
        <v>6</v>
      </c>
      <c r="N5" s="2">
        <f>+K5</f>
        <v>2475.7722819999999</v>
      </c>
    </row>
    <row r="6" spans="2:19" x14ac:dyDescent="0.2">
      <c r="F6" s="6" t="s">
        <v>157</v>
      </c>
      <c r="J6" s="2" t="s">
        <v>2</v>
      </c>
      <c r="K6" s="2">
        <f>+K4*K5</f>
        <v>44440.112461899997</v>
      </c>
      <c r="N6" s="2">
        <f>+N9-N8+N7</f>
        <v>44206.112461899989</v>
      </c>
    </row>
    <row r="7" spans="2:19" x14ac:dyDescent="0.2">
      <c r="C7" s="2" t="s">
        <v>143</v>
      </c>
      <c r="D7" s="2" t="s">
        <v>148</v>
      </c>
      <c r="F7" s="2" t="s">
        <v>151</v>
      </c>
      <c r="J7" s="2" t="s">
        <v>3</v>
      </c>
      <c r="K7" s="2">
        <v>4888</v>
      </c>
      <c r="L7" s="2" t="str">
        <f>+L5</f>
        <v>Q225</v>
      </c>
      <c r="N7" s="2">
        <f>+K7</f>
        <v>4888</v>
      </c>
    </row>
    <row r="8" spans="2:19" x14ac:dyDescent="0.2">
      <c r="C8" s="8" t="s">
        <v>6</v>
      </c>
      <c r="D8" s="8" t="s">
        <v>6</v>
      </c>
      <c r="F8" s="14" t="s">
        <v>152</v>
      </c>
      <c r="J8" s="2" t="s">
        <v>4</v>
      </c>
      <c r="K8" s="2">
        <f>221+34411</f>
        <v>34632</v>
      </c>
      <c r="L8" s="2" t="str">
        <f>+L7</f>
        <v>Q225</v>
      </c>
      <c r="N8" s="2">
        <v>34866</v>
      </c>
    </row>
    <row r="9" spans="2:19" x14ac:dyDescent="0.2">
      <c r="C9" s="8" t="s">
        <v>13</v>
      </c>
      <c r="D9" s="8" t="s">
        <v>13</v>
      </c>
      <c r="F9" s="14" t="s">
        <v>153</v>
      </c>
      <c r="J9" s="2" t="s">
        <v>5</v>
      </c>
      <c r="K9" s="2">
        <f>+K6-K7+K8</f>
        <v>74184.112461899989</v>
      </c>
      <c r="N9" s="2">
        <f>+K9</f>
        <v>74184.112461899989</v>
      </c>
    </row>
    <row r="10" spans="2:19" x14ac:dyDescent="0.2">
      <c r="C10" s="8" t="s">
        <v>12</v>
      </c>
      <c r="D10" s="8" t="s">
        <v>12</v>
      </c>
      <c r="F10" s="14" t="s">
        <v>154</v>
      </c>
    </row>
    <row r="11" spans="2:19" x14ac:dyDescent="0.2">
      <c r="C11" s="2" t="s">
        <v>11</v>
      </c>
      <c r="D11" s="8" t="s">
        <v>11</v>
      </c>
      <c r="F11" s="2" t="s">
        <v>155</v>
      </c>
    </row>
    <row r="12" spans="2:19" x14ac:dyDescent="0.2">
      <c r="C12" s="2" t="s">
        <v>10</v>
      </c>
      <c r="D12" s="8" t="s">
        <v>10</v>
      </c>
      <c r="F12" s="2" t="s">
        <v>156</v>
      </c>
    </row>
    <row r="13" spans="2:19" x14ac:dyDescent="0.2">
      <c r="C13" s="2" t="s">
        <v>9</v>
      </c>
      <c r="D13" s="8" t="s">
        <v>9</v>
      </c>
      <c r="F13" s="6" t="s">
        <v>158</v>
      </c>
      <c r="K13" s="6"/>
    </row>
    <row r="14" spans="2:19" x14ac:dyDescent="0.2">
      <c r="C14" s="2" t="s">
        <v>144</v>
      </c>
      <c r="D14" s="8" t="s">
        <v>144</v>
      </c>
      <c r="F14" s="2" t="s">
        <v>159</v>
      </c>
      <c r="K14" s="5"/>
    </row>
    <row r="15" spans="2:19" x14ac:dyDescent="0.2">
      <c r="C15" s="2" t="s">
        <v>145</v>
      </c>
      <c r="D15" s="8" t="s">
        <v>145</v>
      </c>
      <c r="F15" s="2" t="s">
        <v>160</v>
      </c>
      <c r="K15" s="5"/>
    </row>
    <row r="16" spans="2:19" x14ac:dyDescent="0.2">
      <c r="C16" s="2" t="s">
        <v>146</v>
      </c>
      <c r="D16" s="8" t="s">
        <v>146</v>
      </c>
      <c r="F16" s="2" t="s">
        <v>161</v>
      </c>
      <c r="K16" s="5"/>
    </row>
    <row r="17" spans="3:11" x14ac:dyDescent="0.2">
      <c r="C17" s="2" t="s">
        <v>147</v>
      </c>
      <c r="D17" s="8" t="s">
        <v>147</v>
      </c>
      <c r="F17" s="6" t="s">
        <v>162</v>
      </c>
    </row>
    <row r="18" spans="3:11" x14ac:dyDescent="0.2">
      <c r="F18" s="2" t="s">
        <v>163</v>
      </c>
      <c r="K18" s="6"/>
    </row>
    <row r="19" spans="3:11" x14ac:dyDescent="0.2">
      <c r="F19" s="2" t="s">
        <v>164</v>
      </c>
      <c r="K19" s="5"/>
    </row>
    <row r="20" spans="3:11" x14ac:dyDescent="0.2">
      <c r="F20" s="2" t="s">
        <v>165</v>
      </c>
      <c r="K20" s="5"/>
    </row>
    <row r="21" spans="3:11" x14ac:dyDescent="0.2">
      <c r="F21" s="6" t="s">
        <v>169</v>
      </c>
      <c r="K21" s="5"/>
    </row>
    <row r="22" spans="3:11" x14ac:dyDescent="0.2">
      <c r="F22" s="2" t="s">
        <v>166</v>
      </c>
      <c r="K22" s="5"/>
    </row>
    <row r="23" spans="3:11" x14ac:dyDescent="0.2">
      <c r="F23" s="2" t="s">
        <v>167</v>
      </c>
    </row>
    <row r="24" spans="3:11" x14ac:dyDescent="0.2">
      <c r="F24" s="2" t="s">
        <v>168</v>
      </c>
      <c r="K24" s="6"/>
    </row>
    <row r="25" spans="3:11" x14ac:dyDescent="0.2">
      <c r="K25" s="5"/>
    </row>
    <row r="26" spans="3:11" x14ac:dyDescent="0.2">
      <c r="F26" s="6" t="s">
        <v>171</v>
      </c>
      <c r="K26" s="5"/>
    </row>
    <row r="27" spans="3:11" x14ac:dyDescent="0.2">
      <c r="F27" s="2" t="s">
        <v>172</v>
      </c>
      <c r="K27" s="5"/>
    </row>
    <row r="28" spans="3:11" x14ac:dyDescent="0.2">
      <c r="F28" s="2" t="s">
        <v>173</v>
      </c>
    </row>
    <row r="29" spans="3:11" x14ac:dyDescent="0.2">
      <c r="F29" s="2" t="s">
        <v>174</v>
      </c>
    </row>
    <row r="30" spans="3:11" x14ac:dyDescent="0.2">
      <c r="F30" s="2" t="s">
        <v>175</v>
      </c>
    </row>
    <row r="31" spans="3:11" x14ac:dyDescent="0.2">
      <c r="F31" s="2" t="s">
        <v>176</v>
      </c>
    </row>
    <row r="32" spans="3:11" x14ac:dyDescent="0.2">
      <c r="F32" s="2" t="s">
        <v>177</v>
      </c>
    </row>
    <row r="33" spans="6:6" x14ac:dyDescent="0.2">
      <c r="F33" s="2" t="s">
        <v>178</v>
      </c>
    </row>
  </sheetData>
  <hyperlinks>
    <hyperlink ref="C8" r:id="rId1" xr:uid="{D0E1AF94-7EBD-0944-92E9-21CE65BF58D2}"/>
    <hyperlink ref="C9" r:id="rId2" xr:uid="{24E1231F-5754-6441-9EC0-7D18F36B5398}"/>
    <hyperlink ref="C10" r:id="rId3" xr:uid="{EA9D8C14-AD85-BF4D-86F1-99C608351F94}"/>
    <hyperlink ref="D8" r:id="rId4" xr:uid="{5BBB6D21-835D-9042-AB10-0DF1DB55BC33}"/>
    <hyperlink ref="D9" r:id="rId5" xr:uid="{306D92D7-7610-814C-A4EE-7C63F22E1196}"/>
    <hyperlink ref="D10" r:id="rId6" xr:uid="{18826042-03FC-7544-B281-4023E13735FB}"/>
    <hyperlink ref="D11" r:id="rId7" xr:uid="{98BC005E-8338-684B-A265-4995CDB399A3}"/>
    <hyperlink ref="D12" r:id="rId8" xr:uid="{7701EF26-7D5A-4B4E-BAEE-74FB89A790B9}"/>
    <hyperlink ref="D13" r:id="rId9" xr:uid="{FA521410-E19F-7949-BA31-9FC73C346041}"/>
    <hyperlink ref="D14" r:id="rId10" xr:uid="{B152FCB7-B2CB-9745-9311-39EE74EE4BC2}"/>
    <hyperlink ref="D15" r:id="rId11" xr:uid="{B288AF72-A19E-4841-A212-EBBAD57C5AB8}"/>
    <hyperlink ref="D16" r:id="rId12" xr:uid="{16459AA6-F61F-A440-B139-01AD76A79347}"/>
    <hyperlink ref="D17" r:id="rId13" xr:uid="{44E89D24-4BD9-134E-89B3-3AD7B5C641C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B9FBA-D684-0840-A261-69A2D9905FA9}">
  <dimension ref="B2:B61"/>
  <sheetViews>
    <sheetView zoomScale="171" workbookViewId="0">
      <selection activeCell="B9" sqref="B9"/>
    </sheetView>
  </sheetViews>
  <sheetFormatPr baseColWidth="10" defaultRowHeight="16" x14ac:dyDescent="0.2"/>
  <cols>
    <col min="2" max="2" width="32.33203125" customWidth="1"/>
  </cols>
  <sheetData>
    <row r="2" spans="2:2" x14ac:dyDescent="0.2">
      <c r="B2" s="17" t="s">
        <v>227</v>
      </c>
    </row>
    <row r="3" spans="2:2" x14ac:dyDescent="0.2">
      <c r="B3" s="15" t="s">
        <v>228</v>
      </c>
    </row>
    <row r="4" spans="2:2" x14ac:dyDescent="0.2">
      <c r="B4" s="15" t="s">
        <v>229</v>
      </c>
    </row>
    <row r="5" spans="2:2" x14ac:dyDescent="0.2">
      <c r="B5" s="15" t="s">
        <v>230</v>
      </c>
    </row>
    <row r="6" spans="2:2" x14ac:dyDescent="0.2">
      <c r="B6" s="15" t="s">
        <v>231</v>
      </c>
    </row>
    <row r="7" spans="2:2" x14ac:dyDescent="0.2">
      <c r="B7" s="15" t="s">
        <v>232</v>
      </c>
    </row>
    <row r="8" spans="2:2" x14ac:dyDescent="0.2">
      <c r="B8" s="15" t="s">
        <v>233</v>
      </c>
    </row>
    <row r="9" spans="2:2" x14ac:dyDescent="0.2">
      <c r="B9" s="15" t="s">
        <v>234</v>
      </c>
    </row>
    <row r="10" spans="2:2" x14ac:dyDescent="0.2">
      <c r="B10" s="15" t="s">
        <v>235</v>
      </c>
    </row>
    <row r="11" spans="2:2" x14ac:dyDescent="0.2">
      <c r="B11" s="15" t="s">
        <v>236</v>
      </c>
    </row>
    <row r="12" spans="2:2" x14ac:dyDescent="0.2">
      <c r="B12" s="15" t="s">
        <v>237</v>
      </c>
    </row>
    <row r="13" spans="2:2" x14ac:dyDescent="0.2">
      <c r="B13" s="15" t="s">
        <v>238</v>
      </c>
    </row>
    <row r="14" spans="2:2" s="17" customFormat="1" x14ac:dyDescent="0.2">
      <c r="B14" s="17" t="s">
        <v>239</v>
      </c>
    </row>
    <row r="15" spans="2:2" x14ac:dyDescent="0.2">
      <c r="B15" s="15" t="s">
        <v>240</v>
      </c>
    </row>
    <row r="16" spans="2:2" x14ac:dyDescent="0.2">
      <c r="B16" s="15" t="s">
        <v>241</v>
      </c>
    </row>
    <row r="17" spans="2:2" x14ac:dyDescent="0.2">
      <c r="B17" s="15" t="s">
        <v>242</v>
      </c>
    </row>
    <row r="18" spans="2:2" x14ac:dyDescent="0.2">
      <c r="B18" s="15" t="s">
        <v>243</v>
      </c>
    </row>
    <row r="19" spans="2:2" x14ac:dyDescent="0.2">
      <c r="B19" s="15" t="s">
        <v>244</v>
      </c>
    </row>
    <row r="20" spans="2:2" x14ac:dyDescent="0.2">
      <c r="B20" s="15" t="s">
        <v>245</v>
      </c>
    </row>
    <row r="21" spans="2:2" x14ac:dyDescent="0.2">
      <c r="B21" s="17" t="s">
        <v>246</v>
      </c>
    </row>
    <row r="22" spans="2:2" x14ac:dyDescent="0.2">
      <c r="B22" s="15" t="s">
        <v>247</v>
      </c>
    </row>
    <row r="23" spans="2:2" x14ac:dyDescent="0.2">
      <c r="B23" s="15" t="s">
        <v>248</v>
      </c>
    </row>
    <row r="24" spans="2:2" x14ac:dyDescent="0.2">
      <c r="B24" s="17" t="s">
        <v>249</v>
      </c>
    </row>
    <row r="25" spans="2:2" x14ac:dyDescent="0.2">
      <c r="B25" s="15" t="s">
        <v>250</v>
      </c>
    </row>
    <row r="26" spans="2:2" x14ac:dyDescent="0.2">
      <c r="B26" s="15" t="s">
        <v>251</v>
      </c>
    </row>
    <row r="27" spans="2:2" x14ac:dyDescent="0.2">
      <c r="B27" s="15" t="s">
        <v>252</v>
      </c>
    </row>
    <row r="28" spans="2:2" x14ac:dyDescent="0.2">
      <c r="B28" s="15" t="s">
        <v>253</v>
      </c>
    </row>
    <row r="29" spans="2:2" x14ac:dyDescent="0.2">
      <c r="B29" s="15" t="s">
        <v>254</v>
      </c>
    </row>
    <row r="30" spans="2:2" x14ac:dyDescent="0.2">
      <c r="B30" s="15" t="s">
        <v>255</v>
      </c>
    </row>
    <row r="31" spans="2:2" x14ac:dyDescent="0.2">
      <c r="B31" s="15" t="s">
        <v>256</v>
      </c>
    </row>
    <row r="32" spans="2:2" x14ac:dyDescent="0.2">
      <c r="B32" s="15" t="s">
        <v>257</v>
      </c>
    </row>
    <row r="33" spans="2:2" x14ac:dyDescent="0.2">
      <c r="B33" s="15" t="s">
        <v>258</v>
      </c>
    </row>
    <row r="34" spans="2:2" x14ac:dyDescent="0.2">
      <c r="B34" s="15" t="s">
        <v>259</v>
      </c>
    </row>
    <row r="35" spans="2:2" x14ac:dyDescent="0.2">
      <c r="B35" s="17" t="s">
        <v>260</v>
      </c>
    </row>
    <row r="36" spans="2:2" x14ac:dyDescent="0.2">
      <c r="B36" s="15" t="s">
        <v>261</v>
      </c>
    </row>
    <row r="37" spans="2:2" x14ac:dyDescent="0.2">
      <c r="B37" s="15" t="s">
        <v>262</v>
      </c>
    </row>
    <row r="38" spans="2:2" x14ac:dyDescent="0.2">
      <c r="B38" s="15" t="s">
        <v>263</v>
      </c>
    </row>
    <row r="39" spans="2:2" x14ac:dyDescent="0.2">
      <c r="B39" s="15" t="s">
        <v>264</v>
      </c>
    </row>
    <row r="40" spans="2:2" x14ac:dyDescent="0.2">
      <c r="B40" s="15" t="s">
        <v>265</v>
      </c>
    </row>
    <row r="41" spans="2:2" x14ac:dyDescent="0.2">
      <c r="B41" s="17" t="s">
        <v>266</v>
      </c>
    </row>
    <row r="42" spans="2:2" x14ac:dyDescent="0.2">
      <c r="B42" s="15" t="s">
        <v>267</v>
      </c>
    </row>
    <row r="43" spans="2:2" x14ac:dyDescent="0.2">
      <c r="B43" s="15" t="s">
        <v>268</v>
      </c>
    </row>
    <row r="44" spans="2:2" x14ac:dyDescent="0.2">
      <c r="B44" s="17" t="s">
        <v>269</v>
      </c>
    </row>
    <row r="45" spans="2:2" x14ac:dyDescent="0.2">
      <c r="B45" s="15" t="s">
        <v>270</v>
      </c>
    </row>
    <row r="46" spans="2:2" x14ac:dyDescent="0.2">
      <c r="B46" s="15" t="s">
        <v>271</v>
      </c>
    </row>
    <row r="47" spans="2:2" x14ac:dyDescent="0.2">
      <c r="B47" s="15" t="s">
        <v>272</v>
      </c>
    </row>
    <row r="48" spans="2:2" x14ac:dyDescent="0.2">
      <c r="B48" s="15" t="s">
        <v>273</v>
      </c>
    </row>
    <row r="49" spans="2:2" x14ac:dyDescent="0.2">
      <c r="B49" s="15" t="s">
        <v>274</v>
      </c>
    </row>
    <row r="50" spans="2:2" x14ac:dyDescent="0.2">
      <c r="B50" s="15" t="s">
        <v>275</v>
      </c>
    </row>
    <row r="51" spans="2:2" x14ac:dyDescent="0.2">
      <c r="B51" s="16" t="s">
        <v>276</v>
      </c>
    </row>
    <row r="52" spans="2:2" x14ac:dyDescent="0.2">
      <c r="B52" s="15" t="s">
        <v>277</v>
      </c>
    </row>
    <row r="53" spans="2:2" x14ac:dyDescent="0.2">
      <c r="B53" s="15" t="s">
        <v>278</v>
      </c>
    </row>
    <row r="54" spans="2:2" x14ac:dyDescent="0.2">
      <c r="B54" s="15" t="s">
        <v>279</v>
      </c>
    </row>
    <row r="55" spans="2:2" x14ac:dyDescent="0.2">
      <c r="B55" s="15" t="s">
        <v>280</v>
      </c>
    </row>
    <row r="56" spans="2:2" x14ac:dyDescent="0.2">
      <c r="B56" s="15" t="s">
        <v>281</v>
      </c>
    </row>
    <row r="57" spans="2:2" x14ac:dyDescent="0.2">
      <c r="B57" s="15" t="s">
        <v>282</v>
      </c>
    </row>
    <row r="58" spans="2:2" x14ac:dyDescent="0.2">
      <c r="B58" s="15" t="s">
        <v>283</v>
      </c>
    </row>
    <row r="59" spans="2:2" x14ac:dyDescent="0.2">
      <c r="B59" s="15" t="s">
        <v>284</v>
      </c>
    </row>
    <row r="60" spans="2:2" x14ac:dyDescent="0.2">
      <c r="B60" s="15" t="s">
        <v>285</v>
      </c>
    </row>
    <row r="61" spans="2:2" x14ac:dyDescent="0.2">
      <c r="B61" s="15" t="s">
        <v>286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3814B-7DAF-874E-8EFC-8A7C9AA913FC}">
  <dimension ref="B2:HZ108"/>
  <sheetViews>
    <sheetView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O7" sqref="O7"/>
    </sheetView>
  </sheetViews>
  <sheetFormatPr baseColWidth="10" defaultRowHeight="16" x14ac:dyDescent="0.2"/>
  <cols>
    <col min="1" max="1" width="0.83203125" style="2" customWidth="1"/>
    <col min="2" max="2" width="39" style="2" bestFit="1" customWidth="1"/>
    <col min="3" max="8" width="8.1640625" style="2" bestFit="1" customWidth="1"/>
    <col min="9" max="9" width="5.6640625" style="2" bestFit="1" customWidth="1"/>
    <col min="10" max="10" width="6.6640625" style="2" bestFit="1" customWidth="1"/>
    <col min="11" max="11" width="5.5" style="2" bestFit="1" customWidth="1"/>
    <col min="12" max="12" width="6.33203125" style="2" bestFit="1" customWidth="1"/>
    <col min="13" max="14" width="5.5" style="2" bestFit="1" customWidth="1"/>
    <col min="15" max="16" width="10.83203125" style="2"/>
    <col min="17" max="22" width="6.6640625" style="2" bestFit="1" customWidth="1"/>
    <col min="23" max="23" width="7.5" style="2" bestFit="1" customWidth="1"/>
    <col min="24" max="33" width="6.6640625" style="2" bestFit="1" customWidth="1"/>
    <col min="34" max="34" width="5.6640625" style="2" bestFit="1" customWidth="1"/>
    <col min="35" max="36" width="5.1640625" style="2" bestFit="1" customWidth="1"/>
    <col min="37" max="37" width="9" style="2" bestFit="1" customWidth="1"/>
    <col min="38" max="38" width="6.6640625" style="2" bestFit="1" customWidth="1"/>
    <col min="39" max="44" width="5.1640625" style="2" bestFit="1" customWidth="1"/>
    <col min="45" max="16384" width="10.83203125" style="2"/>
  </cols>
  <sheetData>
    <row r="2" spans="2:234" s="4" customFormat="1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6</v>
      </c>
      <c r="I2" s="3" t="s">
        <v>14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19</v>
      </c>
      <c r="Q2" s="4">
        <v>2018</v>
      </c>
      <c r="R2" s="4">
        <f>+Q2+1</f>
        <v>2019</v>
      </c>
      <c r="S2" s="4">
        <f t="shared" ref="S2:AH2" si="0">+R2+1</f>
        <v>2020</v>
      </c>
      <c r="T2" s="4">
        <f t="shared" si="0"/>
        <v>2021</v>
      </c>
      <c r="U2" s="4">
        <f t="shared" si="0"/>
        <v>2022</v>
      </c>
      <c r="V2" s="4">
        <f t="shared" si="0"/>
        <v>2023</v>
      </c>
      <c r="W2" s="4">
        <f t="shared" si="0"/>
        <v>2024</v>
      </c>
      <c r="X2" s="4">
        <f t="shared" si="0"/>
        <v>2025</v>
      </c>
      <c r="Y2" s="4">
        <f t="shared" si="0"/>
        <v>2026</v>
      </c>
      <c r="Z2" s="4">
        <f t="shared" si="0"/>
        <v>2027</v>
      </c>
      <c r="AA2" s="4">
        <f t="shared" si="0"/>
        <v>2028</v>
      </c>
      <c r="AB2" s="4">
        <f t="shared" si="0"/>
        <v>2029</v>
      </c>
      <c r="AC2" s="4">
        <f t="shared" si="0"/>
        <v>2030</v>
      </c>
      <c r="AD2" s="4">
        <f t="shared" si="0"/>
        <v>2031</v>
      </c>
      <c r="AE2" s="4">
        <f t="shared" si="0"/>
        <v>2032</v>
      </c>
      <c r="AF2" s="4">
        <f t="shared" si="0"/>
        <v>2033</v>
      </c>
      <c r="AG2" s="4">
        <f t="shared" si="0"/>
        <v>2034</v>
      </c>
      <c r="AH2" s="4">
        <f t="shared" si="0"/>
        <v>2035</v>
      </c>
      <c r="AI2" s="4">
        <f t="shared" ref="AI2:CT2" si="1">+AH2+1</f>
        <v>2036</v>
      </c>
      <c r="AJ2" s="4">
        <f t="shared" si="1"/>
        <v>2037</v>
      </c>
      <c r="AK2" s="4">
        <f t="shared" si="1"/>
        <v>2038</v>
      </c>
      <c r="AL2" s="4">
        <f t="shared" si="1"/>
        <v>2039</v>
      </c>
      <c r="AM2" s="4">
        <f t="shared" si="1"/>
        <v>2040</v>
      </c>
      <c r="AN2" s="4">
        <f t="shared" si="1"/>
        <v>2041</v>
      </c>
      <c r="AO2" s="4">
        <f t="shared" si="1"/>
        <v>2042</v>
      </c>
      <c r="AP2" s="4">
        <f t="shared" si="1"/>
        <v>2043</v>
      </c>
      <c r="AQ2" s="4">
        <f t="shared" si="1"/>
        <v>2044</v>
      </c>
      <c r="AR2" s="4">
        <f t="shared" si="1"/>
        <v>2045</v>
      </c>
      <c r="AS2" s="4">
        <f t="shared" si="1"/>
        <v>2046</v>
      </c>
      <c r="AT2" s="4">
        <f t="shared" si="1"/>
        <v>2047</v>
      </c>
      <c r="AU2" s="4">
        <f t="shared" si="1"/>
        <v>2048</v>
      </c>
      <c r="AV2" s="4">
        <f t="shared" si="1"/>
        <v>2049</v>
      </c>
      <c r="AW2" s="4">
        <f t="shared" si="1"/>
        <v>2050</v>
      </c>
      <c r="AX2" s="4">
        <f t="shared" si="1"/>
        <v>2051</v>
      </c>
      <c r="AY2" s="4">
        <f t="shared" si="1"/>
        <v>2052</v>
      </c>
      <c r="AZ2" s="4">
        <f t="shared" si="1"/>
        <v>2053</v>
      </c>
      <c r="BA2" s="4">
        <f t="shared" si="1"/>
        <v>2054</v>
      </c>
      <c r="BB2" s="4">
        <f t="shared" si="1"/>
        <v>2055</v>
      </c>
      <c r="BC2" s="4">
        <f t="shared" si="1"/>
        <v>2056</v>
      </c>
      <c r="BD2" s="4">
        <f t="shared" si="1"/>
        <v>2057</v>
      </c>
      <c r="BE2" s="4">
        <f t="shared" si="1"/>
        <v>2058</v>
      </c>
      <c r="BF2" s="4">
        <f t="shared" si="1"/>
        <v>2059</v>
      </c>
      <c r="BG2" s="4">
        <f t="shared" si="1"/>
        <v>2060</v>
      </c>
      <c r="BH2" s="4">
        <f t="shared" si="1"/>
        <v>2061</v>
      </c>
      <c r="BI2" s="4">
        <f t="shared" si="1"/>
        <v>2062</v>
      </c>
      <c r="BJ2" s="4">
        <f t="shared" si="1"/>
        <v>2063</v>
      </c>
      <c r="BK2" s="4">
        <f t="shared" si="1"/>
        <v>2064</v>
      </c>
      <c r="BL2" s="4">
        <f t="shared" si="1"/>
        <v>2065</v>
      </c>
      <c r="BM2" s="4">
        <f t="shared" si="1"/>
        <v>2066</v>
      </c>
      <c r="BN2" s="4">
        <f t="shared" si="1"/>
        <v>2067</v>
      </c>
      <c r="BO2" s="4">
        <f t="shared" si="1"/>
        <v>2068</v>
      </c>
      <c r="BP2" s="4">
        <f t="shared" si="1"/>
        <v>2069</v>
      </c>
      <c r="BQ2" s="4">
        <f t="shared" si="1"/>
        <v>2070</v>
      </c>
      <c r="BR2" s="4">
        <f t="shared" si="1"/>
        <v>2071</v>
      </c>
      <c r="BS2" s="4">
        <f t="shared" si="1"/>
        <v>2072</v>
      </c>
      <c r="BT2" s="4">
        <f t="shared" si="1"/>
        <v>2073</v>
      </c>
      <c r="BU2" s="4">
        <f t="shared" si="1"/>
        <v>2074</v>
      </c>
      <c r="BV2" s="4">
        <f t="shared" si="1"/>
        <v>2075</v>
      </c>
      <c r="BW2" s="4">
        <f t="shared" si="1"/>
        <v>2076</v>
      </c>
      <c r="BX2" s="4">
        <f t="shared" si="1"/>
        <v>2077</v>
      </c>
      <c r="BY2" s="4">
        <f t="shared" si="1"/>
        <v>2078</v>
      </c>
      <c r="BZ2" s="4">
        <f t="shared" si="1"/>
        <v>2079</v>
      </c>
      <c r="CA2" s="4">
        <f t="shared" si="1"/>
        <v>2080</v>
      </c>
      <c r="CB2" s="4">
        <f t="shared" si="1"/>
        <v>2081</v>
      </c>
      <c r="CC2" s="4">
        <f t="shared" si="1"/>
        <v>2082</v>
      </c>
      <c r="CD2" s="4">
        <f t="shared" si="1"/>
        <v>2083</v>
      </c>
      <c r="CE2" s="4">
        <f t="shared" si="1"/>
        <v>2084</v>
      </c>
      <c r="CF2" s="4">
        <f t="shared" si="1"/>
        <v>2085</v>
      </c>
      <c r="CG2" s="4">
        <f t="shared" si="1"/>
        <v>2086</v>
      </c>
      <c r="CH2" s="4">
        <f t="shared" si="1"/>
        <v>2087</v>
      </c>
      <c r="CI2" s="4">
        <f t="shared" si="1"/>
        <v>2088</v>
      </c>
      <c r="CJ2" s="4">
        <f t="shared" si="1"/>
        <v>2089</v>
      </c>
      <c r="CK2" s="4">
        <f t="shared" si="1"/>
        <v>2090</v>
      </c>
      <c r="CL2" s="4">
        <f t="shared" si="1"/>
        <v>2091</v>
      </c>
      <c r="CM2" s="4">
        <f t="shared" si="1"/>
        <v>2092</v>
      </c>
      <c r="CN2" s="4">
        <f t="shared" si="1"/>
        <v>2093</v>
      </c>
      <c r="CO2" s="4">
        <f t="shared" si="1"/>
        <v>2094</v>
      </c>
      <c r="CP2" s="4">
        <f t="shared" si="1"/>
        <v>2095</v>
      </c>
      <c r="CQ2" s="4">
        <f t="shared" si="1"/>
        <v>2096</v>
      </c>
      <c r="CR2" s="4">
        <f t="shared" si="1"/>
        <v>2097</v>
      </c>
      <c r="CS2" s="4">
        <f t="shared" si="1"/>
        <v>2098</v>
      </c>
      <c r="CT2" s="4">
        <f t="shared" si="1"/>
        <v>2099</v>
      </c>
      <c r="CU2" s="4">
        <f t="shared" ref="CU2:CZ2" si="2">+CT2+1</f>
        <v>2100</v>
      </c>
      <c r="CV2" s="4">
        <f t="shared" si="2"/>
        <v>2101</v>
      </c>
      <c r="CW2" s="4">
        <f t="shared" si="2"/>
        <v>2102</v>
      </c>
      <c r="CX2" s="4">
        <f t="shared" si="2"/>
        <v>2103</v>
      </c>
      <c r="CY2" s="4">
        <f t="shared" si="2"/>
        <v>2104</v>
      </c>
      <c r="CZ2" s="4">
        <f t="shared" si="2"/>
        <v>2105</v>
      </c>
      <c r="DA2" s="4">
        <f t="shared" ref="DA2:EG2" si="3">+CZ2+1</f>
        <v>2106</v>
      </c>
      <c r="DB2" s="4">
        <f t="shared" si="3"/>
        <v>2107</v>
      </c>
      <c r="DC2" s="4">
        <f t="shared" si="3"/>
        <v>2108</v>
      </c>
      <c r="DD2" s="4">
        <f t="shared" si="3"/>
        <v>2109</v>
      </c>
      <c r="DE2" s="4">
        <f t="shared" si="3"/>
        <v>2110</v>
      </c>
      <c r="DF2" s="4">
        <f t="shared" si="3"/>
        <v>2111</v>
      </c>
      <c r="DG2" s="4">
        <f t="shared" si="3"/>
        <v>2112</v>
      </c>
      <c r="DH2" s="4">
        <f t="shared" si="3"/>
        <v>2113</v>
      </c>
      <c r="DI2" s="4">
        <f t="shared" si="3"/>
        <v>2114</v>
      </c>
      <c r="DJ2" s="4">
        <f t="shared" si="3"/>
        <v>2115</v>
      </c>
      <c r="DK2" s="4">
        <f t="shared" si="3"/>
        <v>2116</v>
      </c>
      <c r="DL2" s="4">
        <f t="shared" si="3"/>
        <v>2117</v>
      </c>
      <c r="DM2" s="4">
        <f t="shared" si="3"/>
        <v>2118</v>
      </c>
      <c r="DN2" s="4">
        <f t="shared" si="3"/>
        <v>2119</v>
      </c>
      <c r="DO2" s="4">
        <f t="shared" si="3"/>
        <v>2120</v>
      </c>
      <c r="DP2" s="4">
        <f t="shared" si="3"/>
        <v>2121</v>
      </c>
      <c r="DQ2" s="4">
        <f t="shared" si="3"/>
        <v>2122</v>
      </c>
      <c r="DR2" s="4">
        <f t="shared" si="3"/>
        <v>2123</v>
      </c>
      <c r="DS2" s="4">
        <f t="shared" si="3"/>
        <v>2124</v>
      </c>
      <c r="DT2" s="4">
        <f t="shared" si="3"/>
        <v>2125</v>
      </c>
      <c r="DU2" s="4">
        <f t="shared" si="3"/>
        <v>2126</v>
      </c>
      <c r="DV2" s="4">
        <f t="shared" si="3"/>
        <v>2127</v>
      </c>
      <c r="DW2" s="4">
        <f t="shared" si="3"/>
        <v>2128</v>
      </c>
      <c r="DX2" s="4">
        <f t="shared" si="3"/>
        <v>2129</v>
      </c>
      <c r="DY2" s="4">
        <f t="shared" si="3"/>
        <v>2130</v>
      </c>
      <c r="DZ2" s="4">
        <f t="shared" si="3"/>
        <v>2131</v>
      </c>
      <c r="EA2" s="4">
        <f t="shared" si="3"/>
        <v>2132</v>
      </c>
      <c r="EB2" s="4">
        <f t="shared" si="3"/>
        <v>2133</v>
      </c>
      <c r="EC2" s="4">
        <f t="shared" si="3"/>
        <v>2134</v>
      </c>
      <c r="ED2" s="4">
        <f t="shared" si="3"/>
        <v>2135</v>
      </c>
      <c r="EE2" s="4">
        <f t="shared" si="3"/>
        <v>2136</v>
      </c>
      <c r="EF2" s="4">
        <f t="shared" si="3"/>
        <v>2137</v>
      </c>
      <c r="EG2" s="4">
        <f t="shared" si="3"/>
        <v>2138</v>
      </c>
      <c r="EH2" s="4">
        <f t="shared" ref="EH2:GD2" si="4">+EG2+1</f>
        <v>2139</v>
      </c>
      <c r="EI2" s="4">
        <f t="shared" si="4"/>
        <v>2140</v>
      </c>
      <c r="EJ2" s="4">
        <f t="shared" si="4"/>
        <v>2141</v>
      </c>
      <c r="EK2" s="4">
        <f t="shared" si="4"/>
        <v>2142</v>
      </c>
      <c r="EL2" s="4">
        <f t="shared" si="4"/>
        <v>2143</v>
      </c>
      <c r="EM2" s="4">
        <f t="shared" si="4"/>
        <v>2144</v>
      </c>
      <c r="EN2" s="4">
        <f t="shared" si="4"/>
        <v>2145</v>
      </c>
      <c r="EO2" s="4">
        <f t="shared" si="4"/>
        <v>2146</v>
      </c>
      <c r="EP2" s="4">
        <f t="shared" si="4"/>
        <v>2147</v>
      </c>
      <c r="EQ2" s="4">
        <f t="shared" si="4"/>
        <v>2148</v>
      </c>
      <c r="ER2" s="4">
        <f t="shared" si="4"/>
        <v>2149</v>
      </c>
      <c r="ES2" s="4">
        <f t="shared" si="4"/>
        <v>2150</v>
      </c>
      <c r="ET2" s="4">
        <f t="shared" si="4"/>
        <v>2151</v>
      </c>
      <c r="EU2" s="4">
        <f t="shared" si="4"/>
        <v>2152</v>
      </c>
      <c r="EV2" s="4">
        <f t="shared" si="4"/>
        <v>2153</v>
      </c>
      <c r="EW2" s="4">
        <f t="shared" si="4"/>
        <v>2154</v>
      </c>
      <c r="EX2" s="4">
        <f t="shared" si="4"/>
        <v>2155</v>
      </c>
      <c r="EY2" s="4">
        <f t="shared" si="4"/>
        <v>2156</v>
      </c>
      <c r="EZ2" s="4">
        <f t="shared" si="4"/>
        <v>2157</v>
      </c>
      <c r="FA2" s="4">
        <f t="shared" si="4"/>
        <v>2158</v>
      </c>
      <c r="FB2" s="4">
        <f t="shared" si="4"/>
        <v>2159</v>
      </c>
      <c r="FC2" s="4">
        <f t="shared" si="4"/>
        <v>2160</v>
      </c>
      <c r="FD2" s="4">
        <f t="shared" si="4"/>
        <v>2161</v>
      </c>
      <c r="FE2" s="4">
        <f t="shared" si="4"/>
        <v>2162</v>
      </c>
      <c r="FF2" s="4">
        <f t="shared" si="4"/>
        <v>2163</v>
      </c>
      <c r="FG2" s="4">
        <f t="shared" si="4"/>
        <v>2164</v>
      </c>
      <c r="FH2" s="4">
        <f t="shared" si="4"/>
        <v>2165</v>
      </c>
      <c r="FI2" s="4">
        <f t="shared" si="4"/>
        <v>2166</v>
      </c>
      <c r="FJ2" s="4">
        <f t="shared" si="4"/>
        <v>2167</v>
      </c>
      <c r="FK2" s="4">
        <f t="shared" si="4"/>
        <v>2168</v>
      </c>
      <c r="FL2" s="4">
        <f t="shared" si="4"/>
        <v>2169</v>
      </c>
      <c r="FM2" s="4">
        <f t="shared" si="4"/>
        <v>2170</v>
      </c>
      <c r="FN2" s="4">
        <f t="shared" si="4"/>
        <v>2171</v>
      </c>
      <c r="FO2" s="4">
        <f t="shared" si="4"/>
        <v>2172</v>
      </c>
      <c r="FP2" s="4">
        <f t="shared" si="4"/>
        <v>2173</v>
      </c>
      <c r="FQ2" s="4">
        <f t="shared" si="4"/>
        <v>2174</v>
      </c>
      <c r="FR2" s="4">
        <f t="shared" si="4"/>
        <v>2175</v>
      </c>
      <c r="FS2" s="4">
        <f t="shared" si="4"/>
        <v>2176</v>
      </c>
      <c r="FT2" s="4">
        <f t="shared" si="4"/>
        <v>2177</v>
      </c>
      <c r="FU2" s="4">
        <f t="shared" si="4"/>
        <v>2178</v>
      </c>
      <c r="FV2" s="4">
        <f t="shared" si="4"/>
        <v>2179</v>
      </c>
      <c r="FW2" s="4">
        <f t="shared" si="4"/>
        <v>2180</v>
      </c>
      <c r="FX2" s="4">
        <f t="shared" si="4"/>
        <v>2181</v>
      </c>
      <c r="FY2" s="4">
        <f t="shared" si="4"/>
        <v>2182</v>
      </c>
      <c r="FZ2" s="4">
        <f t="shared" si="4"/>
        <v>2183</v>
      </c>
      <c r="GA2" s="4">
        <f t="shared" si="4"/>
        <v>2184</v>
      </c>
      <c r="GB2" s="4">
        <f t="shared" si="4"/>
        <v>2185</v>
      </c>
      <c r="GC2" s="4">
        <f t="shared" si="4"/>
        <v>2186</v>
      </c>
      <c r="GD2" s="4">
        <f t="shared" si="4"/>
        <v>2187</v>
      </c>
      <c r="GE2" s="4">
        <f t="shared" ref="GE2:GW2" si="5">+GD2+1</f>
        <v>2188</v>
      </c>
      <c r="GF2" s="4">
        <f t="shared" si="5"/>
        <v>2189</v>
      </c>
      <c r="GG2" s="4">
        <f t="shared" si="5"/>
        <v>2190</v>
      </c>
      <c r="GH2" s="4">
        <f t="shared" si="5"/>
        <v>2191</v>
      </c>
      <c r="GI2" s="4">
        <f t="shared" si="5"/>
        <v>2192</v>
      </c>
      <c r="GJ2" s="4">
        <f t="shared" si="5"/>
        <v>2193</v>
      </c>
      <c r="GK2" s="4">
        <f t="shared" si="5"/>
        <v>2194</v>
      </c>
      <c r="GL2" s="4">
        <f t="shared" si="5"/>
        <v>2195</v>
      </c>
      <c r="GM2" s="4">
        <f t="shared" si="5"/>
        <v>2196</v>
      </c>
      <c r="GN2" s="4">
        <f t="shared" si="5"/>
        <v>2197</v>
      </c>
      <c r="GO2" s="4">
        <f t="shared" si="5"/>
        <v>2198</v>
      </c>
      <c r="GP2" s="4">
        <f t="shared" si="5"/>
        <v>2199</v>
      </c>
      <c r="GQ2" s="4">
        <f t="shared" si="5"/>
        <v>2200</v>
      </c>
      <c r="GR2" s="4">
        <f t="shared" si="5"/>
        <v>2201</v>
      </c>
      <c r="GS2" s="4">
        <f t="shared" si="5"/>
        <v>2202</v>
      </c>
      <c r="GT2" s="4">
        <f t="shared" si="5"/>
        <v>2203</v>
      </c>
      <c r="GU2" s="4">
        <f t="shared" si="5"/>
        <v>2204</v>
      </c>
      <c r="GV2" s="4">
        <f t="shared" si="5"/>
        <v>2205</v>
      </c>
      <c r="GW2" s="4">
        <f t="shared" si="5"/>
        <v>2206</v>
      </c>
      <c r="GX2" s="4">
        <f t="shared" ref="GX2:HK2" si="6">+GW2+1</f>
        <v>2207</v>
      </c>
      <c r="GY2" s="4">
        <f t="shared" si="6"/>
        <v>2208</v>
      </c>
      <c r="GZ2" s="4">
        <f t="shared" si="6"/>
        <v>2209</v>
      </c>
      <c r="HA2" s="4">
        <f t="shared" si="6"/>
        <v>2210</v>
      </c>
      <c r="HB2" s="4">
        <f t="shared" si="6"/>
        <v>2211</v>
      </c>
      <c r="HC2" s="4">
        <f t="shared" si="6"/>
        <v>2212</v>
      </c>
      <c r="HD2" s="4">
        <f t="shared" si="6"/>
        <v>2213</v>
      </c>
      <c r="HE2" s="4">
        <f t="shared" si="6"/>
        <v>2214</v>
      </c>
      <c r="HF2" s="4">
        <f t="shared" si="6"/>
        <v>2215</v>
      </c>
      <c r="HG2" s="4">
        <f t="shared" si="6"/>
        <v>2216</v>
      </c>
      <c r="HH2" s="4">
        <f t="shared" si="6"/>
        <v>2217</v>
      </c>
      <c r="HI2" s="4">
        <f t="shared" si="6"/>
        <v>2218</v>
      </c>
      <c r="HJ2" s="4">
        <f t="shared" si="6"/>
        <v>2219</v>
      </c>
      <c r="HK2" s="4">
        <f t="shared" si="6"/>
        <v>2220</v>
      </c>
      <c r="HL2" s="4">
        <f t="shared" ref="HL2:HQ2" si="7">+HK2+1</f>
        <v>2221</v>
      </c>
      <c r="HM2" s="4">
        <f t="shared" si="7"/>
        <v>2222</v>
      </c>
      <c r="HN2" s="4">
        <f t="shared" si="7"/>
        <v>2223</v>
      </c>
      <c r="HO2" s="4">
        <f t="shared" si="7"/>
        <v>2224</v>
      </c>
      <c r="HP2" s="4">
        <f t="shared" si="7"/>
        <v>2225</v>
      </c>
      <c r="HQ2" s="4">
        <f t="shared" si="7"/>
        <v>2226</v>
      </c>
      <c r="HR2" s="4">
        <f t="shared" ref="HR2:HZ2" si="8">+HQ2+1</f>
        <v>2227</v>
      </c>
      <c r="HS2" s="4">
        <f t="shared" si="8"/>
        <v>2228</v>
      </c>
      <c r="HT2" s="4">
        <f t="shared" si="8"/>
        <v>2229</v>
      </c>
      <c r="HU2" s="4">
        <f t="shared" si="8"/>
        <v>2230</v>
      </c>
      <c r="HV2" s="4">
        <f t="shared" si="8"/>
        <v>2231</v>
      </c>
      <c r="HW2" s="4">
        <f t="shared" si="8"/>
        <v>2232</v>
      </c>
      <c r="HX2" s="4">
        <f t="shared" si="8"/>
        <v>2233</v>
      </c>
      <c r="HY2" s="4">
        <f t="shared" si="8"/>
        <v>2234</v>
      </c>
      <c r="HZ2" s="4">
        <f t="shared" si="8"/>
        <v>2235</v>
      </c>
    </row>
    <row r="3" spans="2:234" s="4" customFormat="1" x14ac:dyDescent="0.2">
      <c r="B3" s="4" t="s">
        <v>287</v>
      </c>
      <c r="C3" s="3"/>
      <c r="D3" s="3">
        <v>52.4</v>
      </c>
      <c r="E3" s="3"/>
      <c r="F3" s="3"/>
      <c r="G3" s="3"/>
      <c r="H3" s="3">
        <v>57.8</v>
      </c>
      <c r="I3" s="3"/>
      <c r="J3" s="3"/>
      <c r="K3" s="3"/>
      <c r="L3" s="3"/>
      <c r="M3" s="3"/>
      <c r="N3" s="3"/>
    </row>
    <row r="4" spans="2:234" s="4" customFormat="1" x14ac:dyDescent="0.2">
      <c r="B4" s="4" t="s">
        <v>288</v>
      </c>
      <c r="C4" s="3"/>
      <c r="D4" s="3">
        <v>50.8</v>
      </c>
      <c r="E4" s="3"/>
      <c r="F4" s="3"/>
      <c r="G4" s="3"/>
      <c r="H4" s="3">
        <v>67.900000000000006</v>
      </c>
      <c r="I4" s="3"/>
      <c r="J4" s="3"/>
      <c r="K4" s="3"/>
      <c r="L4" s="3"/>
      <c r="M4" s="3"/>
      <c r="N4" s="3"/>
    </row>
    <row r="5" spans="2:234" s="4" customFormat="1" x14ac:dyDescent="0.2">
      <c r="B5" s="4" t="s">
        <v>289</v>
      </c>
      <c r="C5" s="3"/>
      <c r="D5" s="3">
        <f>+SUM(D3:D4)</f>
        <v>103.19999999999999</v>
      </c>
      <c r="E5" s="3"/>
      <c r="F5" s="3"/>
      <c r="G5" s="3"/>
      <c r="H5" s="3">
        <f>+SUM(H3:H4)</f>
        <v>125.7</v>
      </c>
      <c r="I5" s="3"/>
      <c r="J5" s="3"/>
      <c r="K5" s="3"/>
      <c r="L5" s="3"/>
      <c r="M5" s="3"/>
      <c r="N5" s="3"/>
    </row>
    <row r="6" spans="2:234" s="4" customFormat="1" x14ac:dyDescent="0.2"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2:234" x14ac:dyDescent="0.2">
      <c r="B7" s="5" t="s">
        <v>20</v>
      </c>
      <c r="C7" s="2">
        <v>4985</v>
      </c>
      <c r="D7" s="2">
        <v>4879</v>
      </c>
      <c r="E7" s="2">
        <v>4920</v>
      </c>
      <c r="F7" s="2">
        <f t="shared" ref="F7:F14" si="9">+W7-SUM(C7:E7)</f>
        <v>4917</v>
      </c>
      <c r="G7" s="2">
        <v>4886</v>
      </c>
      <c r="H7" s="2">
        <v>4885</v>
      </c>
      <c r="U7" s="2">
        <v>16142</v>
      </c>
      <c r="V7" s="2">
        <v>20237</v>
      </c>
      <c r="W7" s="2">
        <v>19701</v>
      </c>
    </row>
    <row r="8" spans="2:234" x14ac:dyDescent="0.2">
      <c r="B8" s="5" t="s">
        <v>21</v>
      </c>
      <c r="C8" s="2">
        <v>2148</v>
      </c>
      <c r="D8" s="2">
        <v>2430</v>
      </c>
      <c r="E8" s="2">
        <v>1682</v>
      </c>
      <c r="F8" s="2">
        <f t="shared" si="9"/>
        <v>1830</v>
      </c>
      <c r="G8" s="2">
        <v>1980</v>
      </c>
      <c r="H8" s="2">
        <v>2216</v>
      </c>
      <c r="U8" s="2">
        <v>8524</v>
      </c>
      <c r="V8" s="2">
        <v>8700</v>
      </c>
      <c r="W8" s="2">
        <v>8090</v>
      </c>
    </row>
    <row r="9" spans="2:234" x14ac:dyDescent="0.2">
      <c r="B9" s="5" t="s">
        <v>22</v>
      </c>
      <c r="C9" s="2">
        <v>2558</v>
      </c>
      <c r="D9" s="2">
        <v>2109</v>
      </c>
      <c r="E9" s="2">
        <v>2721</v>
      </c>
      <c r="F9" s="2">
        <f t="shared" si="9"/>
        <v>2909</v>
      </c>
      <c r="G9" s="2">
        <v>1866</v>
      </c>
      <c r="H9" s="2">
        <v>2471</v>
      </c>
      <c r="U9" s="2">
        <v>8360</v>
      </c>
      <c r="V9" s="2">
        <v>11203</v>
      </c>
      <c r="W9" s="2">
        <v>10297</v>
      </c>
    </row>
    <row r="10" spans="2:234" x14ac:dyDescent="0.2">
      <c r="B10" s="5" t="s">
        <v>23</v>
      </c>
      <c r="C10" s="2">
        <v>267</v>
      </c>
      <c r="D10" s="2">
        <v>295</v>
      </c>
      <c r="E10" s="2">
        <v>300</v>
      </c>
      <c r="F10" s="2">
        <f t="shared" si="9"/>
        <v>371</v>
      </c>
      <c r="G10" s="2">
        <v>247</v>
      </c>
      <c r="H10" s="2">
        <v>240</v>
      </c>
      <c r="U10" s="2">
        <v>791</v>
      </c>
      <c r="V10" s="2">
        <v>1181</v>
      </c>
      <c r="W10" s="2">
        <v>1233</v>
      </c>
    </row>
    <row r="11" spans="2:234" s="6" customFormat="1" x14ac:dyDescent="0.2">
      <c r="B11" s="6" t="s">
        <v>24</v>
      </c>
      <c r="C11" s="6">
        <f>+SUM(C7:C10)</f>
        <v>9958</v>
      </c>
      <c r="D11" s="6">
        <f>+SUM(D7:D10)</f>
        <v>9713</v>
      </c>
      <c r="E11" s="6">
        <f>+SUM(E7:E10)</f>
        <v>9623</v>
      </c>
      <c r="F11" s="6">
        <f t="shared" si="9"/>
        <v>10027</v>
      </c>
      <c r="G11" s="6">
        <f>+SUM(G7:G10)</f>
        <v>8979</v>
      </c>
      <c r="H11" s="6">
        <f>+SUM(H7:H10)</f>
        <v>9812</v>
      </c>
      <c r="I11" s="6">
        <f>+E11*1.01</f>
        <v>9719.23</v>
      </c>
      <c r="J11" s="6">
        <f>+F11*1.01</f>
        <v>10127.27</v>
      </c>
      <c r="R11" s="6">
        <v>11144</v>
      </c>
      <c r="S11" s="6">
        <v>10671</v>
      </c>
      <c r="T11" s="6">
        <v>12191</v>
      </c>
      <c r="U11" s="6">
        <f>+SUM(U7:U10)</f>
        <v>33817</v>
      </c>
      <c r="V11" s="6">
        <f>+SUM(V7:V10)</f>
        <v>41321</v>
      </c>
      <c r="W11" s="6">
        <f>+SUM(W7:W10)</f>
        <v>39321</v>
      </c>
      <c r="X11" s="6">
        <f>SUM(G11:J11)</f>
        <v>38637.5</v>
      </c>
      <c r="Y11" s="6">
        <f t="shared" ref="Y11:AG11" si="10">+X11*0.98</f>
        <v>37864.75</v>
      </c>
      <c r="Z11" s="6">
        <f t="shared" si="10"/>
        <v>37107.455000000002</v>
      </c>
      <c r="AA11" s="6">
        <f t="shared" si="10"/>
        <v>36365.305899999999</v>
      </c>
      <c r="AB11" s="6">
        <f t="shared" si="10"/>
        <v>35637.999781999999</v>
      </c>
      <c r="AC11" s="6">
        <f t="shared" si="10"/>
        <v>34925.239786359998</v>
      </c>
      <c r="AD11" s="6">
        <f t="shared" si="10"/>
        <v>34226.734990632795</v>
      </c>
      <c r="AE11" s="6">
        <f t="shared" si="10"/>
        <v>33542.200290820139</v>
      </c>
      <c r="AF11" s="6">
        <f t="shared" si="10"/>
        <v>32871.356285003734</v>
      </c>
      <c r="AG11" s="6">
        <f t="shared" si="10"/>
        <v>32213.929159303658</v>
      </c>
    </row>
    <row r="12" spans="2:234" x14ac:dyDescent="0.2">
      <c r="B12" s="2" t="s">
        <v>25</v>
      </c>
      <c r="C12" s="2">
        <v>6058</v>
      </c>
      <c r="D12" s="2">
        <v>6204</v>
      </c>
      <c r="E12" s="2">
        <v>5181</v>
      </c>
      <c r="F12" s="2">
        <f t="shared" si="9"/>
        <v>5527</v>
      </c>
      <c r="G12" s="2">
        <v>5131</v>
      </c>
      <c r="H12" s="2">
        <v>5967</v>
      </c>
      <c r="I12" s="2">
        <f t="shared" ref="I12:J14" si="11">+I$11*(E12/E$11)</f>
        <v>5232.8100000000004</v>
      </c>
      <c r="J12" s="2">
        <f t="shared" si="11"/>
        <v>5582.2699999999995</v>
      </c>
      <c r="U12" s="2">
        <v>20442</v>
      </c>
      <c r="V12" s="2">
        <v>24526</v>
      </c>
      <c r="W12" s="2">
        <v>22970</v>
      </c>
      <c r="X12" s="2">
        <f>+SUM(G12:J12)</f>
        <v>21913.08</v>
      </c>
      <c r="Y12" s="2">
        <f t="shared" ref="Y12:AG12" si="12">+Y$11*Y31</f>
        <v>21474.818400000004</v>
      </c>
      <c r="Z12" s="2">
        <f t="shared" si="12"/>
        <v>21045.322032000004</v>
      </c>
      <c r="AA12" s="2">
        <f t="shared" si="12"/>
        <v>20624.415591360004</v>
      </c>
      <c r="AB12" s="2">
        <f t="shared" si="12"/>
        <v>20211.927279532803</v>
      </c>
      <c r="AC12" s="2">
        <f t="shared" si="12"/>
        <v>19807.688733942145</v>
      </c>
      <c r="AD12" s="2">
        <f t="shared" si="12"/>
        <v>19411.534959263299</v>
      </c>
      <c r="AE12" s="2">
        <f t="shared" si="12"/>
        <v>19023.304260078035</v>
      </c>
      <c r="AF12" s="2">
        <f t="shared" si="12"/>
        <v>18642.838174876473</v>
      </c>
      <c r="AG12" s="2">
        <f t="shared" si="12"/>
        <v>18269.981411378943</v>
      </c>
    </row>
    <row r="13" spans="2:234" x14ac:dyDescent="0.2">
      <c r="B13" s="2" t="s">
        <v>26</v>
      </c>
      <c r="C13" s="2">
        <v>2232</v>
      </c>
      <c r="D13" s="2">
        <v>2461</v>
      </c>
      <c r="E13" s="2">
        <v>2385</v>
      </c>
      <c r="F13" s="2">
        <f t="shared" si="9"/>
        <v>2218</v>
      </c>
      <c r="G13" s="2">
        <v>2194</v>
      </c>
      <c r="H13" s="2">
        <v>2477</v>
      </c>
      <c r="I13" s="2">
        <f t="shared" si="11"/>
        <v>2408.85</v>
      </c>
      <c r="J13" s="2">
        <f t="shared" si="11"/>
        <v>2240.1799999999998</v>
      </c>
      <c r="U13" s="2">
        <v>9678</v>
      </c>
      <c r="V13" s="2">
        <v>9696</v>
      </c>
      <c r="W13" s="2">
        <v>9296</v>
      </c>
      <c r="X13" s="2">
        <f t="shared" ref="X13:X21" si="13">+SUM(G13:J13)</f>
        <v>9320.0300000000007</v>
      </c>
      <c r="Y13" s="2">
        <f t="shared" ref="Y13:AG13" si="14">+Y$11*Y32</f>
        <v>9133.6293999999998</v>
      </c>
      <c r="Z13" s="2">
        <f t="shared" si="14"/>
        <v>8950.9568120000004</v>
      </c>
      <c r="AA13" s="2">
        <f t="shared" si="14"/>
        <v>8771.9376757600003</v>
      </c>
      <c r="AB13" s="2">
        <f t="shared" si="14"/>
        <v>8596.4989222448003</v>
      </c>
      <c r="AC13" s="2">
        <f t="shared" si="14"/>
        <v>8424.5689437999044</v>
      </c>
      <c r="AD13" s="2">
        <f t="shared" si="14"/>
        <v>8256.0775649239058</v>
      </c>
      <c r="AE13" s="2">
        <f t="shared" si="14"/>
        <v>8090.9560136254267</v>
      </c>
      <c r="AF13" s="2">
        <f t="shared" si="14"/>
        <v>7929.1368933529184</v>
      </c>
      <c r="AG13" s="2">
        <f t="shared" si="14"/>
        <v>7770.5541554858592</v>
      </c>
    </row>
    <row r="14" spans="2:234" x14ac:dyDescent="0.2">
      <c r="B14" s="2" t="s">
        <v>27</v>
      </c>
      <c r="C14" s="2">
        <v>1888</v>
      </c>
      <c r="D14" s="2">
        <v>1744</v>
      </c>
      <c r="E14" s="2">
        <v>1762</v>
      </c>
      <c r="F14" s="2">
        <f t="shared" si="9"/>
        <v>1643</v>
      </c>
      <c r="G14" s="2">
        <v>1547</v>
      </c>
      <c r="H14" s="2">
        <v>1447</v>
      </c>
      <c r="I14" s="2">
        <f t="shared" si="11"/>
        <v>1779.62</v>
      </c>
      <c r="J14" s="2">
        <f t="shared" si="11"/>
        <v>1659.43</v>
      </c>
      <c r="U14" s="2">
        <v>7193</v>
      </c>
      <c r="V14" s="2">
        <v>7985</v>
      </c>
      <c r="W14" s="2">
        <v>7037</v>
      </c>
    </row>
    <row r="15" spans="2:234" x14ac:dyDescent="0.2">
      <c r="B15" s="2" t="s">
        <v>28</v>
      </c>
      <c r="C15" s="2">
        <f t="shared" ref="C15:J15" si="15">+C11-SUM(C12:C14)</f>
        <v>-220</v>
      </c>
      <c r="D15" s="2">
        <f t="shared" si="15"/>
        <v>-696</v>
      </c>
      <c r="E15" s="2">
        <f t="shared" si="15"/>
        <v>295</v>
      </c>
      <c r="F15" s="2">
        <f t="shared" si="15"/>
        <v>639</v>
      </c>
      <c r="G15" s="2">
        <f t="shared" si="15"/>
        <v>107</v>
      </c>
      <c r="H15" s="2">
        <f t="shared" si="15"/>
        <v>-79</v>
      </c>
      <c r="I15" s="2">
        <f t="shared" si="15"/>
        <v>297.95000000000073</v>
      </c>
      <c r="J15" s="2">
        <f t="shared" si="15"/>
        <v>645.39000000000124</v>
      </c>
      <c r="U15" s="2">
        <f>+U11-SUM(U12:U14)</f>
        <v>-3496</v>
      </c>
      <c r="V15" s="2">
        <f>+V11-SUM(V12:V14)</f>
        <v>-886</v>
      </c>
      <c r="W15" s="2">
        <f>+W11-SUM(W12:W14)</f>
        <v>18</v>
      </c>
      <c r="X15" s="2">
        <f t="shared" si="13"/>
        <v>971.34000000000196</v>
      </c>
      <c r="Y15" s="2">
        <f t="shared" ref="Y15:AG15" si="16">+Y11-SUM(Y12:Y14)</f>
        <v>7256.3021999999983</v>
      </c>
      <c r="Z15" s="2">
        <f t="shared" si="16"/>
        <v>7111.1761559999977</v>
      </c>
      <c r="AA15" s="2">
        <f t="shared" si="16"/>
        <v>6968.9526328799948</v>
      </c>
      <c r="AB15" s="2">
        <f t="shared" si="16"/>
        <v>6829.5735802223935</v>
      </c>
      <c r="AC15" s="2">
        <f t="shared" si="16"/>
        <v>6692.9821086179509</v>
      </c>
      <c r="AD15" s="2">
        <f t="shared" si="16"/>
        <v>6559.1224664455876</v>
      </c>
      <c r="AE15" s="2">
        <f t="shared" si="16"/>
        <v>6427.9400171166781</v>
      </c>
      <c r="AF15" s="2">
        <f t="shared" si="16"/>
        <v>6299.3812167743417</v>
      </c>
      <c r="AG15" s="2">
        <f t="shared" si="16"/>
        <v>6173.3935924388534</v>
      </c>
    </row>
    <row r="16" spans="2:234" x14ac:dyDescent="0.2">
      <c r="B16" s="2" t="s">
        <v>29</v>
      </c>
      <c r="C16" s="2">
        <v>-515</v>
      </c>
      <c r="D16" s="2">
        <v>-518</v>
      </c>
      <c r="E16" s="2">
        <v>494</v>
      </c>
      <c r="F16" s="2">
        <f>+W16-SUM(C16:E16)</f>
        <v>-1478</v>
      </c>
      <c r="G16" s="2">
        <v>-468</v>
      </c>
      <c r="H16" s="2">
        <v>-463</v>
      </c>
      <c r="I16" s="2">
        <f>+H16</f>
        <v>-463</v>
      </c>
      <c r="J16" s="2">
        <f>+I16</f>
        <v>-463</v>
      </c>
      <c r="U16" s="2">
        <v>-1777</v>
      </c>
      <c r="V16" s="2">
        <v>-2221</v>
      </c>
      <c r="W16" s="2">
        <v>-2017</v>
      </c>
      <c r="X16" s="2">
        <f t="shared" si="13"/>
        <v>-1857</v>
      </c>
      <c r="Y16" s="2">
        <f t="shared" ref="Y16:AG16" si="17">+X16</f>
        <v>-1857</v>
      </c>
      <c r="Z16" s="2">
        <f t="shared" si="17"/>
        <v>-1857</v>
      </c>
      <c r="AA16" s="2">
        <f t="shared" si="17"/>
        <v>-1857</v>
      </c>
      <c r="AB16" s="2">
        <f t="shared" si="17"/>
        <v>-1857</v>
      </c>
      <c r="AC16" s="2">
        <f t="shared" si="17"/>
        <v>-1857</v>
      </c>
      <c r="AD16" s="2">
        <f t="shared" si="17"/>
        <v>-1857</v>
      </c>
      <c r="AE16" s="2">
        <f t="shared" si="17"/>
        <v>-1857</v>
      </c>
      <c r="AF16" s="2">
        <f t="shared" si="17"/>
        <v>-1857</v>
      </c>
      <c r="AG16" s="2">
        <f t="shared" si="17"/>
        <v>-1857</v>
      </c>
    </row>
    <row r="17" spans="2:234" x14ac:dyDescent="0.2">
      <c r="B17" s="2" t="s">
        <v>30</v>
      </c>
      <c r="C17" s="2">
        <v>-48</v>
      </c>
      <c r="D17" s="2">
        <v>-23</v>
      </c>
      <c r="E17" s="2">
        <v>-18</v>
      </c>
      <c r="F17" s="2">
        <f>+W17-SUM(C17:E17)</f>
        <v>-32</v>
      </c>
      <c r="G17" s="2">
        <v>-7</v>
      </c>
      <c r="H17" s="2">
        <v>5</v>
      </c>
      <c r="I17" s="2">
        <v>5</v>
      </c>
      <c r="J17" s="2">
        <v>5</v>
      </c>
      <c r="U17" s="2">
        <v>-160</v>
      </c>
      <c r="V17" s="2">
        <v>-82</v>
      </c>
      <c r="W17" s="2">
        <v>-121</v>
      </c>
      <c r="X17" s="2">
        <f t="shared" si="13"/>
        <v>8</v>
      </c>
      <c r="Y17" s="2">
        <f t="shared" ref="Y17:AG17" si="18">+X17</f>
        <v>8</v>
      </c>
      <c r="Z17" s="2">
        <f t="shared" si="18"/>
        <v>8</v>
      </c>
      <c r="AA17" s="2">
        <f t="shared" si="18"/>
        <v>8</v>
      </c>
      <c r="AB17" s="2">
        <f t="shared" si="18"/>
        <v>8</v>
      </c>
      <c r="AC17" s="2">
        <f t="shared" si="18"/>
        <v>8</v>
      </c>
      <c r="AD17" s="2">
        <f t="shared" si="18"/>
        <v>8</v>
      </c>
      <c r="AE17" s="2">
        <f t="shared" si="18"/>
        <v>8</v>
      </c>
      <c r="AF17" s="2">
        <f t="shared" si="18"/>
        <v>8</v>
      </c>
      <c r="AG17" s="2">
        <f t="shared" si="18"/>
        <v>8</v>
      </c>
    </row>
    <row r="18" spans="2:234" x14ac:dyDescent="0.2">
      <c r="B18" s="2" t="s">
        <v>31</v>
      </c>
      <c r="C18" s="2">
        <v>-14</v>
      </c>
      <c r="D18" s="2">
        <v>172</v>
      </c>
      <c r="E18" s="2">
        <v>30</v>
      </c>
      <c r="F18" s="2">
        <f>+W18-SUM(C18:E18)</f>
        <v>-38</v>
      </c>
      <c r="G18" s="2">
        <v>82</v>
      </c>
      <c r="H18" s="2">
        <v>139</v>
      </c>
      <c r="I18" s="2">
        <v>139</v>
      </c>
      <c r="J18" s="2">
        <v>139</v>
      </c>
      <c r="U18" s="2">
        <v>347</v>
      </c>
      <c r="V18" s="2">
        <v>-29</v>
      </c>
      <c r="W18" s="2">
        <v>150</v>
      </c>
      <c r="X18" s="2">
        <f t="shared" si="13"/>
        <v>499</v>
      </c>
      <c r="Y18" s="2">
        <f t="shared" ref="Y18:AG18" si="19">+X18</f>
        <v>499</v>
      </c>
      <c r="Z18" s="2">
        <f t="shared" si="19"/>
        <v>499</v>
      </c>
      <c r="AA18" s="2">
        <f t="shared" si="19"/>
        <v>499</v>
      </c>
      <c r="AB18" s="2">
        <f t="shared" si="19"/>
        <v>499</v>
      </c>
      <c r="AC18" s="2">
        <f t="shared" si="19"/>
        <v>499</v>
      </c>
      <c r="AD18" s="2">
        <f t="shared" si="19"/>
        <v>499</v>
      </c>
      <c r="AE18" s="2">
        <f t="shared" si="19"/>
        <v>499</v>
      </c>
      <c r="AF18" s="2">
        <f t="shared" si="19"/>
        <v>499</v>
      </c>
      <c r="AG18" s="2">
        <f t="shared" si="19"/>
        <v>499</v>
      </c>
    </row>
    <row r="19" spans="2:234" x14ac:dyDescent="0.2">
      <c r="B19" s="2" t="s">
        <v>32</v>
      </c>
      <c r="C19" s="2">
        <f t="shared" ref="C19:J19" si="20">+SUM(C15:C18)</f>
        <v>-797</v>
      </c>
      <c r="D19" s="2">
        <f t="shared" si="20"/>
        <v>-1065</v>
      </c>
      <c r="E19" s="2">
        <f t="shared" si="20"/>
        <v>801</v>
      </c>
      <c r="F19" s="2">
        <f t="shared" si="20"/>
        <v>-909</v>
      </c>
      <c r="G19" s="2">
        <f t="shared" si="20"/>
        <v>-286</v>
      </c>
      <c r="H19" s="2">
        <f t="shared" si="20"/>
        <v>-398</v>
      </c>
      <c r="I19" s="2">
        <f t="shared" si="20"/>
        <v>-21.049999999999272</v>
      </c>
      <c r="J19" s="2">
        <f t="shared" si="20"/>
        <v>326.39000000000124</v>
      </c>
      <c r="U19" s="2">
        <f>+SUM(U15:U18)</f>
        <v>-5086</v>
      </c>
      <c r="V19" s="2">
        <f>+SUM(V15:V18)</f>
        <v>-3218</v>
      </c>
      <c r="W19" s="2">
        <f>+SUM(W15:W18)</f>
        <v>-1970</v>
      </c>
      <c r="X19" s="2">
        <f t="shared" si="13"/>
        <v>-378.65999999999804</v>
      </c>
      <c r="Y19" s="2">
        <f t="shared" ref="Y19:AG19" si="21">+SUM(Y15:Y18)</f>
        <v>5906.3021999999983</v>
      </c>
      <c r="Z19" s="2">
        <f t="shared" si="21"/>
        <v>5761.1761559999977</v>
      </c>
      <c r="AA19" s="2">
        <f t="shared" si="21"/>
        <v>5618.9526328799948</v>
      </c>
      <c r="AB19" s="2">
        <f t="shared" si="21"/>
        <v>5479.5735802223935</v>
      </c>
      <c r="AC19" s="2">
        <f t="shared" si="21"/>
        <v>5342.9821086179509</v>
      </c>
      <c r="AD19" s="2">
        <f t="shared" si="21"/>
        <v>5209.1224664455876</v>
      </c>
      <c r="AE19" s="2">
        <f t="shared" si="21"/>
        <v>5077.9400171166781</v>
      </c>
      <c r="AF19" s="2">
        <f t="shared" si="21"/>
        <v>4949.3812167743417</v>
      </c>
      <c r="AG19" s="2">
        <f t="shared" si="21"/>
        <v>4823.3935924388534</v>
      </c>
    </row>
    <row r="20" spans="2:234" x14ac:dyDescent="0.2">
      <c r="B20" s="2" t="s">
        <v>33</v>
      </c>
      <c r="C20" s="2">
        <v>-136</v>
      </c>
      <c r="D20" s="2">
        <v>7</v>
      </c>
      <c r="E20" s="2">
        <v>319</v>
      </c>
      <c r="F20" s="2">
        <f>+W20-SUM(C20:E20)</f>
        <v>-284</v>
      </c>
      <c r="G20" s="2">
        <v>-15</v>
      </c>
      <c r="H20" s="2">
        <v>866</v>
      </c>
      <c r="I20" s="2">
        <f>+I19*0.21</f>
        <v>-4.4204999999998469</v>
      </c>
      <c r="J20" s="2">
        <f>+J19*0.21</f>
        <v>68.541900000000254</v>
      </c>
      <c r="U20" s="2">
        <v>1663</v>
      </c>
      <c r="V20" s="2">
        <v>784</v>
      </c>
      <c r="W20" s="2">
        <v>-94</v>
      </c>
      <c r="X20" s="2">
        <f t="shared" si="13"/>
        <v>915.12140000000045</v>
      </c>
      <c r="Y20" s="2">
        <f t="shared" ref="Y20:AG20" si="22">+Y19*0.21</f>
        <v>1240.3234619999996</v>
      </c>
      <c r="Z20" s="2">
        <f t="shared" si="22"/>
        <v>1209.8469927599995</v>
      </c>
      <c r="AA20" s="2">
        <f t="shared" si="22"/>
        <v>1179.9800529047989</v>
      </c>
      <c r="AB20" s="2">
        <f t="shared" si="22"/>
        <v>1150.7104518467027</v>
      </c>
      <c r="AC20" s="2">
        <f t="shared" si="22"/>
        <v>1122.0262428097697</v>
      </c>
      <c r="AD20" s="2">
        <f t="shared" si="22"/>
        <v>1093.9157179535734</v>
      </c>
      <c r="AE20" s="2">
        <f t="shared" si="22"/>
        <v>1066.3674035945023</v>
      </c>
      <c r="AF20" s="2">
        <f t="shared" si="22"/>
        <v>1039.3700555226117</v>
      </c>
      <c r="AG20" s="2">
        <f t="shared" si="22"/>
        <v>1012.9126544121592</v>
      </c>
    </row>
    <row r="21" spans="2:234" x14ac:dyDescent="0.2">
      <c r="B21" s="2" t="s">
        <v>34</v>
      </c>
      <c r="C21" s="2">
        <f t="shared" ref="C21:J21" si="23">+C19-C20</f>
        <v>-661</v>
      </c>
      <c r="D21" s="2">
        <f t="shared" si="23"/>
        <v>-1072</v>
      </c>
      <c r="E21" s="2">
        <f t="shared" si="23"/>
        <v>482</v>
      </c>
      <c r="F21" s="2">
        <f t="shared" si="23"/>
        <v>-625</v>
      </c>
      <c r="G21" s="2">
        <f t="shared" si="23"/>
        <v>-271</v>
      </c>
      <c r="H21" s="2">
        <f t="shared" si="23"/>
        <v>-1264</v>
      </c>
      <c r="I21" s="2">
        <f t="shared" si="23"/>
        <v>-16.629499999999425</v>
      </c>
      <c r="J21" s="2">
        <f t="shared" si="23"/>
        <v>257.84810000000095</v>
      </c>
      <c r="U21" s="2">
        <f>+U19-U20</f>
        <v>-6749</v>
      </c>
      <c r="V21" s="2">
        <f>+V19-V20</f>
        <v>-4002</v>
      </c>
      <c r="W21" s="2">
        <f>+W19-W20</f>
        <v>-1876</v>
      </c>
      <c r="X21" s="2">
        <f t="shared" si="13"/>
        <v>-1293.7813999999985</v>
      </c>
      <c r="Y21" s="2">
        <f t="shared" ref="Y21:AG21" si="24">+Y19-Y20</f>
        <v>4665.9787379999989</v>
      </c>
      <c r="Z21" s="2">
        <f t="shared" si="24"/>
        <v>4551.3291632399978</v>
      </c>
      <c r="AA21" s="2">
        <f t="shared" si="24"/>
        <v>4438.9725799751959</v>
      </c>
      <c r="AB21" s="2">
        <f t="shared" si="24"/>
        <v>4328.8631283756913</v>
      </c>
      <c r="AC21" s="2">
        <f t="shared" si="24"/>
        <v>4220.9558658081814</v>
      </c>
      <c r="AD21" s="2">
        <f t="shared" si="24"/>
        <v>4115.2067484920144</v>
      </c>
      <c r="AE21" s="2">
        <f t="shared" si="24"/>
        <v>4011.5726135221757</v>
      </c>
      <c r="AF21" s="2">
        <f t="shared" si="24"/>
        <v>3910.0111612517303</v>
      </c>
      <c r="AG21" s="2">
        <f t="shared" si="24"/>
        <v>3810.4809380266943</v>
      </c>
      <c r="AH21" s="2">
        <f t="shared" ref="AH21:CS21" si="25">+AG21*(1+$AL$24)</f>
        <v>3848.5857474069612</v>
      </c>
      <c r="AI21" s="2">
        <f t="shared" si="25"/>
        <v>3887.0716048810309</v>
      </c>
      <c r="AJ21" s="2">
        <f t="shared" si="25"/>
        <v>3925.9423209298411</v>
      </c>
      <c r="AK21" s="2">
        <f t="shared" si="25"/>
        <v>3965.2017441391395</v>
      </c>
      <c r="AL21" s="2">
        <f t="shared" si="25"/>
        <v>4004.8537615805308</v>
      </c>
      <c r="AM21" s="2">
        <f t="shared" si="25"/>
        <v>4044.9022991963361</v>
      </c>
      <c r="AN21" s="2">
        <f t="shared" si="25"/>
        <v>4085.3513221882995</v>
      </c>
      <c r="AO21" s="2">
        <f t="shared" si="25"/>
        <v>4126.2048354101826</v>
      </c>
      <c r="AP21" s="2">
        <f t="shared" si="25"/>
        <v>4167.4668837642848</v>
      </c>
      <c r="AQ21" s="2">
        <f t="shared" si="25"/>
        <v>4209.1415526019273</v>
      </c>
      <c r="AR21" s="2">
        <f t="shared" si="25"/>
        <v>4251.2329681279462</v>
      </c>
      <c r="AS21" s="2">
        <f t="shared" si="25"/>
        <v>4293.745297809226</v>
      </c>
      <c r="AT21" s="2">
        <f t="shared" si="25"/>
        <v>4336.6827507873186</v>
      </c>
      <c r="AU21" s="2">
        <f t="shared" si="25"/>
        <v>4380.0495782951921</v>
      </c>
      <c r="AV21" s="2">
        <f t="shared" si="25"/>
        <v>4423.8500740781437</v>
      </c>
      <c r="AW21" s="2">
        <f t="shared" si="25"/>
        <v>4468.0885748189248</v>
      </c>
      <c r="AX21" s="2">
        <f t="shared" si="25"/>
        <v>4512.769460567114</v>
      </c>
      <c r="AY21" s="2">
        <f t="shared" si="25"/>
        <v>4557.8971551727855</v>
      </c>
      <c r="AZ21" s="2">
        <f t="shared" si="25"/>
        <v>4603.4761267245131</v>
      </c>
      <c r="BA21" s="2">
        <f t="shared" si="25"/>
        <v>4649.510887991758</v>
      </c>
      <c r="BB21" s="2">
        <f t="shared" si="25"/>
        <v>4696.005996871676</v>
      </c>
      <c r="BC21" s="2">
        <f t="shared" si="25"/>
        <v>4742.9660568403924</v>
      </c>
      <c r="BD21" s="2">
        <f t="shared" si="25"/>
        <v>4790.3957174087964</v>
      </c>
      <c r="BE21" s="2">
        <f t="shared" si="25"/>
        <v>4838.2996745828841</v>
      </c>
      <c r="BF21" s="2">
        <f t="shared" si="25"/>
        <v>4886.6826713287128</v>
      </c>
      <c r="BG21" s="2">
        <f t="shared" si="25"/>
        <v>4935.5494980419999</v>
      </c>
      <c r="BH21" s="2">
        <f t="shared" si="25"/>
        <v>4984.9049930224201</v>
      </c>
      <c r="BI21" s="2">
        <f t="shared" si="25"/>
        <v>5034.7540429526443</v>
      </c>
      <c r="BJ21" s="2">
        <f t="shared" si="25"/>
        <v>5085.1015833821712</v>
      </c>
      <c r="BK21" s="2">
        <f t="shared" si="25"/>
        <v>5135.9525992159934</v>
      </c>
      <c r="BL21" s="2">
        <f t="shared" si="25"/>
        <v>5187.3121252081537</v>
      </c>
      <c r="BM21" s="2">
        <f t="shared" si="25"/>
        <v>5239.1852464602352</v>
      </c>
      <c r="BN21" s="2">
        <f t="shared" si="25"/>
        <v>5291.5770989248376</v>
      </c>
      <c r="BO21" s="2">
        <f t="shared" si="25"/>
        <v>5344.4928699140864</v>
      </c>
      <c r="BP21" s="2">
        <f t="shared" si="25"/>
        <v>5397.9377986132276</v>
      </c>
      <c r="BQ21" s="2">
        <f t="shared" si="25"/>
        <v>5451.9171765993597</v>
      </c>
      <c r="BR21" s="2">
        <f t="shared" si="25"/>
        <v>5506.4363483653533</v>
      </c>
      <c r="BS21" s="2">
        <f t="shared" si="25"/>
        <v>5561.5007118490066</v>
      </c>
      <c r="BT21" s="2">
        <f t="shared" si="25"/>
        <v>5617.1157189674968</v>
      </c>
      <c r="BU21" s="2">
        <f t="shared" si="25"/>
        <v>5673.2868761571717</v>
      </c>
      <c r="BV21" s="2">
        <f t="shared" si="25"/>
        <v>5730.0197449187435</v>
      </c>
      <c r="BW21" s="2">
        <f t="shared" si="25"/>
        <v>5787.3199423679307</v>
      </c>
      <c r="BX21" s="2">
        <f t="shared" si="25"/>
        <v>5845.1931417916103</v>
      </c>
      <c r="BY21" s="2">
        <f t="shared" si="25"/>
        <v>5903.6450732095263</v>
      </c>
      <c r="BZ21" s="2">
        <f t="shared" si="25"/>
        <v>5962.6815239416219</v>
      </c>
      <c r="CA21" s="2">
        <f t="shared" si="25"/>
        <v>6022.3083391810378</v>
      </c>
      <c r="CB21" s="2">
        <f t="shared" si="25"/>
        <v>6082.531422572848</v>
      </c>
      <c r="CC21" s="2">
        <f t="shared" si="25"/>
        <v>6143.3567367985761</v>
      </c>
      <c r="CD21" s="2">
        <f t="shared" si="25"/>
        <v>6204.7903041665622</v>
      </c>
      <c r="CE21" s="2">
        <f t="shared" si="25"/>
        <v>6266.8382072082277</v>
      </c>
      <c r="CF21" s="2">
        <f t="shared" si="25"/>
        <v>6329.5065892803104</v>
      </c>
      <c r="CG21" s="2">
        <f t="shared" si="25"/>
        <v>6392.8016551731134</v>
      </c>
      <c r="CH21" s="2">
        <f t="shared" si="25"/>
        <v>6456.7296717248446</v>
      </c>
      <c r="CI21" s="2">
        <f t="shared" si="25"/>
        <v>6521.2969684420932</v>
      </c>
      <c r="CJ21" s="2">
        <f t="shared" si="25"/>
        <v>6586.5099381265145</v>
      </c>
      <c r="CK21" s="2">
        <f t="shared" si="25"/>
        <v>6652.3750375077798</v>
      </c>
      <c r="CL21" s="2">
        <f t="shared" si="25"/>
        <v>6718.8987878828575</v>
      </c>
      <c r="CM21" s="2">
        <f t="shared" si="25"/>
        <v>6786.0877757616863</v>
      </c>
      <c r="CN21" s="2">
        <f t="shared" si="25"/>
        <v>6853.9486535193037</v>
      </c>
      <c r="CO21" s="2">
        <f t="shared" si="25"/>
        <v>6922.4881400544964</v>
      </c>
      <c r="CP21" s="2">
        <f t="shared" si="25"/>
        <v>6991.7130214550416</v>
      </c>
      <c r="CQ21" s="2">
        <f t="shared" si="25"/>
        <v>7061.6301516695921</v>
      </c>
      <c r="CR21" s="2">
        <f t="shared" si="25"/>
        <v>7132.2464531862879</v>
      </c>
      <c r="CS21" s="2">
        <f t="shared" si="25"/>
        <v>7203.5689177181512</v>
      </c>
      <c r="CT21" s="2">
        <f t="shared" ref="CT21:FE21" si="26">+CS21*(1+$AL$24)</f>
        <v>7275.6046068953328</v>
      </c>
      <c r="CU21" s="2">
        <f t="shared" si="26"/>
        <v>7348.3606529642866</v>
      </c>
      <c r="CV21" s="2">
        <f t="shared" si="26"/>
        <v>7421.8442594939297</v>
      </c>
      <c r="CW21" s="2">
        <f t="shared" si="26"/>
        <v>7496.0627020888687</v>
      </c>
      <c r="CX21" s="2">
        <f t="shared" si="26"/>
        <v>7571.0233291097575</v>
      </c>
      <c r="CY21" s="2">
        <f t="shared" si="26"/>
        <v>7646.7335624008547</v>
      </c>
      <c r="CZ21" s="2">
        <f t="shared" si="26"/>
        <v>7723.2008980248629</v>
      </c>
      <c r="DA21" s="2">
        <f t="shared" si="26"/>
        <v>7800.4329070051117</v>
      </c>
      <c r="DB21" s="2">
        <f t="shared" si="26"/>
        <v>7878.4372360751631</v>
      </c>
      <c r="DC21" s="2">
        <f t="shared" si="26"/>
        <v>7957.2216084359152</v>
      </c>
      <c r="DD21" s="2">
        <f t="shared" si="26"/>
        <v>8036.793824520274</v>
      </c>
      <c r="DE21" s="2">
        <f t="shared" si="26"/>
        <v>8117.1617627654769</v>
      </c>
      <c r="DF21" s="2">
        <f t="shared" si="26"/>
        <v>8198.3333803931309</v>
      </c>
      <c r="DG21" s="2">
        <f t="shared" si="26"/>
        <v>8280.3167141970625</v>
      </c>
      <c r="DH21" s="2">
        <f t="shared" si="26"/>
        <v>8363.1198813390329</v>
      </c>
      <c r="DI21" s="2">
        <f t="shared" si="26"/>
        <v>8446.751080152424</v>
      </c>
      <c r="DJ21" s="2">
        <f t="shared" si="26"/>
        <v>8531.2185909539476</v>
      </c>
      <c r="DK21" s="2">
        <f t="shared" si="26"/>
        <v>8616.5307768634866</v>
      </c>
      <c r="DL21" s="2">
        <f t="shared" si="26"/>
        <v>8702.6960846321217</v>
      </c>
      <c r="DM21" s="2">
        <f t="shared" si="26"/>
        <v>8789.7230454784421</v>
      </c>
      <c r="DN21" s="2">
        <f t="shared" si="26"/>
        <v>8877.6202759332264</v>
      </c>
      <c r="DO21" s="2">
        <f t="shared" si="26"/>
        <v>8966.396478692559</v>
      </c>
      <c r="DP21" s="2">
        <f t="shared" si="26"/>
        <v>9056.0604434794841</v>
      </c>
      <c r="DQ21" s="2">
        <f t="shared" si="26"/>
        <v>9146.6210479142792</v>
      </c>
      <c r="DR21" s="2">
        <f t="shared" si="26"/>
        <v>9238.0872583934215</v>
      </c>
      <c r="DS21" s="2">
        <f t="shared" si="26"/>
        <v>9330.468130977355</v>
      </c>
      <c r="DT21" s="2">
        <f t="shared" si="26"/>
        <v>9423.7728122871285</v>
      </c>
      <c r="DU21" s="2">
        <f t="shared" si="26"/>
        <v>9518.0105404099995</v>
      </c>
      <c r="DV21" s="2">
        <f t="shared" si="26"/>
        <v>9613.1906458141002</v>
      </c>
      <c r="DW21" s="2">
        <f t="shared" si="26"/>
        <v>9709.3225522722405</v>
      </c>
      <c r="DX21" s="2">
        <f t="shared" si="26"/>
        <v>9806.4157777949622</v>
      </c>
      <c r="DY21" s="2">
        <f t="shared" si="26"/>
        <v>9904.4799355729119</v>
      </c>
      <c r="DZ21" s="2">
        <f t="shared" si="26"/>
        <v>10003.524734928642</v>
      </c>
      <c r="EA21" s="2">
        <f t="shared" si="26"/>
        <v>10103.559982277928</v>
      </c>
      <c r="EB21" s="2">
        <f t="shared" si="26"/>
        <v>10204.595582100706</v>
      </c>
      <c r="EC21" s="2">
        <f t="shared" si="26"/>
        <v>10306.641537921714</v>
      </c>
      <c r="ED21" s="2">
        <f t="shared" si="26"/>
        <v>10409.707953300931</v>
      </c>
      <c r="EE21" s="2">
        <f t="shared" si="26"/>
        <v>10513.80503283394</v>
      </c>
      <c r="EF21" s="2">
        <f t="shared" si="26"/>
        <v>10618.943083162279</v>
      </c>
      <c r="EG21" s="2">
        <f t="shared" si="26"/>
        <v>10725.132513993902</v>
      </c>
      <c r="EH21" s="2">
        <f t="shared" si="26"/>
        <v>10832.383839133841</v>
      </c>
      <c r="EI21" s="2">
        <f t="shared" si="26"/>
        <v>10940.707677525179</v>
      </c>
      <c r="EJ21" s="2">
        <f t="shared" si="26"/>
        <v>11050.114754300432</v>
      </c>
      <c r="EK21" s="2">
        <f t="shared" si="26"/>
        <v>11160.615901843435</v>
      </c>
      <c r="EL21" s="2">
        <f t="shared" si="26"/>
        <v>11272.22206086187</v>
      </c>
      <c r="EM21" s="2">
        <f t="shared" si="26"/>
        <v>11384.944281470489</v>
      </c>
      <c r="EN21" s="2">
        <f t="shared" si="26"/>
        <v>11498.793724285193</v>
      </c>
      <c r="EO21" s="2">
        <f t="shared" si="26"/>
        <v>11613.781661528044</v>
      </c>
      <c r="EP21" s="2">
        <f t="shared" si="26"/>
        <v>11729.919478143325</v>
      </c>
      <c r="EQ21" s="2">
        <f t="shared" si="26"/>
        <v>11847.218672924759</v>
      </c>
      <c r="ER21" s="2">
        <f t="shared" si="26"/>
        <v>11965.690859654007</v>
      </c>
      <c r="ES21" s="2">
        <f t="shared" si="26"/>
        <v>12085.347768250547</v>
      </c>
      <c r="ET21" s="2">
        <f t="shared" si="26"/>
        <v>12206.201245933053</v>
      </c>
      <c r="EU21" s="2">
        <f t="shared" si="26"/>
        <v>12328.263258392384</v>
      </c>
      <c r="EV21" s="2">
        <f t="shared" si="26"/>
        <v>12451.545890976307</v>
      </c>
      <c r="EW21" s="2">
        <f t="shared" si="26"/>
        <v>12576.061349886071</v>
      </c>
      <c r="EX21" s="2">
        <f t="shared" si="26"/>
        <v>12701.821963384931</v>
      </c>
      <c r="EY21" s="2">
        <f t="shared" si="26"/>
        <v>12828.840183018781</v>
      </c>
      <c r="EZ21" s="2">
        <f t="shared" si="26"/>
        <v>12957.12858484897</v>
      </c>
      <c r="FA21" s="2">
        <f t="shared" si="26"/>
        <v>13086.699870697459</v>
      </c>
      <c r="FB21" s="2">
        <f t="shared" si="26"/>
        <v>13217.566869404434</v>
      </c>
      <c r="FC21" s="2">
        <f t="shared" si="26"/>
        <v>13349.742538098479</v>
      </c>
      <c r="FD21" s="2">
        <f t="shared" si="26"/>
        <v>13483.239963479464</v>
      </c>
      <c r="FE21" s="2">
        <f t="shared" si="26"/>
        <v>13618.072363114259</v>
      </c>
      <c r="FF21" s="2">
        <f t="shared" ref="FF21:HQ21" si="27">+FE21*(1+$AL$24)</f>
        <v>13754.253086745402</v>
      </c>
      <c r="FG21" s="2">
        <f t="shared" si="27"/>
        <v>13891.795617612857</v>
      </c>
      <c r="FH21" s="2">
        <f t="shared" si="27"/>
        <v>14030.713573788986</v>
      </c>
      <c r="FI21" s="2">
        <f t="shared" si="27"/>
        <v>14171.020709526876</v>
      </c>
      <c r="FJ21" s="2">
        <f t="shared" si="27"/>
        <v>14312.730916622146</v>
      </c>
      <c r="FK21" s="2">
        <f t="shared" si="27"/>
        <v>14455.858225788368</v>
      </c>
      <c r="FL21" s="2">
        <f t="shared" si="27"/>
        <v>14600.416808046251</v>
      </c>
      <c r="FM21" s="2">
        <f t="shared" si="27"/>
        <v>14746.420976126714</v>
      </c>
      <c r="FN21" s="2">
        <f t="shared" si="27"/>
        <v>14893.885185887981</v>
      </c>
      <c r="FO21" s="2">
        <f t="shared" si="27"/>
        <v>15042.824037746861</v>
      </c>
      <c r="FP21" s="2">
        <f t="shared" si="27"/>
        <v>15193.25227812433</v>
      </c>
      <c r="FQ21" s="2">
        <f t="shared" si="27"/>
        <v>15345.184800905574</v>
      </c>
      <c r="FR21" s="2">
        <f t="shared" si="27"/>
        <v>15498.636648914629</v>
      </c>
      <c r="FS21" s="2">
        <f t="shared" si="27"/>
        <v>15653.623015403777</v>
      </c>
      <c r="FT21" s="2">
        <f t="shared" si="27"/>
        <v>15810.159245557814</v>
      </c>
      <c r="FU21" s="2">
        <f t="shared" si="27"/>
        <v>15968.260838013392</v>
      </c>
      <c r="FV21" s="2">
        <f t="shared" si="27"/>
        <v>16127.943446393525</v>
      </c>
      <c r="FW21" s="2">
        <f t="shared" si="27"/>
        <v>16289.22288085746</v>
      </c>
      <c r="FX21" s="2">
        <f t="shared" si="27"/>
        <v>16452.115109666036</v>
      </c>
      <c r="FY21" s="2">
        <f t="shared" si="27"/>
        <v>16616.636260762698</v>
      </c>
      <c r="FZ21" s="2">
        <f t="shared" si="27"/>
        <v>16782.802623370324</v>
      </c>
      <c r="GA21" s="2">
        <f t="shared" si="27"/>
        <v>16950.630649604027</v>
      </c>
      <c r="GB21" s="2">
        <f t="shared" si="27"/>
        <v>17120.136956100068</v>
      </c>
      <c r="GC21" s="2">
        <f t="shared" si="27"/>
        <v>17291.338325661069</v>
      </c>
      <c r="GD21" s="2">
        <f t="shared" si="27"/>
        <v>17464.25170891768</v>
      </c>
      <c r="GE21" s="2">
        <f t="shared" si="27"/>
        <v>17638.894226006858</v>
      </c>
      <c r="GF21" s="2">
        <f t="shared" si="27"/>
        <v>17815.283168266928</v>
      </c>
      <c r="GG21" s="2">
        <f t="shared" si="27"/>
        <v>17993.435999949597</v>
      </c>
      <c r="GH21" s="2">
        <f t="shared" si="27"/>
        <v>18173.370359949095</v>
      </c>
      <c r="GI21" s="2">
        <f t="shared" si="27"/>
        <v>18355.104063548584</v>
      </c>
      <c r="GJ21" s="2">
        <f t="shared" si="27"/>
        <v>18538.655104184068</v>
      </c>
      <c r="GK21" s="2">
        <f t="shared" si="27"/>
        <v>18724.041655225908</v>
      </c>
      <c r="GL21" s="2">
        <f t="shared" si="27"/>
        <v>18911.282071778169</v>
      </c>
      <c r="GM21" s="2">
        <f t="shared" si="27"/>
        <v>19100.394892495951</v>
      </c>
      <c r="GN21" s="2">
        <f t="shared" si="27"/>
        <v>19291.398841420913</v>
      </c>
      <c r="GO21" s="2">
        <f t="shared" si="27"/>
        <v>19484.312829835122</v>
      </c>
      <c r="GP21" s="2">
        <f t="shared" si="27"/>
        <v>19679.155958133473</v>
      </c>
      <c r="GQ21" s="2">
        <f t="shared" si="27"/>
        <v>19875.947517714809</v>
      </c>
      <c r="GR21" s="2">
        <f t="shared" si="27"/>
        <v>20074.706992891955</v>
      </c>
      <c r="GS21" s="2">
        <f t="shared" si="27"/>
        <v>20275.454062820874</v>
      </c>
      <c r="GT21" s="2">
        <f t="shared" si="27"/>
        <v>20478.208603449082</v>
      </c>
      <c r="GU21" s="2">
        <f t="shared" si="27"/>
        <v>20682.990689483573</v>
      </c>
      <c r="GV21" s="2">
        <f t="shared" si="27"/>
        <v>20889.820596378409</v>
      </c>
      <c r="GW21" s="2">
        <f t="shared" si="27"/>
        <v>21098.718802342195</v>
      </c>
      <c r="GX21" s="2">
        <f t="shared" si="27"/>
        <v>21309.705990365615</v>
      </c>
      <c r="GY21" s="2">
        <f t="shared" si="27"/>
        <v>21522.803050269271</v>
      </c>
      <c r="GZ21" s="2">
        <f t="shared" si="27"/>
        <v>21738.031080771965</v>
      </c>
      <c r="HA21" s="2">
        <f t="shared" si="27"/>
        <v>21955.411391579684</v>
      </c>
      <c r="HB21" s="2">
        <f t="shared" si="27"/>
        <v>22174.965505495482</v>
      </c>
      <c r="HC21" s="2">
        <f t="shared" si="27"/>
        <v>22396.715160550437</v>
      </c>
      <c r="HD21" s="2">
        <f t="shared" si="27"/>
        <v>22620.682312155943</v>
      </c>
      <c r="HE21" s="2">
        <f t="shared" si="27"/>
        <v>22846.889135277503</v>
      </c>
      <c r="HF21" s="2">
        <f t="shared" si="27"/>
        <v>23075.358026630278</v>
      </c>
      <c r="HG21" s="2">
        <f t="shared" si="27"/>
        <v>23306.111606896582</v>
      </c>
      <c r="HH21" s="2">
        <f t="shared" si="27"/>
        <v>23539.172722965548</v>
      </c>
      <c r="HI21" s="2">
        <f t="shared" si="27"/>
        <v>23774.564450195205</v>
      </c>
      <c r="HJ21" s="2">
        <f t="shared" si="27"/>
        <v>24012.310094697157</v>
      </c>
      <c r="HK21" s="2">
        <f t="shared" si="27"/>
        <v>24252.433195644127</v>
      </c>
      <c r="HL21" s="2">
        <f t="shared" si="27"/>
        <v>24494.957527600567</v>
      </c>
      <c r="HM21" s="2">
        <f t="shared" si="27"/>
        <v>24739.907102876572</v>
      </c>
      <c r="HN21" s="2">
        <f t="shared" si="27"/>
        <v>24987.306173905337</v>
      </c>
      <c r="HO21" s="2">
        <f t="shared" si="27"/>
        <v>25237.179235644391</v>
      </c>
      <c r="HP21" s="2">
        <f t="shared" si="27"/>
        <v>25489.551028000835</v>
      </c>
      <c r="HQ21" s="2">
        <f t="shared" si="27"/>
        <v>25744.446538280845</v>
      </c>
      <c r="HR21" s="2">
        <f t="shared" ref="HR21:HZ21" si="28">+HQ21*(1+$AL$24)</f>
        <v>26001.891003663655</v>
      </c>
      <c r="HS21" s="2">
        <f t="shared" si="28"/>
        <v>26261.909913700292</v>
      </c>
      <c r="HT21" s="2">
        <f t="shared" si="28"/>
        <v>26524.529012837294</v>
      </c>
      <c r="HU21" s="2">
        <f t="shared" si="28"/>
        <v>26789.774302965667</v>
      </c>
      <c r="HV21" s="2">
        <f t="shared" si="28"/>
        <v>27057.672045995325</v>
      </c>
      <c r="HW21" s="2">
        <f t="shared" si="28"/>
        <v>27328.248766455279</v>
      </c>
      <c r="HX21" s="2">
        <f t="shared" si="28"/>
        <v>27601.531254119833</v>
      </c>
      <c r="HY21" s="2">
        <f t="shared" si="28"/>
        <v>27877.546566661033</v>
      </c>
      <c r="HZ21" s="2">
        <f t="shared" si="28"/>
        <v>28156.322032327644</v>
      </c>
    </row>
    <row r="22" spans="2:234" x14ac:dyDescent="0.2">
      <c r="B22" s="2" t="s">
        <v>35</v>
      </c>
    </row>
    <row r="24" spans="2:234" x14ac:dyDescent="0.2">
      <c r="B24" s="6" t="s">
        <v>36</v>
      </c>
      <c r="AK24" s="2" t="s">
        <v>137</v>
      </c>
      <c r="AL24" s="9">
        <v>0.01</v>
      </c>
    </row>
    <row r="25" spans="2:234" x14ac:dyDescent="0.2">
      <c r="B25" s="5" t="s">
        <v>20</v>
      </c>
      <c r="G25" s="7">
        <f t="shared" ref="G25:H29" si="29">+G7/C7-1</f>
        <v>-1.9859578736208583E-2</v>
      </c>
      <c r="H25" s="7">
        <f t="shared" si="29"/>
        <v>1.2297601967616867E-3</v>
      </c>
      <c r="I25" s="7"/>
      <c r="J25" s="7"/>
      <c r="V25" s="7">
        <f>+V7/U7-1</f>
        <v>0.25368603642671284</v>
      </c>
      <c r="W25" s="7">
        <f>+W7/V7-1</f>
        <v>-2.6486139249888851E-2</v>
      </c>
      <c r="AK25" s="2" t="s">
        <v>139</v>
      </c>
      <c r="AL25" s="9">
        <v>0.1</v>
      </c>
    </row>
    <row r="26" spans="2:234" x14ac:dyDescent="0.2">
      <c r="B26" s="5" t="s">
        <v>21</v>
      </c>
      <c r="G26" s="7">
        <f t="shared" si="29"/>
        <v>-7.8212290502793325E-2</v>
      </c>
      <c r="H26" s="7">
        <f t="shared" si="29"/>
        <v>-8.8065843621399131E-2</v>
      </c>
      <c r="I26" s="7"/>
      <c r="J26" s="7"/>
      <c r="V26" s="7">
        <f t="shared" ref="V26:W26" si="30">+V8/U8-1</f>
        <v>2.0647583294228111E-2</v>
      </c>
      <c r="W26" s="7">
        <f t="shared" si="30"/>
        <v>-7.0114942528735624E-2</v>
      </c>
      <c r="AK26" s="2" t="s">
        <v>140</v>
      </c>
      <c r="AL26" s="2">
        <f>NPV(AL25,X21:HZ21)</f>
        <v>37799.015735851535</v>
      </c>
    </row>
    <row r="27" spans="2:234" x14ac:dyDescent="0.2">
      <c r="B27" s="5" t="s">
        <v>22</v>
      </c>
      <c r="G27" s="7">
        <f t="shared" si="29"/>
        <v>-0.27052384675527752</v>
      </c>
      <c r="H27" s="7">
        <f t="shared" si="29"/>
        <v>0.17164532954006639</v>
      </c>
      <c r="I27" s="7"/>
      <c r="J27" s="7"/>
      <c r="V27" s="7">
        <f t="shared" ref="V27:W27" si="31">+V9/U9-1</f>
        <v>0.3400717703349283</v>
      </c>
      <c r="W27" s="7">
        <f t="shared" si="31"/>
        <v>-8.0871195215567293E-2</v>
      </c>
      <c r="AK27" s="2" t="s">
        <v>141</v>
      </c>
      <c r="AL27" s="2">
        <f>+Main!K5</f>
        <v>2475.7722819999999</v>
      </c>
    </row>
    <row r="28" spans="2:234" x14ac:dyDescent="0.2">
      <c r="B28" s="5" t="s">
        <v>23</v>
      </c>
      <c r="G28" s="7">
        <f t="shared" si="29"/>
        <v>-7.4906367041198463E-2</v>
      </c>
      <c r="H28" s="7">
        <f t="shared" si="29"/>
        <v>-0.18644067796610164</v>
      </c>
      <c r="I28" s="7"/>
      <c r="J28" s="7"/>
      <c r="V28" s="7">
        <f t="shared" ref="V28:W28" si="32">+V10/U10-1</f>
        <v>0.49304677623261695</v>
      </c>
      <c r="W28" s="7">
        <f t="shared" si="32"/>
        <v>4.4030482641828961E-2</v>
      </c>
      <c r="AK28" s="6" t="s">
        <v>142</v>
      </c>
      <c r="AL28" s="13">
        <f>+AL26/AL27</f>
        <v>15.267565603940119</v>
      </c>
    </row>
    <row r="29" spans="2:234" x14ac:dyDescent="0.2">
      <c r="B29" s="2" t="s">
        <v>24</v>
      </c>
      <c r="G29" s="7">
        <f t="shared" si="29"/>
        <v>-9.8312914239807148E-2</v>
      </c>
      <c r="H29" s="7">
        <f t="shared" si="29"/>
        <v>1.0192525481313774E-2</v>
      </c>
      <c r="I29" s="7">
        <f>+I11/E11-1</f>
        <v>1.0000000000000009E-2</v>
      </c>
      <c r="J29" s="7">
        <f>+J11/F11-1</f>
        <v>1.0000000000000009E-2</v>
      </c>
      <c r="U29" s="7">
        <f t="shared" ref="U29:AG29" si="33">+U11/T11-1</f>
        <v>1.7739315888770406</v>
      </c>
      <c r="V29" s="7">
        <f t="shared" si="33"/>
        <v>0.22190022769612927</v>
      </c>
      <c r="W29" s="7">
        <f t="shared" si="33"/>
        <v>-4.8401539168945518E-2</v>
      </c>
      <c r="X29" s="7">
        <f t="shared" si="33"/>
        <v>-1.738256911065339E-2</v>
      </c>
      <c r="Y29" s="7">
        <f t="shared" si="33"/>
        <v>-2.0000000000000018E-2</v>
      </c>
      <c r="Z29" s="7">
        <f t="shared" si="33"/>
        <v>-1.9999999999999907E-2</v>
      </c>
      <c r="AA29" s="7">
        <f t="shared" si="33"/>
        <v>-2.0000000000000018E-2</v>
      </c>
      <c r="AB29" s="7">
        <f t="shared" si="33"/>
        <v>-2.0000000000000018E-2</v>
      </c>
      <c r="AC29" s="7">
        <f t="shared" si="33"/>
        <v>-2.0000000000000018E-2</v>
      </c>
      <c r="AD29" s="7">
        <f t="shared" si="33"/>
        <v>-2.0000000000000129E-2</v>
      </c>
      <c r="AE29" s="7">
        <f t="shared" si="33"/>
        <v>-2.0000000000000018E-2</v>
      </c>
      <c r="AF29" s="7">
        <f t="shared" si="33"/>
        <v>-2.0000000000000018E-2</v>
      </c>
      <c r="AG29" s="7">
        <f t="shared" si="33"/>
        <v>-2.0000000000000018E-2</v>
      </c>
    </row>
    <row r="30" spans="2:234" x14ac:dyDescent="0.2">
      <c r="G30" s="7"/>
      <c r="H30" s="7"/>
      <c r="I30" s="7"/>
      <c r="J30" s="7"/>
      <c r="U30" s="7"/>
      <c r="V30" s="7"/>
      <c r="W30" s="7"/>
    </row>
    <row r="31" spans="2:234" x14ac:dyDescent="0.2">
      <c r="B31" s="2" t="s">
        <v>25</v>
      </c>
      <c r="C31" s="7">
        <f t="shared" ref="C31:J33" si="34">+C12/C$11</f>
        <v>0.60835509138381205</v>
      </c>
      <c r="D31" s="7">
        <f t="shared" si="34"/>
        <v>0.63873159682899205</v>
      </c>
      <c r="E31" s="7">
        <f t="shared" si="34"/>
        <v>0.53839758910942537</v>
      </c>
      <c r="F31" s="7">
        <f t="shared" si="34"/>
        <v>0.55121172833349952</v>
      </c>
      <c r="G31" s="7">
        <f t="shared" si="34"/>
        <v>0.57144448156810335</v>
      </c>
      <c r="H31" s="7">
        <f t="shared" si="34"/>
        <v>0.60813289849164287</v>
      </c>
      <c r="I31" s="7">
        <f t="shared" si="34"/>
        <v>0.53839758910942537</v>
      </c>
      <c r="J31" s="7">
        <f t="shared" si="34"/>
        <v>0.55121172833349952</v>
      </c>
      <c r="U31" s="7">
        <f t="shared" ref="U31:X33" si="35">+U12/U$11</f>
        <v>0.60448886654641154</v>
      </c>
      <c r="V31" s="7">
        <f t="shared" si="35"/>
        <v>0.59354807482877958</v>
      </c>
      <c r="W31" s="9">
        <f t="shared" si="35"/>
        <v>0.58416622161186138</v>
      </c>
      <c r="X31" s="9">
        <f t="shared" si="35"/>
        <v>0.56714538984147533</v>
      </c>
      <c r="Y31" s="9">
        <f>+X31</f>
        <v>0.56714538984147533</v>
      </c>
      <c r="Z31" s="9">
        <f t="shared" ref="Z31:AG31" si="36">+Y31</f>
        <v>0.56714538984147533</v>
      </c>
      <c r="AA31" s="9">
        <f t="shared" si="36"/>
        <v>0.56714538984147533</v>
      </c>
      <c r="AB31" s="9">
        <f t="shared" si="36"/>
        <v>0.56714538984147533</v>
      </c>
      <c r="AC31" s="9">
        <f t="shared" si="36"/>
        <v>0.56714538984147533</v>
      </c>
      <c r="AD31" s="9">
        <f t="shared" si="36"/>
        <v>0.56714538984147533</v>
      </c>
      <c r="AE31" s="9">
        <f t="shared" si="36"/>
        <v>0.56714538984147533</v>
      </c>
      <c r="AF31" s="9">
        <f t="shared" si="36"/>
        <v>0.56714538984147533</v>
      </c>
      <c r="AG31" s="9">
        <f t="shared" si="36"/>
        <v>0.56714538984147533</v>
      </c>
    </row>
    <row r="32" spans="2:234" x14ac:dyDescent="0.2">
      <c r="B32" s="2" t="s">
        <v>26</v>
      </c>
      <c r="C32" s="7">
        <f t="shared" si="34"/>
        <v>0.22414139385418758</v>
      </c>
      <c r="D32" s="7">
        <f t="shared" si="34"/>
        <v>0.25337176979306086</v>
      </c>
      <c r="E32" s="7">
        <f t="shared" si="34"/>
        <v>0.24784370778343551</v>
      </c>
      <c r="F32" s="7">
        <f t="shared" si="34"/>
        <v>0.22120275256806621</v>
      </c>
      <c r="G32" s="7">
        <f t="shared" si="34"/>
        <v>0.2443479229312841</v>
      </c>
      <c r="H32" s="7">
        <f t="shared" si="34"/>
        <v>0.25244598450876476</v>
      </c>
      <c r="I32" s="7">
        <f t="shared" si="34"/>
        <v>0.24784370778343551</v>
      </c>
      <c r="J32" s="7">
        <f t="shared" si="34"/>
        <v>0.22120275256806621</v>
      </c>
      <c r="U32" s="7">
        <f t="shared" si="35"/>
        <v>0.28618742052813673</v>
      </c>
      <c r="V32" s="7">
        <f t="shared" si="35"/>
        <v>0.23465066189104813</v>
      </c>
      <c r="W32" s="7">
        <f t="shared" si="35"/>
        <v>0.23641311258614989</v>
      </c>
      <c r="X32" s="9">
        <f t="shared" si="35"/>
        <v>0.24121721125849241</v>
      </c>
      <c r="Y32" s="7">
        <f>+X32</f>
        <v>0.24121721125849241</v>
      </c>
      <c r="Z32" s="7">
        <f t="shared" ref="Z32:AG32" si="37">+Y32</f>
        <v>0.24121721125849241</v>
      </c>
      <c r="AA32" s="7">
        <f t="shared" si="37"/>
        <v>0.24121721125849241</v>
      </c>
      <c r="AB32" s="7">
        <f t="shared" si="37"/>
        <v>0.24121721125849241</v>
      </c>
      <c r="AC32" s="7">
        <f t="shared" si="37"/>
        <v>0.24121721125849241</v>
      </c>
      <c r="AD32" s="7">
        <f t="shared" si="37"/>
        <v>0.24121721125849241</v>
      </c>
      <c r="AE32" s="7">
        <f t="shared" si="37"/>
        <v>0.24121721125849241</v>
      </c>
      <c r="AF32" s="7">
        <f t="shared" si="37"/>
        <v>0.24121721125849241</v>
      </c>
      <c r="AG32" s="7">
        <f t="shared" si="37"/>
        <v>0.24121721125849241</v>
      </c>
    </row>
    <row r="33" spans="2:33" x14ac:dyDescent="0.2">
      <c r="B33" s="2" t="s">
        <v>27</v>
      </c>
      <c r="C33" s="7">
        <f t="shared" si="34"/>
        <v>0.18959630447881101</v>
      </c>
      <c r="D33" s="7">
        <f t="shared" si="34"/>
        <v>0.17955317615566765</v>
      </c>
      <c r="E33" s="7">
        <f t="shared" si="34"/>
        <v>0.18310298243790918</v>
      </c>
      <c r="F33" s="7">
        <f t="shared" si="34"/>
        <v>0.16385758452179117</v>
      </c>
      <c r="G33" s="7">
        <f t="shared" si="34"/>
        <v>0.1722909009912017</v>
      </c>
      <c r="H33" s="7">
        <f t="shared" si="34"/>
        <v>0.1474724826742764</v>
      </c>
      <c r="I33" s="7">
        <f t="shared" si="34"/>
        <v>0.18310298243790918</v>
      </c>
      <c r="J33" s="7">
        <f t="shared" si="34"/>
        <v>0.16385758452179117</v>
      </c>
      <c r="U33" s="7">
        <f t="shared" si="35"/>
        <v>0.21270366975189994</v>
      </c>
      <c r="V33" s="7">
        <f t="shared" si="35"/>
        <v>0.19324314513201521</v>
      </c>
      <c r="W33" s="7">
        <f t="shared" si="35"/>
        <v>0.17896289514508787</v>
      </c>
      <c r="X33" s="9">
        <f t="shared" si="35"/>
        <v>0</v>
      </c>
      <c r="Y33" s="7">
        <f>+X33</f>
        <v>0</v>
      </c>
      <c r="Z33" s="7">
        <f t="shared" ref="Z33:AG33" si="38">+Y33</f>
        <v>0</v>
      </c>
      <c r="AA33" s="7">
        <f t="shared" si="38"/>
        <v>0</v>
      </c>
      <c r="AB33" s="7">
        <f t="shared" si="38"/>
        <v>0</v>
      </c>
      <c r="AC33" s="7">
        <f t="shared" si="38"/>
        <v>0</v>
      </c>
      <c r="AD33" s="7">
        <f t="shared" si="38"/>
        <v>0</v>
      </c>
      <c r="AE33" s="7">
        <f t="shared" si="38"/>
        <v>0</v>
      </c>
      <c r="AF33" s="7">
        <f t="shared" si="38"/>
        <v>0</v>
      </c>
      <c r="AG33" s="7">
        <f t="shared" si="38"/>
        <v>0</v>
      </c>
    </row>
    <row r="34" spans="2:33" x14ac:dyDescent="0.2">
      <c r="G34" s="7"/>
      <c r="H34" s="7"/>
      <c r="I34" s="7"/>
      <c r="J34" s="7"/>
      <c r="U34" s="7"/>
      <c r="V34" s="7"/>
      <c r="W34" s="7"/>
    </row>
    <row r="36" spans="2:33" x14ac:dyDescent="0.2">
      <c r="B36" s="2" t="s">
        <v>41</v>
      </c>
      <c r="C36" s="2">
        <v>2976</v>
      </c>
      <c r="D36" s="2">
        <v>3613</v>
      </c>
      <c r="E36" s="2">
        <v>3336</v>
      </c>
      <c r="F36" s="2">
        <v>5312</v>
      </c>
      <c r="G36" s="2">
        <v>3868</v>
      </c>
      <c r="H36" s="2">
        <v>4888</v>
      </c>
    </row>
    <row r="37" spans="2:33" x14ac:dyDescent="0.2">
      <c r="B37" s="2" t="s">
        <v>42</v>
      </c>
      <c r="C37" s="2">
        <v>6303</v>
      </c>
      <c r="D37" s="2">
        <v>6166</v>
      </c>
      <c r="E37" s="2">
        <v>5534</v>
      </c>
      <c r="F37" s="2">
        <v>4947</v>
      </c>
      <c r="G37" s="2">
        <v>4664</v>
      </c>
      <c r="H37" s="2">
        <v>5383</v>
      </c>
    </row>
    <row r="38" spans="2:33" x14ac:dyDescent="0.2">
      <c r="B38" s="2" t="s">
        <v>43</v>
      </c>
      <c r="C38" s="2">
        <v>4623</v>
      </c>
      <c r="D38" s="2">
        <v>3651</v>
      </c>
      <c r="E38" s="2">
        <v>3635</v>
      </c>
      <c r="F38" s="2">
        <v>3819</v>
      </c>
      <c r="G38" s="2">
        <v>4250</v>
      </c>
      <c r="H38" s="2">
        <v>3340</v>
      </c>
    </row>
    <row r="39" spans="2:33" x14ac:dyDescent="0.2">
      <c r="B39" s="2" t="s">
        <v>179</v>
      </c>
      <c r="C39" s="2">
        <v>20439</v>
      </c>
      <c r="D39" s="2">
        <v>20010</v>
      </c>
      <c r="E39" s="2">
        <v>20039</v>
      </c>
      <c r="F39" s="2">
        <v>19102</v>
      </c>
      <c r="G39" s="2">
        <v>18821</v>
      </c>
      <c r="H39" s="2">
        <v>18817</v>
      </c>
    </row>
    <row r="40" spans="2:33" x14ac:dyDescent="0.2">
      <c r="B40" s="2" t="s">
        <v>180</v>
      </c>
      <c r="C40" s="2">
        <v>5937</v>
      </c>
      <c r="D40" s="2">
        <v>6043</v>
      </c>
      <c r="E40" s="2">
        <v>6158</v>
      </c>
      <c r="F40" s="2">
        <v>6087</v>
      </c>
      <c r="G40" s="2">
        <v>6211</v>
      </c>
      <c r="H40" s="2">
        <v>6413</v>
      </c>
    </row>
    <row r="41" spans="2:33" x14ac:dyDescent="0.2">
      <c r="B41" s="2" t="s">
        <v>181</v>
      </c>
      <c r="C41" s="2">
        <v>34891</v>
      </c>
      <c r="D41" s="2">
        <v>25740</v>
      </c>
      <c r="E41" s="2">
        <v>25869</v>
      </c>
      <c r="F41" s="2">
        <v>25667</v>
      </c>
      <c r="G41" s="2">
        <v>25746</v>
      </c>
      <c r="H41" s="2">
        <v>25939</v>
      </c>
    </row>
    <row r="42" spans="2:33" x14ac:dyDescent="0.2">
      <c r="B42" s="2" t="s">
        <v>182</v>
      </c>
      <c r="C42" s="2">
        <v>36648</v>
      </c>
      <c r="D42" s="2">
        <v>35157</v>
      </c>
      <c r="E42" s="2">
        <v>33767</v>
      </c>
      <c r="F42" s="2">
        <v>32299</v>
      </c>
      <c r="G42" s="2">
        <v>31033</v>
      </c>
      <c r="H42" s="2">
        <v>29906</v>
      </c>
    </row>
    <row r="43" spans="2:33" x14ac:dyDescent="0.2">
      <c r="B43" s="2" t="s">
        <v>183</v>
      </c>
      <c r="C43" s="2">
        <v>8002</v>
      </c>
      <c r="D43" s="2">
        <v>7649</v>
      </c>
      <c r="E43" s="2">
        <v>7995</v>
      </c>
      <c r="F43" s="2">
        <v>7327</v>
      </c>
      <c r="G43" s="2">
        <v>7086</v>
      </c>
      <c r="H43" s="2">
        <v>7041</v>
      </c>
    </row>
    <row r="44" spans="2:33" x14ac:dyDescent="0.2">
      <c r="B44" s="2" t="s">
        <v>184</v>
      </c>
      <c r="C44" s="2">
        <f t="shared" ref="C44:H44" si="39">SUM(C36:C43)</f>
        <v>119819</v>
      </c>
      <c r="D44" s="2">
        <f t="shared" si="39"/>
        <v>108029</v>
      </c>
      <c r="E44" s="2">
        <f t="shared" si="39"/>
        <v>106333</v>
      </c>
      <c r="F44" s="2">
        <f t="shared" si="39"/>
        <v>104560</v>
      </c>
      <c r="G44" s="2">
        <f t="shared" si="39"/>
        <v>101679</v>
      </c>
      <c r="H44" s="2">
        <f t="shared" si="39"/>
        <v>101727</v>
      </c>
    </row>
    <row r="46" spans="2:33" x14ac:dyDescent="0.2">
      <c r="B46" s="2" t="s">
        <v>185</v>
      </c>
      <c r="C46" s="2">
        <v>1245</v>
      </c>
      <c r="D46" s="2">
        <v>1151</v>
      </c>
      <c r="E46" s="2">
        <v>1120</v>
      </c>
      <c r="F46" s="2">
        <v>1055</v>
      </c>
      <c r="G46" s="2">
        <v>1008</v>
      </c>
      <c r="H46" s="2">
        <v>1074</v>
      </c>
    </row>
    <row r="47" spans="2:33" x14ac:dyDescent="0.2">
      <c r="B47" s="2" t="s">
        <v>186</v>
      </c>
      <c r="C47" s="2">
        <v>10288</v>
      </c>
      <c r="D47" s="2">
        <v>10926</v>
      </c>
      <c r="E47" s="2">
        <v>10002</v>
      </c>
      <c r="F47" s="2">
        <v>10438</v>
      </c>
      <c r="G47" s="2">
        <v>9899</v>
      </c>
      <c r="H47" s="2">
        <v>10218</v>
      </c>
    </row>
    <row r="48" spans="2:33" x14ac:dyDescent="0.2">
      <c r="B48" s="2" t="s">
        <v>187</v>
      </c>
      <c r="C48" s="2">
        <v>1993</v>
      </c>
      <c r="D48" s="2">
        <v>2022</v>
      </c>
      <c r="E48" s="2">
        <v>1530</v>
      </c>
      <c r="F48" s="2">
        <v>1569</v>
      </c>
      <c r="G48" s="2">
        <v>1600</v>
      </c>
      <c r="H48" s="2">
        <v>1527</v>
      </c>
    </row>
    <row r="49" spans="2:23" x14ac:dyDescent="0.2">
      <c r="B49" s="2" t="s">
        <v>188</v>
      </c>
      <c r="C49" s="2">
        <v>3430</v>
      </c>
      <c r="D49" s="2">
        <v>3669</v>
      </c>
      <c r="E49" s="2">
        <v>3043</v>
      </c>
      <c r="F49" s="2">
        <v>2748</v>
      </c>
      <c r="G49" s="2">
        <v>2779</v>
      </c>
      <c r="H49" s="2">
        <v>221</v>
      </c>
    </row>
    <row r="50" spans="2:23" x14ac:dyDescent="0.2">
      <c r="B50" s="2" t="s">
        <v>189</v>
      </c>
      <c r="C50" s="2">
        <v>39148</v>
      </c>
      <c r="D50" s="2">
        <v>37289</v>
      </c>
      <c r="E50" s="2">
        <v>37166</v>
      </c>
      <c r="F50" s="2">
        <v>36757</v>
      </c>
      <c r="G50" s="2">
        <v>34647</v>
      </c>
      <c r="H50" s="2">
        <v>34411</v>
      </c>
    </row>
    <row r="51" spans="2:23" x14ac:dyDescent="0.2">
      <c r="B51" s="2" t="s">
        <v>190</v>
      </c>
      <c r="C51" s="2">
        <v>8303</v>
      </c>
      <c r="D51" s="2">
        <v>7806</v>
      </c>
      <c r="E51" s="2">
        <v>7339</v>
      </c>
      <c r="F51" s="2">
        <v>6985</v>
      </c>
      <c r="G51" s="2">
        <v>6714</v>
      </c>
      <c r="H51" s="2">
        <v>6494</v>
      </c>
    </row>
    <row r="52" spans="2:23" x14ac:dyDescent="0.2">
      <c r="B52" s="2" t="s">
        <v>191</v>
      </c>
      <c r="C52" s="2">
        <v>10118</v>
      </c>
      <c r="D52" s="2">
        <v>9751</v>
      </c>
      <c r="E52" s="2">
        <v>9959</v>
      </c>
      <c r="F52" s="2">
        <v>10070</v>
      </c>
      <c r="G52" s="2">
        <v>9861</v>
      </c>
      <c r="H52" s="2">
        <v>10436</v>
      </c>
    </row>
    <row r="53" spans="2:23" x14ac:dyDescent="0.2">
      <c r="B53" s="2" t="s">
        <v>192</v>
      </c>
      <c r="C53" s="2">
        <f t="shared" ref="C53:H53" si="40">+SUM(C46:C52)</f>
        <v>74525</v>
      </c>
      <c r="D53" s="2">
        <f t="shared" si="40"/>
        <v>72614</v>
      </c>
      <c r="E53" s="2">
        <f t="shared" si="40"/>
        <v>70159</v>
      </c>
      <c r="F53" s="2">
        <f t="shared" si="40"/>
        <v>69622</v>
      </c>
      <c r="G53" s="2">
        <f t="shared" si="40"/>
        <v>66508</v>
      </c>
      <c r="H53" s="2">
        <f t="shared" si="40"/>
        <v>64381</v>
      </c>
    </row>
    <row r="54" spans="2:23" x14ac:dyDescent="0.2">
      <c r="B54" s="2" t="s">
        <v>193</v>
      </c>
      <c r="C54" s="2">
        <f>45115+179</f>
        <v>45294</v>
      </c>
      <c r="D54" s="2">
        <f>35297+118</f>
        <v>35415</v>
      </c>
      <c r="E54" s="2">
        <f>36057+117</f>
        <v>36174</v>
      </c>
      <c r="F54" s="2">
        <v>34829</v>
      </c>
      <c r="G54" s="2">
        <v>35148</v>
      </c>
      <c r="H54" s="2">
        <v>37323</v>
      </c>
    </row>
    <row r="55" spans="2:23" x14ac:dyDescent="0.2">
      <c r="B55" s="2" t="s">
        <v>194</v>
      </c>
      <c r="C55" s="2">
        <f t="shared" ref="C55:H55" si="41">+SUM(C53:C54)</f>
        <v>119819</v>
      </c>
      <c r="D55" s="2">
        <f t="shared" si="41"/>
        <v>108029</v>
      </c>
      <c r="E55" s="2">
        <f t="shared" si="41"/>
        <v>106333</v>
      </c>
      <c r="F55" s="2">
        <f t="shared" si="41"/>
        <v>104451</v>
      </c>
      <c r="G55" s="2">
        <f t="shared" si="41"/>
        <v>101656</v>
      </c>
      <c r="H55" s="2">
        <f t="shared" si="41"/>
        <v>101704</v>
      </c>
    </row>
    <row r="57" spans="2:23" x14ac:dyDescent="0.2">
      <c r="B57" s="2" t="s">
        <v>195</v>
      </c>
      <c r="C57" s="2">
        <f t="shared" ref="C57:H57" si="42">SUM(C49:C50)</f>
        <v>42578</v>
      </c>
      <c r="D57" s="2">
        <f t="shared" si="42"/>
        <v>40958</v>
      </c>
      <c r="E57" s="2">
        <f t="shared" si="42"/>
        <v>40209</v>
      </c>
      <c r="F57" s="2">
        <f t="shared" si="42"/>
        <v>39505</v>
      </c>
      <c r="G57" s="2">
        <f t="shared" si="42"/>
        <v>37426</v>
      </c>
      <c r="H57" s="2">
        <f t="shared" si="42"/>
        <v>34632</v>
      </c>
    </row>
    <row r="58" spans="2:23" x14ac:dyDescent="0.2">
      <c r="B58" s="2" t="s">
        <v>196</v>
      </c>
      <c r="C58" s="2">
        <f t="shared" ref="C58:H58" si="43">+C57+C54</f>
        <v>87872</v>
      </c>
      <c r="D58" s="2">
        <f t="shared" si="43"/>
        <v>76373</v>
      </c>
      <c r="E58" s="2">
        <f t="shared" si="43"/>
        <v>76383</v>
      </c>
      <c r="F58" s="2">
        <f t="shared" si="43"/>
        <v>74334</v>
      </c>
      <c r="G58" s="2">
        <f t="shared" si="43"/>
        <v>72574</v>
      </c>
      <c r="H58" s="2">
        <f t="shared" si="43"/>
        <v>71955</v>
      </c>
    </row>
    <row r="59" spans="2:23" x14ac:dyDescent="0.2">
      <c r="B59" s="2" t="s">
        <v>197</v>
      </c>
      <c r="C59" s="7">
        <f t="shared" ref="C59:H59" si="44">+C57/C58</f>
        <v>0.48454570284049525</v>
      </c>
      <c r="D59" s="7">
        <f t="shared" si="44"/>
        <v>0.53628900265800739</v>
      </c>
      <c r="E59" s="7">
        <f t="shared" si="44"/>
        <v>0.52641294528887317</v>
      </c>
      <c r="F59" s="7">
        <f t="shared" si="44"/>
        <v>0.5314526327118142</v>
      </c>
      <c r="G59" s="7">
        <f t="shared" si="44"/>
        <v>0.51569432579160579</v>
      </c>
      <c r="H59" s="7">
        <f t="shared" si="44"/>
        <v>0.4813008130081301</v>
      </c>
    </row>
    <row r="60" spans="2:23" x14ac:dyDescent="0.2">
      <c r="B60" s="2" t="s">
        <v>198</v>
      </c>
      <c r="C60" s="2">
        <f>+C36-C57</f>
        <v>-39602</v>
      </c>
      <c r="D60" s="2">
        <f t="shared" ref="D60:H60" si="45">+D36-D57</f>
        <v>-37345</v>
      </c>
      <c r="E60" s="2">
        <f t="shared" si="45"/>
        <v>-36873</v>
      </c>
      <c r="F60" s="2">
        <f t="shared" si="45"/>
        <v>-34193</v>
      </c>
      <c r="G60" s="2">
        <f t="shared" si="45"/>
        <v>-33558</v>
      </c>
      <c r="H60" s="2">
        <f t="shared" si="45"/>
        <v>-29744</v>
      </c>
    </row>
    <row r="62" spans="2:23" x14ac:dyDescent="0.2">
      <c r="B62" s="2" t="s">
        <v>199</v>
      </c>
      <c r="D62" s="2">
        <f>-10983+C62</f>
        <v>-10983</v>
      </c>
      <c r="G62" s="2">
        <v>-449</v>
      </c>
      <c r="H62" s="2">
        <f>1139-G62</f>
        <v>1588</v>
      </c>
      <c r="W62" s="2">
        <v>-11482</v>
      </c>
    </row>
    <row r="63" spans="2:23" x14ac:dyDescent="0.2">
      <c r="B63" s="2" t="s">
        <v>200</v>
      </c>
      <c r="D63" s="2">
        <f>7747-C63</f>
        <v>7747</v>
      </c>
      <c r="G63" s="2">
        <v>3145</v>
      </c>
      <c r="H63" s="2">
        <f>6851-G63</f>
        <v>3706</v>
      </c>
      <c r="W63" s="2">
        <v>13946</v>
      </c>
    </row>
    <row r="64" spans="2:23" x14ac:dyDescent="0.2">
      <c r="B64" s="2" t="s">
        <v>27</v>
      </c>
      <c r="D64" s="2">
        <f>3632-C64</f>
        <v>3632</v>
      </c>
      <c r="G64" s="2">
        <v>1547</v>
      </c>
      <c r="H64" s="2">
        <f>2994-G64</f>
        <v>1447</v>
      </c>
      <c r="W64" s="2">
        <v>165</v>
      </c>
    </row>
    <row r="65" spans="2:23" x14ac:dyDescent="0.2">
      <c r="B65" s="2" t="s">
        <v>201</v>
      </c>
      <c r="D65" s="2">
        <f>+-889-C65</f>
        <v>-889</v>
      </c>
      <c r="G65" s="2">
        <v>-312</v>
      </c>
      <c r="H65" s="2">
        <f>+-471-G65</f>
        <v>-159</v>
      </c>
      <c r="W65" s="2">
        <v>7037</v>
      </c>
    </row>
    <row r="66" spans="2:23" x14ac:dyDescent="0.2">
      <c r="B66" s="2" t="s">
        <v>202</v>
      </c>
      <c r="D66" s="2">
        <f>260-C66</f>
        <v>260</v>
      </c>
      <c r="G66" s="2">
        <v>123</v>
      </c>
      <c r="H66" s="2">
        <f>298-G66</f>
        <v>175</v>
      </c>
      <c r="W66" s="2">
        <v>-1732</v>
      </c>
    </row>
    <row r="67" spans="2:23" x14ac:dyDescent="0.2">
      <c r="B67" s="2" t="s">
        <v>193</v>
      </c>
      <c r="D67" s="2">
        <f>83-C67</f>
        <v>83</v>
      </c>
      <c r="G67" s="2">
        <v>0</v>
      </c>
      <c r="H67" s="2">
        <f>18-G67</f>
        <v>18</v>
      </c>
      <c r="W67" s="2">
        <v>167</v>
      </c>
    </row>
    <row r="68" spans="2:23" x14ac:dyDescent="0.2">
      <c r="B68" s="2" t="s">
        <v>203</v>
      </c>
      <c r="D68" s="2">
        <f>+-203-C68</f>
        <v>-203</v>
      </c>
      <c r="G68" s="2">
        <v>0</v>
      </c>
      <c r="H68" s="2">
        <f>+-6-G68</f>
        <v>-6</v>
      </c>
      <c r="W68" s="2">
        <v>-632</v>
      </c>
    </row>
    <row r="69" spans="2:23" x14ac:dyDescent="0.2">
      <c r="B69" s="2" t="s">
        <v>204</v>
      </c>
      <c r="D69" s="2">
        <f>+-567-C69</f>
        <v>-567</v>
      </c>
      <c r="G69" s="2">
        <v>0</v>
      </c>
      <c r="H69" s="2">
        <f>+-2954-G69</f>
        <v>-2954</v>
      </c>
      <c r="W69" s="2">
        <v>557</v>
      </c>
    </row>
    <row r="70" spans="2:23" x14ac:dyDescent="0.2">
      <c r="B70" s="2" t="s">
        <v>205</v>
      </c>
      <c r="D70" s="2">
        <f>9407-C70</f>
        <v>9407</v>
      </c>
      <c r="G70" s="2">
        <v>90</v>
      </c>
      <c r="H70" s="2">
        <f>116-G70</f>
        <v>26</v>
      </c>
      <c r="W70" s="2">
        <v>9603</v>
      </c>
    </row>
    <row r="71" spans="2:23" x14ac:dyDescent="0.2">
      <c r="B71" s="2" t="s">
        <v>206</v>
      </c>
      <c r="D71" s="2">
        <f>25-C71</f>
        <v>25</v>
      </c>
      <c r="G71" s="2">
        <v>17</v>
      </c>
      <c r="H71" s="2">
        <f>+-97-G71</f>
        <v>-114</v>
      </c>
      <c r="W71" s="2">
        <v>-16</v>
      </c>
    </row>
    <row r="72" spans="2:23" x14ac:dyDescent="0.2">
      <c r="B72" s="2" t="s">
        <v>207</v>
      </c>
      <c r="D72" s="2">
        <f>+-191-C72</f>
        <v>-191</v>
      </c>
      <c r="G72" s="2">
        <v>288</v>
      </c>
      <c r="H72" s="2">
        <f>+-460-G72</f>
        <v>-748</v>
      </c>
      <c r="W72" s="2">
        <v>-227</v>
      </c>
    </row>
    <row r="73" spans="2:23" x14ac:dyDescent="0.2">
      <c r="B73" s="2" t="s">
        <v>179</v>
      </c>
      <c r="D73" s="2">
        <f>+-6351-C73</f>
        <v>-6351</v>
      </c>
      <c r="G73" s="2">
        <v>-2846</v>
      </c>
      <c r="H73" s="2">
        <f>+-6314-G73</f>
        <v>-3468</v>
      </c>
      <c r="W73" s="2">
        <v>-12349</v>
      </c>
    </row>
    <row r="74" spans="2:23" x14ac:dyDescent="0.2">
      <c r="B74" s="2" t="s">
        <v>185</v>
      </c>
      <c r="D74" s="2">
        <f>+-132-C74</f>
        <v>-132</v>
      </c>
      <c r="G74" s="2">
        <v>-1026</v>
      </c>
      <c r="H74" s="2">
        <f>+-141-G74</f>
        <v>885</v>
      </c>
      <c r="W74" s="2">
        <v>-529</v>
      </c>
    </row>
    <row r="75" spans="2:23" x14ac:dyDescent="0.2">
      <c r="B75" s="2" t="s">
        <v>208</v>
      </c>
      <c r="D75" s="2">
        <f>+-25-C75</f>
        <v>-25</v>
      </c>
      <c r="G75" s="2">
        <v>-24</v>
      </c>
      <c r="H75" s="2">
        <f>563-G75</f>
        <v>587</v>
      </c>
      <c r="W75" s="2">
        <v>-260</v>
      </c>
    </row>
    <row r="76" spans="2:23" s="6" customFormat="1" x14ac:dyDescent="0.2">
      <c r="B76" s="6" t="s">
        <v>209</v>
      </c>
      <c r="D76" s="6">
        <f>SUM(D62:D75)</f>
        <v>1813</v>
      </c>
      <c r="G76" s="6">
        <f>SUM(G62:G75)</f>
        <v>553</v>
      </c>
      <c r="H76" s="6">
        <f>SUM(H62:H75)</f>
        <v>983</v>
      </c>
      <c r="W76" s="6">
        <f>SUM(W62:W75)</f>
        <v>4248</v>
      </c>
    </row>
    <row r="78" spans="2:23" x14ac:dyDescent="0.2">
      <c r="B78" s="2" t="s">
        <v>180</v>
      </c>
      <c r="D78" s="2">
        <f>+-447-C78</f>
        <v>-447</v>
      </c>
      <c r="G78" s="2">
        <v>-251</v>
      </c>
      <c r="H78" s="2">
        <f>+-532-G78</f>
        <v>-281</v>
      </c>
    </row>
    <row r="79" spans="2:23" x14ac:dyDescent="0.2">
      <c r="B79" s="2" t="s">
        <v>210</v>
      </c>
      <c r="D79" s="2">
        <f>324-C79</f>
        <v>324</v>
      </c>
      <c r="G79" s="2">
        <v>11</v>
      </c>
      <c r="H79" s="2">
        <f>54-G79</f>
        <v>43</v>
      </c>
    </row>
    <row r="80" spans="2:23" x14ac:dyDescent="0.2">
      <c r="B80" s="2" t="s">
        <v>211</v>
      </c>
      <c r="D80" s="2">
        <f>+-68-C80</f>
        <v>-68</v>
      </c>
      <c r="G80" s="2">
        <v>-14</v>
      </c>
      <c r="H80" s="2">
        <f>+-26-G80</f>
        <v>-12</v>
      </c>
    </row>
    <row r="81" spans="2:8" x14ac:dyDescent="0.2">
      <c r="B81" s="2" t="s">
        <v>212</v>
      </c>
      <c r="D81" s="2">
        <f>0-C81</f>
        <v>0</v>
      </c>
      <c r="G81" s="2">
        <v>66</v>
      </c>
      <c r="H81" s="2">
        <f>66-G81</f>
        <v>0</v>
      </c>
    </row>
    <row r="82" spans="2:8" x14ac:dyDescent="0.2">
      <c r="B82" s="2" t="s">
        <v>213</v>
      </c>
      <c r="D82" s="2">
        <f>54-C82</f>
        <v>54</v>
      </c>
      <c r="G82" s="2">
        <v>-7</v>
      </c>
      <c r="H82" s="2">
        <f>7-G82</f>
        <v>14</v>
      </c>
    </row>
    <row r="83" spans="2:8" s="6" customFormat="1" x14ac:dyDescent="0.2">
      <c r="B83" s="6" t="s">
        <v>214</v>
      </c>
      <c r="D83" s="6">
        <f>+SUM(D78:D82)</f>
        <v>-137</v>
      </c>
      <c r="G83" s="6">
        <f>+SUM(G78:G82)</f>
        <v>-195</v>
      </c>
      <c r="H83" s="6">
        <f>+SUM(H78:H82)</f>
        <v>-236</v>
      </c>
    </row>
    <row r="85" spans="2:8" x14ac:dyDescent="0.2">
      <c r="B85" s="2" t="s">
        <v>215</v>
      </c>
      <c r="D85" s="2">
        <f>+-3703-C85</f>
        <v>-3703</v>
      </c>
      <c r="G85" s="2">
        <v>-3665</v>
      </c>
      <c r="H85" s="2">
        <f>+-20403-G85</f>
        <v>-16738</v>
      </c>
    </row>
    <row r="86" spans="2:8" x14ac:dyDescent="0.2">
      <c r="B86" s="2" t="s">
        <v>216</v>
      </c>
      <c r="D86" s="2">
        <f>1617-C86</f>
        <v>1617</v>
      </c>
      <c r="G86" s="2">
        <v>1500</v>
      </c>
      <c r="H86" s="2">
        <f>18303-G86</f>
        <v>16803</v>
      </c>
    </row>
    <row r="87" spans="2:8" x14ac:dyDescent="0.2">
      <c r="B87" s="2" t="s">
        <v>217</v>
      </c>
      <c r="D87" s="2">
        <f>+-161-C87</f>
        <v>-161</v>
      </c>
      <c r="G87" s="2">
        <v>-157</v>
      </c>
      <c r="H87" s="2">
        <f>+-174-G87</f>
        <v>-17</v>
      </c>
    </row>
    <row r="88" spans="2:8" x14ac:dyDescent="0.2">
      <c r="B88" s="2" t="s">
        <v>218</v>
      </c>
      <c r="D88" s="2">
        <f>0-C88</f>
        <v>0</v>
      </c>
      <c r="G88" s="2">
        <v>601</v>
      </c>
      <c r="H88" s="2">
        <f>601-G88</f>
        <v>0</v>
      </c>
    </row>
    <row r="89" spans="2:8" x14ac:dyDescent="0.2">
      <c r="B89" s="2" t="s">
        <v>219</v>
      </c>
      <c r="D89" s="2">
        <f>11605-C89</f>
        <v>11605</v>
      </c>
      <c r="G89" s="2">
        <v>695</v>
      </c>
      <c r="H89" s="2">
        <f>3551-G89</f>
        <v>2856</v>
      </c>
    </row>
    <row r="90" spans="2:8" x14ac:dyDescent="0.2">
      <c r="B90" s="2" t="s">
        <v>220</v>
      </c>
      <c r="D90" s="2">
        <f>+-11605-C90</f>
        <v>-11605</v>
      </c>
      <c r="G90" s="2">
        <v>-695</v>
      </c>
      <c r="H90" s="2">
        <f>+-3551-G90</f>
        <v>-2856</v>
      </c>
    </row>
    <row r="91" spans="2:8" x14ac:dyDescent="0.2">
      <c r="B91" s="2" t="s">
        <v>222</v>
      </c>
      <c r="D91" s="2">
        <f>+-27-C91</f>
        <v>-27</v>
      </c>
      <c r="G91" s="2">
        <v>-174</v>
      </c>
      <c r="H91" s="2">
        <f>+-213-G91</f>
        <v>-39</v>
      </c>
    </row>
    <row r="92" spans="2:8" x14ac:dyDescent="0.2">
      <c r="B92" s="2" t="s">
        <v>221</v>
      </c>
      <c r="D92" s="2">
        <f>+SUM(D85:D91)</f>
        <v>-2274</v>
      </c>
      <c r="G92" s="2">
        <f>+SUM(G85:G91)</f>
        <v>-1895</v>
      </c>
      <c r="H92" s="2">
        <f>+SUM(H85:H91)</f>
        <v>9</v>
      </c>
    </row>
    <row r="94" spans="2:8" x14ac:dyDescent="0.2">
      <c r="B94" s="2" t="s">
        <v>208</v>
      </c>
      <c r="D94" s="2">
        <f>+-104-C94</f>
        <v>-104</v>
      </c>
      <c r="G94" s="2">
        <v>95</v>
      </c>
      <c r="H94" s="2">
        <f>256-G94</f>
        <v>161</v>
      </c>
    </row>
    <row r="95" spans="2:8" x14ac:dyDescent="0.2">
      <c r="B95" s="2" t="s">
        <v>223</v>
      </c>
      <c r="D95" s="2">
        <f>+SUM(D76,D83,D92,D94)</f>
        <v>-702</v>
      </c>
      <c r="G95" s="2">
        <f>+SUM(G76,G83,G92,G94)</f>
        <v>-1442</v>
      </c>
      <c r="H95" s="2">
        <f>+SUM(H76,H83,H92,H94)</f>
        <v>917</v>
      </c>
    </row>
    <row r="96" spans="2:8" x14ac:dyDescent="0.2">
      <c r="B96" s="2" t="s">
        <v>224</v>
      </c>
      <c r="D96" s="2">
        <v>4319</v>
      </c>
      <c r="G96" s="2">
        <v>5416</v>
      </c>
      <c r="H96" s="2">
        <v>5416</v>
      </c>
    </row>
    <row r="97" spans="2:35" x14ac:dyDescent="0.2">
      <c r="B97" s="2" t="s">
        <v>225</v>
      </c>
      <c r="D97" s="2">
        <f>+SUM(D95:D96)</f>
        <v>3617</v>
      </c>
      <c r="G97" s="2">
        <f>+SUM(G95:G96)</f>
        <v>3974</v>
      </c>
      <c r="H97" s="2">
        <f>+SUM(H95:H96)</f>
        <v>6333</v>
      </c>
    </row>
    <row r="100" spans="2:35" s="6" customFormat="1" x14ac:dyDescent="0.2">
      <c r="B100" s="6" t="s">
        <v>226</v>
      </c>
      <c r="D100" s="6">
        <f>+D76+D78</f>
        <v>1366</v>
      </c>
      <c r="E100" s="6">
        <f>+E76+E78</f>
        <v>0</v>
      </c>
      <c r="F100" s="6">
        <f>+F76+F78</f>
        <v>0</v>
      </c>
      <c r="G100" s="6">
        <f>+G76+G78</f>
        <v>302</v>
      </c>
      <c r="H100" s="6">
        <f>+H76+H78</f>
        <v>702</v>
      </c>
    </row>
    <row r="102" spans="2:35" x14ac:dyDescent="0.2">
      <c r="B102" s="2" t="s">
        <v>37</v>
      </c>
      <c r="C102" s="2">
        <v>585</v>
      </c>
      <c r="D102" s="2">
        <f>1813-C102</f>
        <v>1228</v>
      </c>
      <c r="E102" s="2">
        <f>2660-SUM(C102:D102)</f>
        <v>847</v>
      </c>
      <c r="F102" s="2">
        <f>+W102-SUM(C102:E102)</f>
        <v>2715</v>
      </c>
      <c r="G102" s="2">
        <v>553</v>
      </c>
      <c r="H102" s="2">
        <f>1536-G102</f>
        <v>983</v>
      </c>
      <c r="U102" s="2">
        <v>4304</v>
      </c>
      <c r="V102" s="2">
        <v>7477</v>
      </c>
      <c r="W102" s="2">
        <v>5375</v>
      </c>
    </row>
    <row r="103" spans="2:35" x14ac:dyDescent="0.2">
      <c r="B103" s="2" t="s">
        <v>38</v>
      </c>
      <c r="C103" s="2">
        <v>-195</v>
      </c>
      <c r="D103" s="2">
        <f>+-447-C103</f>
        <v>-252</v>
      </c>
      <c r="E103" s="2">
        <f>+-662-SUM(C103:D103)</f>
        <v>-215</v>
      </c>
      <c r="F103" s="2">
        <f>+W103-SUM(C103:E103)</f>
        <v>-286</v>
      </c>
      <c r="G103" s="2">
        <v>-251</v>
      </c>
      <c r="H103" s="2">
        <f>+-532-G103</f>
        <v>-281</v>
      </c>
      <c r="U103" s="2">
        <v>-987</v>
      </c>
      <c r="V103" s="2">
        <v>-1316</v>
      </c>
      <c r="W103" s="2">
        <v>-948</v>
      </c>
    </row>
    <row r="104" spans="2:35" x14ac:dyDescent="0.2">
      <c r="B104" s="2" t="s">
        <v>39</v>
      </c>
      <c r="C104" s="2">
        <f t="shared" ref="C104:H104" si="46">+SUM(C102:C103)</f>
        <v>390</v>
      </c>
      <c r="D104" s="2">
        <f t="shared" si="46"/>
        <v>976</v>
      </c>
      <c r="E104" s="2">
        <f t="shared" si="46"/>
        <v>632</v>
      </c>
      <c r="F104" s="2">
        <f t="shared" si="46"/>
        <v>2429</v>
      </c>
      <c r="G104" s="2">
        <f t="shared" si="46"/>
        <v>302</v>
      </c>
      <c r="H104" s="2">
        <f t="shared" si="46"/>
        <v>702</v>
      </c>
      <c r="U104" s="2">
        <f>+SUM(U102:U103)</f>
        <v>3317</v>
      </c>
      <c r="V104" s="2">
        <f>+SUM(V102:V103)</f>
        <v>6161</v>
      </c>
      <c r="W104" s="2">
        <f>+SUM(W102:W103)</f>
        <v>4427</v>
      </c>
      <c r="X104" s="2">
        <f>+W104*1</f>
        <v>4427</v>
      </c>
      <c r="Y104" s="2">
        <f t="shared" ref="Y104:AG104" si="47">+X104*1</f>
        <v>4427</v>
      </c>
      <c r="Z104" s="2">
        <f t="shared" si="47"/>
        <v>4427</v>
      </c>
      <c r="AA104" s="2">
        <f t="shared" si="47"/>
        <v>4427</v>
      </c>
      <c r="AB104" s="2">
        <f t="shared" si="47"/>
        <v>4427</v>
      </c>
      <c r="AC104" s="2">
        <f t="shared" si="47"/>
        <v>4427</v>
      </c>
      <c r="AD104" s="2">
        <f t="shared" si="47"/>
        <v>4427</v>
      </c>
      <c r="AE104" s="2">
        <f t="shared" si="47"/>
        <v>4427</v>
      </c>
      <c r="AF104" s="2">
        <f t="shared" si="47"/>
        <v>4427</v>
      </c>
      <c r="AG104" s="2">
        <f t="shared" si="47"/>
        <v>4427</v>
      </c>
      <c r="AH104" s="2">
        <f>+AG104*(1+$AI$107)</f>
        <v>4471.2700000000004</v>
      </c>
    </row>
    <row r="106" spans="2:35" x14ac:dyDescent="0.2">
      <c r="B106" s="2" t="s">
        <v>40</v>
      </c>
      <c r="F106" s="2">
        <f>+SUM(C104:F104)</f>
        <v>4427</v>
      </c>
      <c r="G106" s="2">
        <f>+SUM(D104:G104)</f>
        <v>4339</v>
      </c>
      <c r="H106" s="2">
        <f>+SUM(E104:H104)</f>
        <v>4065</v>
      </c>
    </row>
    <row r="107" spans="2:35" x14ac:dyDescent="0.2">
      <c r="AH107" s="2" t="s">
        <v>137</v>
      </c>
      <c r="AI107" s="7">
        <v>0.01</v>
      </c>
    </row>
    <row r="108" spans="2:35" x14ac:dyDescent="0.2">
      <c r="AH108" s="2" t="s">
        <v>138</v>
      </c>
      <c r="AI108" s="7">
        <v>0.08</v>
      </c>
    </row>
  </sheetData>
  <pageMargins left="0.7" right="0.7" top="0.75" bottom="0.75" header="0.3" footer="0.3"/>
  <ignoredErrors>
    <ignoredError sqref="E11:F14 E16:E18 E15 E20 E19 E23:F23 E21 E22 F22 F20 F16:F18 F15 F19 F21" formula="1"/>
    <ignoredError sqref="F57:H57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6795-6A9A-E249-A970-722B691D2A53}">
  <dimension ref="B2:G61"/>
  <sheetViews>
    <sheetView topLeftCell="A36" zoomScale="143" workbookViewId="0">
      <selection activeCell="D3" sqref="D3:D59"/>
    </sheetView>
  </sheetViews>
  <sheetFormatPr baseColWidth="10" defaultRowHeight="16" x14ac:dyDescent="0.2"/>
  <cols>
    <col min="1" max="1" width="3.5" customWidth="1"/>
    <col min="2" max="2" width="40.83203125" bestFit="1" customWidth="1"/>
    <col min="3" max="3" width="8.1640625" bestFit="1" customWidth="1"/>
    <col min="4" max="4" width="16.6640625" style="2" bestFit="1" customWidth="1"/>
    <col min="5" max="5" width="19" style="10" bestFit="1" customWidth="1"/>
    <col min="6" max="6" width="7.6640625" bestFit="1" customWidth="1"/>
    <col min="7" max="7" width="10.5" bestFit="1" customWidth="1"/>
  </cols>
  <sheetData>
    <row r="2" spans="2:7" x14ac:dyDescent="0.2">
      <c r="B2" s="11" t="s">
        <v>49</v>
      </c>
      <c r="C2" s="11" t="s">
        <v>44</v>
      </c>
      <c r="D2" s="12" t="s">
        <v>50</v>
      </c>
      <c r="E2" s="12" t="s">
        <v>51</v>
      </c>
      <c r="F2" s="11" t="s">
        <v>52</v>
      </c>
      <c r="G2" s="11" t="s">
        <v>53</v>
      </c>
    </row>
    <row r="3" spans="2:7" x14ac:dyDescent="0.2">
      <c r="B3" t="s">
        <v>45</v>
      </c>
      <c r="C3" t="s">
        <v>46</v>
      </c>
      <c r="D3" s="2">
        <v>97049000</v>
      </c>
      <c r="E3" s="2">
        <v>97049000</v>
      </c>
      <c r="F3" t="s">
        <v>54</v>
      </c>
      <c r="G3" t="s">
        <v>55</v>
      </c>
    </row>
    <row r="4" spans="2:7" x14ac:dyDescent="0.2">
      <c r="B4" t="s">
        <v>45</v>
      </c>
      <c r="C4" t="s">
        <v>46</v>
      </c>
      <c r="D4" s="2">
        <v>20207000</v>
      </c>
      <c r="E4" s="2">
        <v>20207000</v>
      </c>
      <c r="F4" t="s">
        <v>56</v>
      </c>
      <c r="G4" t="s">
        <v>57</v>
      </c>
    </row>
    <row r="5" spans="2:7" x14ac:dyDescent="0.2">
      <c r="B5" t="s">
        <v>58</v>
      </c>
      <c r="C5" t="s">
        <v>46</v>
      </c>
      <c r="D5" s="2">
        <v>1581000</v>
      </c>
      <c r="E5" s="2">
        <v>1581000</v>
      </c>
      <c r="F5" t="s">
        <v>59</v>
      </c>
      <c r="G5" t="s">
        <v>57</v>
      </c>
    </row>
    <row r="6" spans="2:7" x14ac:dyDescent="0.2">
      <c r="B6" t="s">
        <v>60</v>
      </c>
      <c r="C6" t="s">
        <v>46</v>
      </c>
      <c r="D6" s="2">
        <v>101864000</v>
      </c>
      <c r="E6" s="2">
        <v>101864000</v>
      </c>
      <c r="F6" t="s">
        <v>61</v>
      </c>
      <c r="G6" t="s">
        <v>62</v>
      </c>
    </row>
    <row r="7" spans="2:7" x14ac:dyDescent="0.2">
      <c r="B7" t="s">
        <v>45</v>
      </c>
      <c r="C7" t="s">
        <v>46</v>
      </c>
      <c r="D7" s="2">
        <v>16195000</v>
      </c>
      <c r="E7" s="2">
        <v>16195000</v>
      </c>
      <c r="F7" t="s">
        <v>63</v>
      </c>
      <c r="G7" t="s">
        <v>64</v>
      </c>
    </row>
    <row r="8" spans="2:7" x14ac:dyDescent="0.2">
      <c r="B8" t="s">
        <v>65</v>
      </c>
      <c r="C8" t="s">
        <v>46</v>
      </c>
      <c r="D8" s="2">
        <v>17000000000</v>
      </c>
      <c r="E8" s="2">
        <v>17000000000</v>
      </c>
      <c r="F8" t="s">
        <v>47</v>
      </c>
      <c r="G8" t="s">
        <v>66</v>
      </c>
    </row>
    <row r="9" spans="2:7" x14ac:dyDescent="0.2">
      <c r="B9" t="s">
        <v>45</v>
      </c>
      <c r="C9" t="s">
        <v>46</v>
      </c>
      <c r="D9" s="2">
        <v>33955000</v>
      </c>
      <c r="E9" s="2">
        <v>33955000</v>
      </c>
      <c r="F9" t="s">
        <v>67</v>
      </c>
      <c r="G9" t="s">
        <v>68</v>
      </c>
    </row>
    <row r="10" spans="2:7" x14ac:dyDescent="0.2">
      <c r="B10" t="s">
        <v>69</v>
      </c>
      <c r="C10" t="s">
        <v>46</v>
      </c>
      <c r="D10" s="2">
        <v>154768000</v>
      </c>
      <c r="E10" s="2">
        <v>154768000</v>
      </c>
      <c r="F10" t="s">
        <v>70</v>
      </c>
      <c r="G10" t="s">
        <v>71</v>
      </c>
    </row>
    <row r="11" spans="2:7" x14ac:dyDescent="0.2">
      <c r="B11" t="s">
        <v>72</v>
      </c>
      <c r="C11" t="s">
        <v>46</v>
      </c>
      <c r="D11" s="2">
        <v>1195271000</v>
      </c>
      <c r="E11" s="2">
        <v>1195271000</v>
      </c>
      <c r="F11" t="s">
        <v>70</v>
      </c>
      <c r="G11" t="s">
        <v>71</v>
      </c>
    </row>
    <row r="12" spans="2:7" x14ac:dyDescent="0.2">
      <c r="B12" t="s">
        <v>60</v>
      </c>
      <c r="C12" t="s">
        <v>48</v>
      </c>
      <c r="D12" s="2">
        <v>84285000</v>
      </c>
      <c r="E12" s="2">
        <v>99026447</v>
      </c>
      <c r="F12" t="s">
        <v>73</v>
      </c>
      <c r="G12" t="s">
        <v>74</v>
      </c>
    </row>
    <row r="13" spans="2:7" x14ac:dyDescent="0.2">
      <c r="B13" t="s">
        <v>58</v>
      </c>
      <c r="C13" t="s">
        <v>46</v>
      </c>
      <c r="D13" s="2">
        <v>19412000</v>
      </c>
      <c r="E13" s="2">
        <v>19412000</v>
      </c>
      <c r="F13" t="s">
        <v>75</v>
      </c>
      <c r="G13" t="s">
        <v>76</v>
      </c>
    </row>
    <row r="14" spans="2:7" x14ac:dyDescent="0.2">
      <c r="B14" t="s">
        <v>60</v>
      </c>
      <c r="C14" t="s">
        <v>46</v>
      </c>
      <c r="D14" s="2">
        <v>140339000</v>
      </c>
      <c r="E14" s="2">
        <v>140339000</v>
      </c>
      <c r="F14" t="s">
        <v>77</v>
      </c>
      <c r="G14" t="s">
        <v>78</v>
      </c>
    </row>
    <row r="15" spans="2:7" x14ac:dyDescent="0.2">
      <c r="B15" t="s">
        <v>79</v>
      </c>
      <c r="C15" t="s">
        <v>46</v>
      </c>
      <c r="D15" s="2">
        <v>1249026000</v>
      </c>
      <c r="E15" s="2">
        <v>1249026000</v>
      </c>
      <c r="F15" t="s">
        <v>77</v>
      </c>
      <c r="G15" t="s">
        <v>78</v>
      </c>
    </row>
    <row r="16" spans="2:7" x14ac:dyDescent="0.2">
      <c r="B16" t="s">
        <v>69</v>
      </c>
      <c r="C16" t="s">
        <v>46</v>
      </c>
      <c r="D16" s="2">
        <v>135381000</v>
      </c>
      <c r="E16" s="2">
        <v>135381000</v>
      </c>
      <c r="F16" t="s">
        <v>80</v>
      </c>
      <c r="G16" t="s">
        <v>81</v>
      </c>
    </row>
    <row r="17" spans="2:7" x14ac:dyDescent="0.2">
      <c r="B17" t="s">
        <v>72</v>
      </c>
      <c r="C17" t="s">
        <v>46</v>
      </c>
      <c r="D17" s="2">
        <v>1364619000</v>
      </c>
      <c r="E17" s="2">
        <v>1364619000</v>
      </c>
      <c r="F17" t="s">
        <v>80</v>
      </c>
      <c r="G17" t="s">
        <v>81</v>
      </c>
    </row>
    <row r="18" spans="2:7" x14ac:dyDescent="0.2">
      <c r="B18" t="s">
        <v>60</v>
      </c>
      <c r="C18" t="s">
        <v>46</v>
      </c>
      <c r="D18" s="2">
        <v>87732000</v>
      </c>
      <c r="E18" s="2">
        <v>87732000</v>
      </c>
      <c r="F18" t="s">
        <v>82</v>
      </c>
      <c r="G18" t="s">
        <v>83</v>
      </c>
    </row>
    <row r="19" spans="2:7" x14ac:dyDescent="0.2">
      <c r="B19" t="s">
        <v>79</v>
      </c>
      <c r="C19" t="s">
        <v>46</v>
      </c>
      <c r="D19" s="2">
        <v>662268000</v>
      </c>
      <c r="E19" s="2">
        <v>662268000</v>
      </c>
      <c r="F19" t="s">
        <v>82</v>
      </c>
      <c r="G19" t="s">
        <v>83</v>
      </c>
    </row>
    <row r="20" spans="2:7" x14ac:dyDescent="0.2">
      <c r="B20" t="s">
        <v>58</v>
      </c>
      <c r="C20" t="s">
        <v>46</v>
      </c>
      <c r="D20" s="2">
        <v>24356000</v>
      </c>
      <c r="E20" s="2">
        <v>24356000</v>
      </c>
      <c r="F20" t="s">
        <v>84</v>
      </c>
      <c r="G20" t="s">
        <v>83</v>
      </c>
    </row>
    <row r="21" spans="2:7" x14ac:dyDescent="0.2">
      <c r="B21" t="s">
        <v>69</v>
      </c>
      <c r="C21" t="s">
        <v>48</v>
      </c>
      <c r="D21" s="2">
        <v>56309000</v>
      </c>
      <c r="E21" s="2">
        <v>66157444</v>
      </c>
      <c r="F21" t="s">
        <v>85</v>
      </c>
      <c r="G21" t="s">
        <v>86</v>
      </c>
    </row>
    <row r="22" spans="2:7" x14ac:dyDescent="0.2">
      <c r="B22" t="s">
        <v>72</v>
      </c>
      <c r="C22" t="s">
        <v>48</v>
      </c>
      <c r="D22" s="2">
        <v>244768000</v>
      </c>
      <c r="E22" s="2">
        <v>287577923</v>
      </c>
      <c r="F22" t="s">
        <v>85</v>
      </c>
      <c r="G22" t="s">
        <v>86</v>
      </c>
    </row>
    <row r="23" spans="2:7" x14ac:dyDescent="0.2">
      <c r="B23" t="s">
        <v>60</v>
      </c>
      <c r="C23" t="s">
        <v>46</v>
      </c>
      <c r="D23" s="2">
        <v>82483000</v>
      </c>
      <c r="E23" s="2">
        <v>82483000</v>
      </c>
      <c r="F23" t="s">
        <v>87</v>
      </c>
      <c r="G23" t="s">
        <v>88</v>
      </c>
    </row>
    <row r="24" spans="2:7" x14ac:dyDescent="0.2">
      <c r="B24" t="s">
        <v>79</v>
      </c>
      <c r="C24" t="s">
        <v>46</v>
      </c>
      <c r="D24" s="2">
        <v>917517000</v>
      </c>
      <c r="E24" s="2">
        <v>917517000</v>
      </c>
      <c r="F24" t="s">
        <v>87</v>
      </c>
      <c r="G24" t="s">
        <v>88</v>
      </c>
    </row>
    <row r="25" spans="2:7" x14ac:dyDescent="0.2">
      <c r="B25" t="s">
        <v>45</v>
      </c>
      <c r="C25" t="s">
        <v>46</v>
      </c>
      <c r="D25" s="2">
        <v>32518000</v>
      </c>
      <c r="E25" s="2">
        <v>32518000</v>
      </c>
      <c r="F25" t="s">
        <v>89</v>
      </c>
      <c r="G25" t="s">
        <v>90</v>
      </c>
    </row>
    <row r="26" spans="2:7" x14ac:dyDescent="0.2">
      <c r="B26" t="s">
        <v>69</v>
      </c>
      <c r="C26" t="s">
        <v>46</v>
      </c>
      <c r="D26" s="2">
        <v>309923000</v>
      </c>
      <c r="E26" s="2">
        <v>309923000</v>
      </c>
      <c r="F26" t="s">
        <v>91</v>
      </c>
      <c r="G26" t="s">
        <v>92</v>
      </c>
    </row>
    <row r="27" spans="2:7" x14ac:dyDescent="0.2">
      <c r="B27" t="s">
        <v>72</v>
      </c>
      <c r="C27" t="s">
        <v>46</v>
      </c>
      <c r="D27" s="2">
        <v>2702229000</v>
      </c>
      <c r="E27" s="2">
        <v>2702229000</v>
      </c>
      <c r="F27" t="s">
        <v>91</v>
      </c>
      <c r="G27" t="s">
        <v>92</v>
      </c>
    </row>
    <row r="28" spans="2:7" x14ac:dyDescent="0.2">
      <c r="B28" t="s">
        <v>45</v>
      </c>
      <c r="C28" t="s">
        <v>46</v>
      </c>
      <c r="D28" s="2">
        <v>39042000</v>
      </c>
      <c r="E28" s="2">
        <v>39042000</v>
      </c>
      <c r="F28" t="s">
        <v>93</v>
      </c>
      <c r="G28" t="s">
        <v>94</v>
      </c>
    </row>
    <row r="29" spans="2:7" x14ac:dyDescent="0.2">
      <c r="B29" t="s">
        <v>69</v>
      </c>
      <c r="C29" t="s">
        <v>48</v>
      </c>
      <c r="D29" s="2">
        <v>65878000</v>
      </c>
      <c r="E29" s="2">
        <v>77400062</v>
      </c>
      <c r="F29" t="s">
        <v>95</v>
      </c>
      <c r="G29" t="s">
        <v>96</v>
      </c>
    </row>
    <row r="30" spans="2:7" x14ac:dyDescent="0.2">
      <c r="B30" t="s">
        <v>72</v>
      </c>
      <c r="C30" t="s">
        <v>48</v>
      </c>
      <c r="D30" s="2">
        <v>329690000</v>
      </c>
      <c r="E30" s="2">
        <v>387352781</v>
      </c>
      <c r="F30" t="s">
        <v>95</v>
      </c>
      <c r="G30" t="s">
        <v>96</v>
      </c>
    </row>
    <row r="31" spans="2:7" x14ac:dyDescent="0.2">
      <c r="B31" t="s">
        <v>58</v>
      </c>
      <c r="C31" t="s">
        <v>46</v>
      </c>
      <c r="D31" s="2">
        <v>6562000</v>
      </c>
      <c r="E31" s="2">
        <v>6562000</v>
      </c>
      <c r="F31" t="s">
        <v>97</v>
      </c>
      <c r="G31" t="s">
        <v>98</v>
      </c>
    </row>
    <row r="32" spans="2:7" x14ac:dyDescent="0.2">
      <c r="B32" t="s">
        <v>45</v>
      </c>
      <c r="C32" t="s">
        <v>46</v>
      </c>
      <c r="D32" s="2">
        <v>5823000</v>
      </c>
      <c r="E32" s="2">
        <v>5823000</v>
      </c>
      <c r="F32" t="s">
        <v>99</v>
      </c>
      <c r="G32" t="s">
        <v>100</v>
      </c>
    </row>
    <row r="33" spans="2:7" x14ac:dyDescent="0.2">
      <c r="B33" t="s">
        <v>60</v>
      </c>
      <c r="C33" t="s">
        <v>46</v>
      </c>
      <c r="D33" s="2">
        <v>93270000</v>
      </c>
      <c r="E33" s="2">
        <v>93270000</v>
      </c>
      <c r="F33" t="s">
        <v>101</v>
      </c>
      <c r="G33" t="s">
        <v>102</v>
      </c>
    </row>
    <row r="34" spans="2:7" x14ac:dyDescent="0.2">
      <c r="B34" t="s">
        <v>79</v>
      </c>
      <c r="C34" t="s">
        <v>46</v>
      </c>
      <c r="D34" s="2">
        <v>454862000</v>
      </c>
      <c r="E34" s="2">
        <v>454862000</v>
      </c>
      <c r="F34" t="s">
        <v>101</v>
      </c>
      <c r="G34" t="s">
        <v>102</v>
      </c>
    </row>
    <row r="35" spans="2:7" x14ac:dyDescent="0.2">
      <c r="B35" t="s">
        <v>45</v>
      </c>
      <c r="C35" t="s">
        <v>46</v>
      </c>
      <c r="D35" s="2">
        <v>2137000</v>
      </c>
      <c r="E35" s="2">
        <v>2137000</v>
      </c>
      <c r="F35" t="s">
        <v>103</v>
      </c>
      <c r="G35" t="s">
        <v>104</v>
      </c>
    </row>
    <row r="36" spans="2:7" x14ac:dyDescent="0.2">
      <c r="B36" t="s">
        <v>60</v>
      </c>
      <c r="C36" t="s">
        <v>46</v>
      </c>
      <c r="D36" s="2">
        <v>220946000</v>
      </c>
      <c r="E36" s="2">
        <v>220946000</v>
      </c>
      <c r="F36" t="s">
        <v>105</v>
      </c>
      <c r="G36" t="s">
        <v>106</v>
      </c>
    </row>
    <row r="37" spans="2:7" x14ac:dyDescent="0.2">
      <c r="B37" t="s">
        <v>79</v>
      </c>
      <c r="C37" t="s">
        <v>46</v>
      </c>
      <c r="D37" s="2">
        <v>443529000</v>
      </c>
      <c r="E37" s="2">
        <v>443529000</v>
      </c>
      <c r="F37" t="s">
        <v>105</v>
      </c>
      <c r="G37" t="s">
        <v>106</v>
      </c>
    </row>
    <row r="38" spans="2:7" x14ac:dyDescent="0.2">
      <c r="B38" t="s">
        <v>45</v>
      </c>
      <c r="C38" t="s">
        <v>46</v>
      </c>
      <c r="D38" s="2">
        <v>6866000</v>
      </c>
      <c r="E38" s="2">
        <v>6866000</v>
      </c>
      <c r="F38" t="s">
        <v>107</v>
      </c>
      <c r="G38" t="s">
        <v>108</v>
      </c>
    </row>
    <row r="39" spans="2:7" x14ac:dyDescent="0.2">
      <c r="B39" t="s">
        <v>45</v>
      </c>
      <c r="C39" t="s">
        <v>46</v>
      </c>
      <c r="D39" s="2">
        <v>1095000</v>
      </c>
      <c r="E39" s="2">
        <v>1095000</v>
      </c>
      <c r="F39" t="s">
        <v>109</v>
      </c>
      <c r="G39" t="s">
        <v>110</v>
      </c>
    </row>
    <row r="40" spans="2:7" x14ac:dyDescent="0.2">
      <c r="B40" t="s">
        <v>45</v>
      </c>
      <c r="C40" t="s">
        <v>46</v>
      </c>
      <c r="D40" s="2">
        <v>4271000</v>
      </c>
      <c r="E40" s="2">
        <v>4271000</v>
      </c>
      <c r="F40" t="s">
        <v>111</v>
      </c>
      <c r="G40" t="s">
        <v>112</v>
      </c>
    </row>
    <row r="41" spans="2:7" x14ac:dyDescent="0.2">
      <c r="B41" t="s">
        <v>69</v>
      </c>
      <c r="C41" t="s">
        <v>46</v>
      </c>
      <c r="D41" s="2">
        <v>179173000</v>
      </c>
      <c r="E41" s="2">
        <v>179173000</v>
      </c>
      <c r="F41" t="s">
        <v>113</v>
      </c>
      <c r="G41" t="s">
        <v>114</v>
      </c>
    </row>
    <row r="42" spans="2:7" x14ac:dyDescent="0.2">
      <c r="B42" t="s">
        <v>72</v>
      </c>
      <c r="C42" t="s">
        <v>46</v>
      </c>
      <c r="D42" s="2">
        <v>4121969000</v>
      </c>
      <c r="E42" s="2">
        <v>4121969000</v>
      </c>
      <c r="F42" t="s">
        <v>113</v>
      </c>
      <c r="G42" t="s">
        <v>114</v>
      </c>
    </row>
    <row r="43" spans="2:7" x14ac:dyDescent="0.2">
      <c r="B43" t="s">
        <v>60</v>
      </c>
      <c r="C43" t="s">
        <v>46</v>
      </c>
      <c r="D43" s="2">
        <v>94865000</v>
      </c>
      <c r="E43" s="2">
        <v>94865000</v>
      </c>
      <c r="F43" t="s">
        <v>115</v>
      </c>
      <c r="G43" t="s">
        <v>116</v>
      </c>
    </row>
    <row r="44" spans="2:7" x14ac:dyDescent="0.2">
      <c r="B44" t="s">
        <v>79</v>
      </c>
      <c r="C44" t="s">
        <v>46</v>
      </c>
      <c r="D44" s="2">
        <v>130643000</v>
      </c>
      <c r="E44" s="2">
        <v>130643000</v>
      </c>
      <c r="F44" t="s">
        <v>115</v>
      </c>
      <c r="G44" t="s">
        <v>116</v>
      </c>
    </row>
    <row r="45" spans="2:7" x14ac:dyDescent="0.2">
      <c r="B45" t="s">
        <v>45</v>
      </c>
      <c r="C45" t="s">
        <v>46</v>
      </c>
      <c r="D45" s="2">
        <v>4466000</v>
      </c>
      <c r="E45" s="2">
        <v>4466000</v>
      </c>
      <c r="F45" t="s">
        <v>61</v>
      </c>
      <c r="G45" t="s">
        <v>117</v>
      </c>
    </row>
    <row r="46" spans="2:7" x14ac:dyDescent="0.2">
      <c r="B46" t="s">
        <v>60</v>
      </c>
      <c r="C46" t="s">
        <v>46</v>
      </c>
      <c r="D46" s="2">
        <v>77957000</v>
      </c>
      <c r="E46" s="2">
        <v>77957000</v>
      </c>
      <c r="F46" t="s">
        <v>118</v>
      </c>
      <c r="G46" t="s">
        <v>119</v>
      </c>
    </row>
    <row r="47" spans="2:7" x14ac:dyDescent="0.2">
      <c r="B47" t="s">
        <v>79</v>
      </c>
      <c r="C47" t="s">
        <v>46</v>
      </c>
      <c r="D47" s="2">
        <v>142017000</v>
      </c>
      <c r="E47" s="2">
        <v>142017000</v>
      </c>
      <c r="F47" t="s">
        <v>118</v>
      </c>
      <c r="G47" t="s">
        <v>119</v>
      </c>
    </row>
    <row r="48" spans="2:7" x14ac:dyDescent="0.2">
      <c r="B48" t="s">
        <v>45</v>
      </c>
      <c r="C48" t="s">
        <v>46</v>
      </c>
      <c r="D48" s="2">
        <v>8389000</v>
      </c>
      <c r="E48" s="2">
        <v>8389000</v>
      </c>
      <c r="F48" t="s">
        <v>120</v>
      </c>
      <c r="G48" t="s">
        <v>121</v>
      </c>
    </row>
    <row r="49" spans="2:7" x14ac:dyDescent="0.2">
      <c r="B49" t="s">
        <v>45</v>
      </c>
      <c r="C49" t="s">
        <v>46</v>
      </c>
      <c r="D49" s="2">
        <v>4076000</v>
      </c>
      <c r="E49" s="2">
        <v>4076000</v>
      </c>
      <c r="F49" t="s">
        <v>122</v>
      </c>
      <c r="G49" t="s">
        <v>123</v>
      </c>
    </row>
    <row r="50" spans="2:7" x14ac:dyDescent="0.2">
      <c r="B50" t="s">
        <v>45</v>
      </c>
      <c r="C50" t="s">
        <v>46</v>
      </c>
      <c r="D50" s="2">
        <v>3055000</v>
      </c>
      <c r="E50" s="2">
        <v>3055000</v>
      </c>
      <c r="F50" t="s">
        <v>124</v>
      </c>
      <c r="G50" t="s">
        <v>125</v>
      </c>
    </row>
    <row r="51" spans="2:7" x14ac:dyDescent="0.2">
      <c r="B51" t="s">
        <v>60</v>
      </c>
      <c r="C51" t="s">
        <v>46</v>
      </c>
      <c r="D51" s="2">
        <v>147873000</v>
      </c>
      <c r="E51" s="2">
        <v>147873000</v>
      </c>
      <c r="F51" t="s">
        <v>126</v>
      </c>
      <c r="G51" t="s">
        <v>127</v>
      </c>
    </row>
    <row r="52" spans="2:7" x14ac:dyDescent="0.2">
      <c r="B52" t="s">
        <v>79</v>
      </c>
      <c r="C52" t="s">
        <v>46</v>
      </c>
      <c r="D52" s="2">
        <v>4879000</v>
      </c>
      <c r="E52" s="2">
        <v>4879000</v>
      </c>
      <c r="F52" t="s">
        <v>126</v>
      </c>
      <c r="G52" t="s">
        <v>127</v>
      </c>
    </row>
    <row r="53" spans="2:7" x14ac:dyDescent="0.2">
      <c r="B53" t="s">
        <v>60</v>
      </c>
      <c r="C53" t="s">
        <v>46</v>
      </c>
      <c r="D53" s="2">
        <v>30573000</v>
      </c>
      <c r="E53" s="2">
        <v>30573000</v>
      </c>
      <c r="F53" t="s">
        <v>128</v>
      </c>
      <c r="G53" t="s">
        <v>129</v>
      </c>
    </row>
    <row r="54" spans="2:7" x14ac:dyDescent="0.2">
      <c r="B54" t="s">
        <v>79</v>
      </c>
      <c r="C54" t="s">
        <v>46</v>
      </c>
      <c r="D54" s="2">
        <v>248458000</v>
      </c>
      <c r="E54" s="2">
        <v>248458000</v>
      </c>
      <c r="F54" t="s">
        <v>128</v>
      </c>
      <c r="G54" t="s">
        <v>129</v>
      </c>
    </row>
    <row r="55" spans="2:7" x14ac:dyDescent="0.2">
      <c r="B55" t="s">
        <v>60</v>
      </c>
      <c r="C55" t="s">
        <v>46</v>
      </c>
      <c r="D55" s="2">
        <v>31477000</v>
      </c>
      <c r="E55" s="2">
        <v>31477000</v>
      </c>
      <c r="F55" t="s">
        <v>122</v>
      </c>
      <c r="G55" t="s">
        <v>130</v>
      </c>
    </row>
    <row r="56" spans="2:7" x14ac:dyDescent="0.2">
      <c r="B56" t="s">
        <v>69</v>
      </c>
      <c r="C56" t="s">
        <v>46</v>
      </c>
      <c r="D56" s="2">
        <v>126778000</v>
      </c>
      <c r="E56" s="2">
        <v>126778000</v>
      </c>
      <c r="F56" t="s">
        <v>131</v>
      </c>
      <c r="G56" t="s">
        <v>132</v>
      </c>
    </row>
    <row r="57" spans="2:7" x14ac:dyDescent="0.2">
      <c r="B57" t="s">
        <v>72</v>
      </c>
      <c r="C57" t="s">
        <v>46</v>
      </c>
      <c r="D57" s="2">
        <v>953926000</v>
      </c>
      <c r="E57" s="2">
        <v>953926000</v>
      </c>
      <c r="F57" t="s">
        <v>131</v>
      </c>
      <c r="G57" t="s">
        <v>132</v>
      </c>
    </row>
    <row r="58" spans="2:7" x14ac:dyDescent="0.2">
      <c r="B58" t="s">
        <v>60</v>
      </c>
      <c r="C58" t="s">
        <v>46</v>
      </c>
      <c r="D58" s="2">
        <v>81612000</v>
      </c>
      <c r="E58" s="2">
        <v>81612000</v>
      </c>
      <c r="F58" t="s">
        <v>133</v>
      </c>
      <c r="G58" t="s">
        <v>134</v>
      </c>
    </row>
    <row r="59" spans="2:7" x14ac:dyDescent="0.2">
      <c r="B59" t="s">
        <v>69</v>
      </c>
      <c r="C59" t="s">
        <v>46</v>
      </c>
      <c r="D59" s="2">
        <v>65932000</v>
      </c>
      <c r="E59" s="2">
        <v>65932000</v>
      </c>
      <c r="F59" t="s">
        <v>135</v>
      </c>
      <c r="G59" t="s">
        <v>136</v>
      </c>
    </row>
    <row r="61" spans="2:7" x14ac:dyDescent="0.2">
      <c r="D61" s="2">
        <f>SUM(D3:D59)</f>
        <v>34866144000</v>
      </c>
      <c r="E61" s="2">
        <f>SUM(E3:E59)</f>
        <v>35002728657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Content</vt:lpstr>
      <vt:lpstr>Model</vt:lpstr>
      <vt:lpstr>Debt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 Brannon</dc:creator>
  <cp:lastModifiedBy>Jameel Brannon</cp:lastModifiedBy>
  <dcterms:created xsi:type="dcterms:W3CDTF">2025-09-08T01:12:59Z</dcterms:created>
  <dcterms:modified xsi:type="dcterms:W3CDTF">2025-09-29T03:37:48Z</dcterms:modified>
</cp:coreProperties>
</file>