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3BBE6A5-B8BA-9646-B79F-BE662BB1742C}" xr6:coauthVersionLast="47" xr6:coauthVersionMax="47" xr10:uidLastSave="{00000000-0000-0000-0000-000000000000}"/>
  <bookViews>
    <workbookView xWindow="40" yWindow="620" windowWidth="51200" windowHeight="28180" xr2:uid="{DE148F75-CC99-B249-948A-931461EE2111}"/>
  </bookViews>
  <sheets>
    <sheet name="Main" sheetId="1" r:id="rId1"/>
    <sheet name="Model" sheetId="3" r:id="rId2"/>
    <sheet name="Projects --&gt; " sheetId="5" r:id="rId3"/>
    <sheet name="Santa Cruz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5" i="4" l="1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6" i="4"/>
  <c r="E32" i="4"/>
  <c r="E30" i="4"/>
  <c r="E29" i="4"/>
  <c r="E28" i="4"/>
  <c r="E27" i="4"/>
  <c r="E26" i="4"/>
  <c r="E25" i="4"/>
  <c r="E24" i="4"/>
  <c r="E23" i="4"/>
  <c r="E22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G21" i="4" s="1"/>
  <c r="G31" i="4" s="1"/>
  <c r="G33" i="4" s="1"/>
  <c r="E19" i="4"/>
  <c r="E18" i="4"/>
  <c r="H17" i="4"/>
  <c r="E16" i="4"/>
  <c r="H14" i="4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K13" i="4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C31" i="1"/>
  <c r="C32" i="1"/>
  <c r="T5" i="4"/>
  <c r="E13" i="5"/>
  <c r="E12" i="5"/>
  <c r="E11" i="5"/>
  <c r="E10" i="5"/>
  <c r="P3" i="3"/>
  <c r="Q3" i="3" s="1"/>
  <c r="R3" i="3" s="1"/>
  <c r="S3" i="3" s="1"/>
  <c r="T3" i="3" s="1"/>
  <c r="U3" i="3" s="1"/>
  <c r="V3" i="3" s="1"/>
  <c r="W3" i="3" s="1"/>
  <c r="X3" i="3" s="1"/>
  <c r="K3" i="1"/>
  <c r="K8" i="1"/>
  <c r="K7" i="1"/>
  <c r="K6" i="1"/>
  <c r="K9" i="1" s="1"/>
  <c r="L7" i="1"/>
  <c r="L8" i="1" s="1"/>
  <c r="E20" i="4" l="1"/>
  <c r="H21" i="4"/>
  <c r="H31" i="4" s="1"/>
  <c r="J17" i="4"/>
  <c r="Z17" i="4"/>
  <c r="Z21" i="4" s="1"/>
  <c r="Z31" i="4" s="1"/>
  <c r="Z33" i="4" s="1"/>
  <c r="Y17" i="4"/>
  <c r="Y21" i="4" s="1"/>
  <c r="Y31" i="4" s="1"/>
  <c r="Y33" i="4" s="1"/>
  <c r="W17" i="4"/>
  <c r="W21" i="4" s="1"/>
  <c r="W31" i="4" s="1"/>
  <c r="W33" i="4" s="1"/>
  <c r="V17" i="4"/>
  <c r="V21" i="4" s="1"/>
  <c r="V31" i="4" s="1"/>
  <c r="V33" i="4" s="1"/>
  <c r="T17" i="4"/>
  <c r="T21" i="4" s="1"/>
  <c r="T31" i="4" s="1"/>
  <c r="T33" i="4" s="1"/>
  <c r="R17" i="4"/>
  <c r="R21" i="4" s="1"/>
  <c r="R31" i="4" s="1"/>
  <c r="R33" i="4" s="1"/>
  <c r="P17" i="4"/>
  <c r="P21" i="4" s="1"/>
  <c r="P31" i="4" s="1"/>
  <c r="P33" i="4" s="1"/>
  <c r="AA17" i="4"/>
  <c r="AA21" i="4" s="1"/>
  <c r="AA31" i="4" s="1"/>
  <c r="AA33" i="4" s="1"/>
  <c r="AC17" i="4"/>
  <c r="AC21" i="4" s="1"/>
  <c r="AC31" i="4" s="1"/>
  <c r="AC33" i="4" s="1"/>
  <c r="L17" i="4"/>
  <c r="L21" i="4" s="1"/>
  <c r="L31" i="4" s="1"/>
  <c r="L33" i="4" s="1"/>
  <c r="AB17" i="4"/>
  <c r="AB21" i="4" s="1"/>
  <c r="AB31" i="4" s="1"/>
  <c r="AB33" i="4" s="1"/>
  <c r="X17" i="4"/>
  <c r="X21" i="4" s="1"/>
  <c r="X31" i="4" s="1"/>
  <c r="X33" i="4" s="1"/>
  <c r="U17" i="4"/>
  <c r="U21" i="4" s="1"/>
  <c r="U31" i="4" s="1"/>
  <c r="U33" i="4" s="1"/>
  <c r="S17" i="4"/>
  <c r="S21" i="4" s="1"/>
  <c r="S31" i="4" s="1"/>
  <c r="S33" i="4" s="1"/>
  <c r="Q17" i="4"/>
  <c r="Q21" i="4" s="1"/>
  <c r="Q31" i="4" s="1"/>
  <c r="Q33" i="4" s="1"/>
  <c r="O17" i="4"/>
  <c r="O21" i="4" s="1"/>
  <c r="O31" i="4" s="1"/>
  <c r="O33" i="4" s="1"/>
  <c r="N17" i="4"/>
  <c r="N21" i="4" s="1"/>
  <c r="N31" i="4" s="1"/>
  <c r="N33" i="4" s="1"/>
  <c r="M17" i="4"/>
  <c r="M21" i="4" s="1"/>
  <c r="M31" i="4" s="1"/>
  <c r="M33" i="4" s="1"/>
  <c r="I17" i="4"/>
  <c r="I21" i="4" s="1"/>
  <c r="I31" i="4" s="1"/>
  <c r="I33" i="4" s="1"/>
  <c r="K17" i="4"/>
  <c r="K21" i="4" s="1"/>
  <c r="K31" i="4" s="1"/>
  <c r="K33" i="4" s="1"/>
  <c r="H33" i="4" l="1"/>
  <c r="J21" i="4"/>
  <c r="E17" i="4"/>
  <c r="E21" i="4" l="1"/>
  <c r="J31" i="4"/>
  <c r="J33" i="4" l="1"/>
  <c r="E31" i="4"/>
  <c r="E33" i="4" l="1"/>
</calcChain>
</file>

<file path=xl/sharedStrings.xml><?xml version="1.0" encoding="utf-8"?>
<sst xmlns="http://schemas.openxmlformats.org/spreadsheetml/2006/main" count="111" uniqueCount="89">
  <si>
    <t xml:space="preserve">Company: Ivanhoe Electric </t>
  </si>
  <si>
    <t xml:space="preserve">CEO </t>
  </si>
  <si>
    <t xml:space="preserve">CFO </t>
  </si>
  <si>
    <t xml:space="preserve">Taylor Melvin </t>
  </si>
  <si>
    <t>Jordan Neeser</t>
  </si>
  <si>
    <t xml:space="preserve">Projects </t>
  </si>
  <si>
    <t xml:space="preserve">Santa Cruz </t>
  </si>
  <si>
    <t>Tintic</t>
  </si>
  <si>
    <t xml:space="preserve">Hog Heaven </t>
  </si>
  <si>
    <t xml:space="preserve">JV w/ Saud Arabaian Mining Co. </t>
  </si>
  <si>
    <t>Location</t>
  </si>
  <si>
    <t>Arizona</t>
  </si>
  <si>
    <t>Area</t>
  </si>
  <si>
    <t>6,000 sqft</t>
  </si>
  <si>
    <t xml:space="preserve">Metal </t>
  </si>
  <si>
    <t xml:space="preserve">Feasibility Study </t>
  </si>
  <si>
    <t xml:space="preserve">Link </t>
  </si>
  <si>
    <t>Price</t>
  </si>
  <si>
    <t>Shares</t>
  </si>
  <si>
    <t xml:space="preserve">Cash </t>
  </si>
  <si>
    <t>Debt</t>
  </si>
  <si>
    <t xml:space="preserve">EV </t>
  </si>
  <si>
    <t>Q225</t>
  </si>
  <si>
    <t>MC</t>
  </si>
  <si>
    <t>Q124</t>
  </si>
  <si>
    <t>Q224</t>
  </si>
  <si>
    <t>Q324</t>
  </si>
  <si>
    <t>Q424</t>
  </si>
  <si>
    <t>Q125</t>
  </si>
  <si>
    <t>Q325</t>
  </si>
  <si>
    <t>Q425</t>
  </si>
  <si>
    <t>Utah</t>
  </si>
  <si>
    <t xml:space="preserve">Cu </t>
  </si>
  <si>
    <t>Cu, Ag, Au</t>
  </si>
  <si>
    <t>S-K 1300</t>
  </si>
  <si>
    <t>Tintic Specific News</t>
  </si>
  <si>
    <t xml:space="preserve">Montana </t>
  </si>
  <si>
    <t>Stage</t>
  </si>
  <si>
    <t xml:space="preserve">Exploration </t>
  </si>
  <si>
    <t xml:space="preserve">Opening </t>
  </si>
  <si>
    <t>YTD</t>
  </si>
  <si>
    <t xml:space="preserve">Study </t>
  </si>
  <si>
    <t xml:space="preserve">Mine Life </t>
  </si>
  <si>
    <t>Construction Years</t>
  </si>
  <si>
    <t>Years Until Extraction</t>
  </si>
  <si>
    <t>Years Until Mine Close</t>
  </si>
  <si>
    <r>
      <rPr>
        <b/>
        <sz val="12"/>
        <color theme="9"/>
        <rFont val="Aptos Narrow (Body)"/>
      </rPr>
      <t xml:space="preserve">Pre-Feasiblity </t>
    </r>
    <r>
      <rPr>
        <sz val="12"/>
        <color theme="1"/>
        <rFont val="Aptos Narrow"/>
        <family val="2"/>
        <scheme val="minor"/>
      </rPr>
      <t xml:space="preserve">--&gt; Feasibiliy Study --&gt; Permitting/Enviromental approvals --&gt; Final Investment Decision ---&gt; Construction ---&gt; First Production </t>
    </r>
  </si>
  <si>
    <t>NPV (Based on PFS)</t>
  </si>
  <si>
    <t>2022 CEO</t>
  </si>
  <si>
    <t xml:space="preserve">Robert Friedland </t>
  </si>
  <si>
    <t>19,300 Acres</t>
  </si>
  <si>
    <t>Mine Size</t>
  </si>
  <si>
    <t xml:space="preserve">Economics </t>
  </si>
  <si>
    <t>One Metric Tonne</t>
  </si>
  <si>
    <t>One Pound</t>
  </si>
  <si>
    <t>lbs per tonne</t>
  </si>
  <si>
    <t xml:space="preserve">Domain mix: Leach + flotation </t>
  </si>
  <si>
    <t xml:space="preserve">Pre-Production </t>
  </si>
  <si>
    <t>2047-2051</t>
  </si>
  <si>
    <t>2052-2071</t>
  </si>
  <si>
    <t xml:space="preserve">Closure </t>
  </si>
  <si>
    <t>Years</t>
  </si>
  <si>
    <t>19-23</t>
  </si>
  <si>
    <t>24-43</t>
  </si>
  <si>
    <t xml:space="preserve">Production </t>
  </si>
  <si>
    <t>LOM</t>
  </si>
  <si>
    <t xml:space="preserve">Units </t>
  </si>
  <si>
    <t>Mt</t>
  </si>
  <si>
    <t>Mlbs</t>
  </si>
  <si>
    <t xml:space="preserve">Base Cu Price </t>
  </si>
  <si>
    <t>$/lb</t>
  </si>
  <si>
    <t xml:space="preserve">Cu Cathode Premium </t>
  </si>
  <si>
    <t xml:space="preserve">Total Copper Price </t>
  </si>
  <si>
    <t xml:space="preserve">Recovered Cu </t>
  </si>
  <si>
    <t xml:space="preserve">SX/EW Production Tonnage </t>
  </si>
  <si>
    <t>Gross Revenue</t>
  </si>
  <si>
    <t>Operating Costs</t>
  </si>
  <si>
    <t>Royalties</t>
  </si>
  <si>
    <t>$M</t>
  </si>
  <si>
    <t>Initial Capital Costs</t>
  </si>
  <si>
    <t xml:space="preserve">Indirect &amp; EPCM </t>
  </si>
  <si>
    <t xml:space="preserve">Contingency </t>
  </si>
  <si>
    <t>Sustaining Capital Costs</t>
  </si>
  <si>
    <t xml:space="preserve">Reclamation &amp; Closure Costs </t>
  </si>
  <si>
    <t xml:space="preserve">Change in Working Capital </t>
  </si>
  <si>
    <t>Taxes</t>
  </si>
  <si>
    <t xml:space="preserve">Pre-tax Cash Flow </t>
  </si>
  <si>
    <t xml:space="preserve">After Tax Cash Flow </t>
  </si>
  <si>
    <t>NPV @ 10%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</si>
</sst>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#,##0.0"/>
    <numFmt numFmtId="167" formatCode="&quot;$&quot;0.0&quot;B&quot;"/>
    <numFmt numFmtId="169" formatCode="#,##0&quot;kg&quot;"/>
    <numFmt numFmtId="170" formatCode="0.00&quot;kg&quot;"/>
    <numFmt numFmtId="175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9"/>
      <name val="Aptos Narrow (Body)"/>
    </font>
    <font>
      <b/>
      <sz val="12"/>
      <color theme="0" tint="-0.49998474074526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1" applyBorder="1"/>
    <xf numFmtId="3" fontId="0" fillId="0" borderId="0" xfId="0" applyNumberFormat="1"/>
    <xf numFmtId="0" fontId="1" fillId="0" borderId="1" xfId="1" applyBorder="1"/>
    <xf numFmtId="164" fontId="0" fillId="0" borderId="0" xfId="0" applyNumberFormat="1"/>
    <xf numFmtId="9" fontId="0" fillId="0" borderId="0" xfId="0" applyNumberFormat="1"/>
    <xf numFmtId="0" fontId="0" fillId="0" borderId="0" xfId="0" applyBorder="1"/>
    <xf numFmtId="0" fontId="1" fillId="0" borderId="0" xfId="1"/>
    <xf numFmtId="0" fontId="0" fillId="0" borderId="0" xfId="0" applyAlignment="1">
      <alignment horizontal="left"/>
    </xf>
    <xf numFmtId="14" fontId="1" fillId="0" borderId="0" xfId="1" applyNumberFormat="1" applyAlignment="1">
      <alignment horizontal="left"/>
    </xf>
    <xf numFmtId="1" fontId="0" fillId="0" borderId="0" xfId="0" applyNumberFormat="1"/>
    <xf numFmtId="8" fontId="0" fillId="0" borderId="0" xfId="0" applyNumberFormat="1"/>
    <xf numFmtId="167" fontId="0" fillId="0" borderId="0" xfId="0" applyNumberFormat="1"/>
    <xf numFmtId="0" fontId="1" fillId="0" borderId="0" xfId="1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175" fontId="0" fillId="0" borderId="0" xfId="2" applyNumberFormat="1" applyFont="1" applyAlignment="1">
      <alignment horizontal="center"/>
    </xf>
    <xf numFmtId="175" fontId="0" fillId="0" borderId="0" xfId="2" applyNumberFormat="1" applyFont="1"/>
    <xf numFmtId="175" fontId="0" fillId="0" borderId="0" xfId="0" applyNumberFormat="1"/>
    <xf numFmtId="0" fontId="0" fillId="2" borderId="7" xfId="0" applyFill="1" applyBorder="1"/>
    <xf numFmtId="0" fontId="0" fillId="0" borderId="7" xfId="0" applyBorder="1" applyAlignment="1">
      <alignment horizontal="center"/>
    </xf>
    <xf numFmtId="175" fontId="0" fillId="0" borderId="0" xfId="0" applyNumberFormat="1" applyAlignment="1">
      <alignment horizontal="center"/>
    </xf>
    <xf numFmtId="0" fontId="0" fillId="3" borderId="7" xfId="0" applyFill="1" applyBorder="1" applyAlignment="1">
      <alignment horizontal="center"/>
    </xf>
    <xf numFmtId="175" fontId="0" fillId="3" borderId="7" xfId="0" applyNumberFormat="1" applyFill="1" applyBorder="1" applyAlignment="1">
      <alignment horizontal="center"/>
    </xf>
    <xf numFmtId="0" fontId="0" fillId="4" borderId="7" xfId="0" applyFill="1" applyBorder="1"/>
    <xf numFmtId="1" fontId="0" fillId="0" borderId="0" xfId="0" applyNumberFormat="1" applyAlignment="1">
      <alignment horizontal="center"/>
    </xf>
    <xf numFmtId="175" fontId="0" fillId="0" borderId="7" xfId="2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9" fontId="4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72983</xdr:colOff>
      <xdr:row>13</xdr:row>
      <xdr:rowOff>16075</xdr:rowOff>
    </xdr:from>
    <xdr:to>
      <xdr:col>19</xdr:col>
      <xdr:colOff>538544</xdr:colOff>
      <xdr:row>39</xdr:row>
      <xdr:rowOff>137765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FF9A7-3BFB-97CD-0B37-39034C1E1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30" y="2628417"/>
          <a:ext cx="8447270" cy="534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107772</xdr:colOff>
      <xdr:row>0</xdr:row>
      <xdr:rowOff>0</xdr:rowOff>
    </xdr:from>
    <xdr:to>
      <xdr:col>32</xdr:col>
      <xdr:colOff>112374</xdr:colOff>
      <xdr:row>9</xdr:row>
      <xdr:rowOff>111845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42BC6-3284-A4E5-97CC-67650301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1136" y="0"/>
          <a:ext cx="4048591" cy="198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245530</xdr:colOff>
      <xdr:row>41</xdr:row>
      <xdr:rowOff>0</xdr:rowOff>
    </xdr:from>
    <xdr:to>
      <xdr:col>25</xdr:col>
      <xdr:colOff>453694</xdr:colOff>
      <xdr:row>75</xdr:row>
      <xdr:rowOff>89072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0EB1E4-32BD-F8E8-8D81-C9CCE468E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9263" y="8331200"/>
          <a:ext cx="14105468" cy="6997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vanhoeelectric.com/site/assets/files/10363/pr_04-24_ivanhoe_electric_provides_update_on_hog_heave_1.pdf" TargetMode="External"/><Relationship Id="rId3" Type="http://schemas.openxmlformats.org/officeDocument/2006/relationships/hyperlink" Target="https://ivanhoeelectric.com/site/assets/files/8960/pr7-22-ie-tintic-update-fnl4.pdf" TargetMode="External"/><Relationship Id="rId7" Type="http://schemas.openxmlformats.org/officeDocument/2006/relationships/hyperlink" Target="https://ivanhoeelectric.com/site/assets/files/9923/pr_20-23--ivanhoe-electric-announces-drill-results-at-h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ivanhoeelectric.com/site/assets/files/6210/uspr001830_ivne_tintic_sec_exploration_trs_2023feb23.pdf?3gbnxm" TargetMode="External"/><Relationship Id="rId1" Type="http://schemas.openxmlformats.org/officeDocument/2006/relationships/hyperlink" Target="https://ivanhoeelectric.com/site/assets/files/10491/scp-gr-rep-0001_ra_s-k_1300_final_june22_1930.pdf?451tic?451tic" TargetMode="External"/><Relationship Id="rId6" Type="http://schemas.openxmlformats.org/officeDocument/2006/relationships/hyperlink" Target="https://ivanhoeelectric.com/electric-metals/tintic/" TargetMode="External"/><Relationship Id="rId11" Type="http://schemas.openxmlformats.org/officeDocument/2006/relationships/hyperlink" Target="https://ivanhoeelectric.com/electric-metals/saudi-arabia-maaden-jv/" TargetMode="External"/><Relationship Id="rId5" Type="http://schemas.openxmlformats.org/officeDocument/2006/relationships/hyperlink" Target="https://ivanhoeelectric.com/site/assets/files/10436/pr_06-24_ivanhoe_electric_announces_updated_typhoon_da.pdf" TargetMode="External"/><Relationship Id="rId10" Type="http://schemas.openxmlformats.org/officeDocument/2006/relationships/hyperlink" Target="https://ivanhoeelectric.com/electric-metals/hog-heaven/" TargetMode="External"/><Relationship Id="rId4" Type="http://schemas.openxmlformats.org/officeDocument/2006/relationships/hyperlink" Target="https://ivanhoeelectric.com/site/assets/files/9085/2022-11-22-ie-nr.pdf" TargetMode="External"/><Relationship Id="rId9" Type="http://schemas.openxmlformats.org/officeDocument/2006/relationships/hyperlink" Target="https://ivanhoeelectric.com/news/ivanhoe-electric-reports-best-copper-gold-silver-intersection-to-date-at-its-hog-heaven-project-in-montan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vanhoeelectric.com/site/assets/files/10491/scp-gr-rep-0001_ra_s-k_1300_final_june22_1930.pdf?451tic?451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034F-7AAD-5543-B375-D389A340DFF2}">
  <dimension ref="B1:L33"/>
  <sheetViews>
    <sheetView tabSelected="1" zoomScale="158" workbookViewId="0">
      <selection activeCell="H7" sqref="H7"/>
    </sheetView>
  </sheetViews>
  <sheetFormatPr baseColWidth="10" defaultRowHeight="16" x14ac:dyDescent="0.2"/>
  <cols>
    <col min="1" max="1" width="2.5" customWidth="1"/>
    <col min="2" max="2" width="26.6640625" bestFit="1" customWidth="1"/>
    <col min="3" max="3" width="13" customWidth="1"/>
    <col min="10" max="10" width="6.6640625" bestFit="1" customWidth="1"/>
    <col min="11" max="11" width="5.6640625" bestFit="1" customWidth="1"/>
    <col min="12" max="12" width="5.5" bestFit="1" customWidth="1"/>
  </cols>
  <sheetData>
    <row r="1" spans="2:12" x14ac:dyDescent="0.2">
      <c r="B1" t="s">
        <v>46</v>
      </c>
    </row>
    <row r="2" spans="2:12" x14ac:dyDescent="0.2">
      <c r="B2" t="s">
        <v>0</v>
      </c>
      <c r="J2" t="s">
        <v>39</v>
      </c>
      <c r="K2">
        <v>7.98</v>
      </c>
    </row>
    <row r="3" spans="2:12" x14ac:dyDescent="0.2">
      <c r="B3" t="s">
        <v>1</v>
      </c>
      <c r="C3" t="s">
        <v>3</v>
      </c>
      <c r="J3" t="s">
        <v>40</v>
      </c>
      <c r="K3" s="13">
        <f>+K4/K2-1</f>
        <v>0.90350877192982448</v>
      </c>
    </row>
    <row r="4" spans="2:12" x14ac:dyDescent="0.2">
      <c r="B4" t="s">
        <v>2</v>
      </c>
      <c r="C4" t="s">
        <v>4</v>
      </c>
      <c r="J4" t="s">
        <v>17</v>
      </c>
      <c r="K4" s="12">
        <v>15.19</v>
      </c>
    </row>
    <row r="5" spans="2:12" x14ac:dyDescent="0.2">
      <c r="B5" t="s">
        <v>48</v>
      </c>
      <c r="C5" t="s">
        <v>49</v>
      </c>
      <c r="J5" t="s">
        <v>18</v>
      </c>
      <c r="K5" s="10">
        <v>132.814233</v>
      </c>
      <c r="L5" t="s">
        <v>22</v>
      </c>
    </row>
    <row r="6" spans="2:12" x14ac:dyDescent="0.2">
      <c r="J6" t="s">
        <v>23</v>
      </c>
      <c r="K6" s="10">
        <f>+K5*K4</f>
        <v>2017.44819927</v>
      </c>
    </row>
    <row r="7" spans="2:12" x14ac:dyDescent="0.2">
      <c r="J7" t="s">
        <v>19</v>
      </c>
      <c r="K7" s="10">
        <f>88.05+1.24</f>
        <v>89.289999999999992</v>
      </c>
      <c r="L7" t="str">
        <f>+L5</f>
        <v>Q225</v>
      </c>
    </row>
    <row r="8" spans="2:12" x14ac:dyDescent="0.2">
      <c r="B8" s="6" t="s">
        <v>5</v>
      </c>
      <c r="C8" s="7" t="s">
        <v>10</v>
      </c>
      <c r="D8" s="7" t="s">
        <v>12</v>
      </c>
      <c r="E8" s="7" t="s">
        <v>14</v>
      </c>
      <c r="F8" s="8" t="s">
        <v>15</v>
      </c>
      <c r="G8" t="s">
        <v>37</v>
      </c>
      <c r="J8" t="s">
        <v>20</v>
      </c>
      <c r="K8" s="10">
        <f>13.936+24.163+32.27</f>
        <v>70.369</v>
      </c>
      <c r="L8" t="str">
        <f>+L7</f>
        <v>Q225</v>
      </c>
    </row>
    <row r="9" spans="2:12" x14ac:dyDescent="0.2">
      <c r="B9" s="1" t="s">
        <v>6</v>
      </c>
      <c r="C9" t="s">
        <v>11</v>
      </c>
      <c r="D9" t="s">
        <v>13</v>
      </c>
      <c r="E9" t="s">
        <v>32</v>
      </c>
      <c r="F9" s="9" t="s">
        <v>16</v>
      </c>
      <c r="G9" t="s">
        <v>38</v>
      </c>
      <c r="J9" t="s">
        <v>21</v>
      </c>
      <c r="K9" s="10">
        <f>+K6-K7+K8</f>
        <v>1998.52719927</v>
      </c>
    </row>
    <row r="10" spans="2:12" x14ac:dyDescent="0.2">
      <c r="B10" s="11" t="s">
        <v>7</v>
      </c>
      <c r="C10" t="s">
        <v>31</v>
      </c>
      <c r="E10" t="s">
        <v>33</v>
      </c>
      <c r="F10" s="9" t="s">
        <v>34</v>
      </c>
      <c r="G10" t="s">
        <v>38</v>
      </c>
    </row>
    <row r="11" spans="2:12" x14ac:dyDescent="0.2">
      <c r="B11" s="11" t="s">
        <v>8</v>
      </c>
      <c r="C11" t="s">
        <v>36</v>
      </c>
      <c r="E11" t="s">
        <v>33</v>
      </c>
      <c r="F11" s="2"/>
      <c r="G11" t="s">
        <v>38</v>
      </c>
    </row>
    <row r="12" spans="2:12" x14ac:dyDescent="0.2">
      <c r="B12" s="11" t="s">
        <v>9</v>
      </c>
      <c r="F12" s="2"/>
      <c r="G12" t="s">
        <v>38</v>
      </c>
    </row>
    <row r="13" spans="2:12" x14ac:dyDescent="0.2">
      <c r="B13" s="3"/>
      <c r="C13" s="4"/>
      <c r="D13" s="4"/>
      <c r="E13" s="4"/>
      <c r="F13" s="5"/>
    </row>
    <row r="15" spans="2:12" x14ac:dyDescent="0.2">
      <c r="B15" s="16" t="s">
        <v>35</v>
      </c>
    </row>
    <row r="16" spans="2:12" x14ac:dyDescent="0.2">
      <c r="B16" s="17">
        <v>44824</v>
      </c>
    </row>
    <row r="17" spans="2:3" x14ac:dyDescent="0.2">
      <c r="B17" s="17">
        <v>44887</v>
      </c>
    </row>
    <row r="18" spans="2:3" x14ac:dyDescent="0.2">
      <c r="B18" s="17">
        <v>45365</v>
      </c>
    </row>
    <row r="19" spans="2:3" x14ac:dyDescent="0.2">
      <c r="B19" s="16"/>
    </row>
    <row r="20" spans="2:3" x14ac:dyDescent="0.2">
      <c r="B20" s="16" t="s">
        <v>8</v>
      </c>
    </row>
    <row r="21" spans="2:3" x14ac:dyDescent="0.2">
      <c r="B21" s="17">
        <v>45208</v>
      </c>
    </row>
    <row r="22" spans="2:3" x14ac:dyDescent="0.2">
      <c r="B22" s="17">
        <v>45327</v>
      </c>
    </row>
    <row r="23" spans="2:3" x14ac:dyDescent="0.2">
      <c r="B23" s="17">
        <v>45384</v>
      </c>
    </row>
    <row r="27" spans="2:3" x14ac:dyDescent="0.2">
      <c r="B27" s="7" t="s">
        <v>52</v>
      </c>
      <c r="C27" s="7"/>
    </row>
    <row r="28" spans="2:3" x14ac:dyDescent="0.2">
      <c r="B28" t="s">
        <v>51</v>
      </c>
      <c r="C28" t="s">
        <v>50</v>
      </c>
    </row>
    <row r="29" spans="2:3" x14ac:dyDescent="0.2">
      <c r="B29" t="s">
        <v>42</v>
      </c>
      <c r="C29">
        <v>23</v>
      </c>
    </row>
    <row r="30" spans="2:3" x14ac:dyDescent="0.2">
      <c r="B30" t="s">
        <v>43</v>
      </c>
      <c r="C30">
        <v>3</v>
      </c>
    </row>
    <row r="31" spans="2:3" x14ac:dyDescent="0.2">
      <c r="B31" t="s">
        <v>44</v>
      </c>
      <c r="C31" s="18">
        <f ca="1">YEAR(TODAY())-2029</f>
        <v>-4</v>
      </c>
    </row>
    <row r="32" spans="2:3" x14ac:dyDescent="0.2">
      <c r="B32" t="s">
        <v>45</v>
      </c>
      <c r="C32" s="18">
        <f ca="1">YEAR(TODAY())-2051</f>
        <v>-26</v>
      </c>
    </row>
    <row r="33" spans="2:3" x14ac:dyDescent="0.2">
      <c r="B33" t="s">
        <v>47</v>
      </c>
      <c r="C33" s="20">
        <v>1.4</v>
      </c>
    </row>
  </sheetData>
  <hyperlinks>
    <hyperlink ref="F9" r:id="rId1" xr:uid="{7CA6175D-B0F8-6845-9D7F-994780A6914E}"/>
    <hyperlink ref="F10" r:id="rId2" xr:uid="{E292C652-D152-F94A-9871-1EA99447259A}"/>
    <hyperlink ref="B16" r:id="rId3" display="https://ivanhoeelectric.com/site/assets/files/8960/pr7-22-ie-tintic-update-fnl4.pdf" xr:uid="{7EE06031-A04E-704D-B2E8-99B5C268CEC3}"/>
    <hyperlink ref="B17" r:id="rId4" display="https://ivanhoeelectric.com/site/assets/files/9085/2022-11-22-ie-nr.pdf" xr:uid="{6761D8F5-2DC4-8344-B197-0A6EC539E47A}"/>
    <hyperlink ref="B18" r:id="rId5" display="https://ivanhoeelectric.com/site/assets/files/10436/pr_06-24_ivanhoe_electric_announces_updated_typhoon_da.pdf" xr:uid="{889417F9-44BD-D140-A824-48C9A0141E42}"/>
    <hyperlink ref="B10" r:id="rId6" xr:uid="{3234ED48-71F5-BD4B-8783-0DB758D66FDC}"/>
    <hyperlink ref="B21" r:id="rId7" display="https://ivanhoeelectric.com/site/assets/files/9923/pr_20-23--ivanhoe-electric-announces-drill-results-at-h.pdf" xr:uid="{C76C2448-9FE7-FA43-ABAB-CE237FFEF247}"/>
    <hyperlink ref="B22" r:id="rId8" display="https://ivanhoeelectric.com/site/assets/files/10363/pr_04-24_ivanhoe_electric_provides_update_on_hog_heave_1.pdf" xr:uid="{0B7FBC85-9438-6647-889A-D0026390A5B5}"/>
    <hyperlink ref="B23" r:id="rId9" display="https://ivanhoeelectric.com/news/ivanhoe-electric-reports-best-copper-gold-silver-intersection-to-date-at-its-hog-heaven-project-in-montana/" xr:uid="{05132E74-C0F0-5046-9A3F-999198C8EFDC}"/>
    <hyperlink ref="B11" r:id="rId10" xr:uid="{BA2071A2-F833-3C40-B71A-C4A7BE88BB4C}"/>
    <hyperlink ref="B12" r:id="rId11" xr:uid="{821BC919-FD4F-0D44-9AEB-551879E451B9}"/>
  </hyperlinks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92F8-9496-2F4F-8F98-FE738C7E4CB3}">
  <dimension ref="C3:X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baseColWidth="10" defaultRowHeight="16" x14ac:dyDescent="0.2"/>
  <cols>
    <col min="1" max="1" width="2.83203125" customWidth="1"/>
    <col min="3" max="10" width="5.5" bestFit="1" customWidth="1"/>
    <col min="15" max="24" width="5.1640625" bestFit="1" customWidth="1"/>
  </cols>
  <sheetData>
    <row r="3" spans="3:24" x14ac:dyDescent="0.2"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22</v>
      </c>
      <c r="I3" t="s">
        <v>29</v>
      </c>
      <c r="J3" t="s">
        <v>30</v>
      </c>
      <c r="O3">
        <v>2023</v>
      </c>
      <c r="P3">
        <f>+O3+1</f>
        <v>2024</v>
      </c>
      <c r="Q3">
        <f t="shared" ref="Q3:X3" si="0">+P3+1</f>
        <v>2025</v>
      </c>
      <c r="R3">
        <f t="shared" si="0"/>
        <v>2026</v>
      </c>
      <c r="S3">
        <f t="shared" si="0"/>
        <v>2027</v>
      </c>
      <c r="T3">
        <f t="shared" si="0"/>
        <v>2028</v>
      </c>
      <c r="U3">
        <f t="shared" si="0"/>
        <v>2029</v>
      </c>
      <c r="V3">
        <f t="shared" si="0"/>
        <v>2030</v>
      </c>
      <c r="W3">
        <f t="shared" si="0"/>
        <v>2031</v>
      </c>
      <c r="X3">
        <f t="shared" si="0"/>
        <v>2032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F82D-7DC1-3041-B7FB-6E19E0C24EC4}">
  <dimension ref="E9:K13"/>
  <sheetViews>
    <sheetView showGridLines="0" topLeftCell="B1" zoomScale="183" workbookViewId="0">
      <selection activeCell="H6" sqref="H6"/>
    </sheetView>
  </sheetViews>
  <sheetFormatPr baseColWidth="10" defaultRowHeight="16" x14ac:dyDescent="0.2"/>
  <cols>
    <col min="5" max="5" width="26.6640625" bestFit="1" customWidth="1"/>
  </cols>
  <sheetData>
    <row r="9" spans="5:11" x14ac:dyDescent="0.2">
      <c r="E9" s="6" t="s">
        <v>5</v>
      </c>
      <c r="F9" s="7"/>
      <c r="G9" s="7"/>
      <c r="H9" s="7"/>
      <c r="I9" s="7"/>
      <c r="J9" s="7"/>
      <c r="K9" s="8"/>
    </row>
    <row r="10" spans="5:11" x14ac:dyDescent="0.2">
      <c r="E10" s="1" t="str">
        <f>+Main!B9</f>
        <v xml:space="preserve">Santa Cruz </v>
      </c>
      <c r="F10" s="14"/>
      <c r="G10" s="14"/>
      <c r="H10" s="14"/>
      <c r="I10" s="14"/>
      <c r="J10" s="14"/>
      <c r="K10" s="2"/>
    </row>
    <row r="11" spans="5:11" x14ac:dyDescent="0.2">
      <c r="E11" s="1" t="str">
        <f>+Main!B10</f>
        <v>Tintic</v>
      </c>
      <c r="F11" s="14"/>
      <c r="G11" s="14"/>
      <c r="H11" s="14"/>
      <c r="I11" s="14"/>
      <c r="J11" s="14"/>
      <c r="K11" s="2"/>
    </row>
    <row r="12" spans="5:11" x14ac:dyDescent="0.2">
      <c r="E12" s="1" t="str">
        <f>+Main!B11</f>
        <v xml:space="preserve">Hog Heaven </v>
      </c>
      <c r="F12" s="14"/>
      <c r="G12" s="14"/>
      <c r="H12" s="14"/>
      <c r="I12" s="14"/>
      <c r="J12" s="14"/>
      <c r="K12" s="2"/>
    </row>
    <row r="13" spans="5:11" x14ac:dyDescent="0.2">
      <c r="E13" s="3" t="str">
        <f>+Main!B12</f>
        <v xml:space="preserve">JV w/ Saud Arabaian Mining Co. </v>
      </c>
      <c r="F13" s="4"/>
      <c r="G13" s="4"/>
      <c r="H13" s="4"/>
      <c r="I13" s="4"/>
      <c r="J13" s="4"/>
      <c r="K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F7CE-7A0B-7849-A184-5BA31A81AF1B}">
  <dimension ref="A1:AC38"/>
  <sheetViews>
    <sheetView showGridLines="0" topLeftCell="B2" zoomScale="145" workbookViewId="0">
      <selection activeCell="J39" sqref="J39"/>
    </sheetView>
  </sheetViews>
  <sheetFormatPr baseColWidth="10" defaultRowHeight="16" outlineLevelRow="1" x14ac:dyDescent="0.2"/>
  <cols>
    <col min="1" max="3" width="5" customWidth="1"/>
    <col min="4" max="4" width="25.33203125" bestFit="1" customWidth="1"/>
    <col min="5" max="5" width="8" bestFit="1" customWidth="1"/>
    <col min="6" max="6" width="8.33203125" bestFit="1" customWidth="1"/>
    <col min="7" max="7" width="14" bestFit="1" customWidth="1"/>
    <col min="8" max="8" width="7.33203125" bestFit="1" customWidth="1"/>
    <col min="9" max="9" width="8" bestFit="1" customWidth="1"/>
    <col min="10" max="10" width="10.6640625" bestFit="1" customWidth="1"/>
    <col min="11" max="24" width="9" bestFit="1" customWidth="1"/>
    <col min="25" max="27" width="8" bestFit="1" customWidth="1"/>
    <col min="28" max="29" width="10.1640625" bestFit="1" customWidth="1"/>
  </cols>
  <sheetData>
    <row r="1" spans="4:29" x14ac:dyDescent="0.2">
      <c r="S1" s="21" t="s">
        <v>41</v>
      </c>
    </row>
    <row r="3" spans="4:29" x14ac:dyDescent="0.2">
      <c r="S3" t="s">
        <v>53</v>
      </c>
      <c r="T3" s="22">
        <v>1000</v>
      </c>
    </row>
    <row r="4" spans="4:29" x14ac:dyDescent="0.2">
      <c r="S4" t="s">
        <v>54</v>
      </c>
      <c r="T4" s="23">
        <v>0.453592</v>
      </c>
    </row>
    <row r="5" spans="4:29" x14ac:dyDescent="0.2">
      <c r="H5" s="15"/>
      <c r="S5" t="s">
        <v>55</v>
      </c>
      <c r="T5" s="26">
        <f>+T3/T4</f>
        <v>2204.6244201837776</v>
      </c>
    </row>
    <row r="6" spans="4:29" x14ac:dyDescent="0.2">
      <c r="S6" t="s">
        <v>56</v>
      </c>
    </row>
    <row r="9" spans="4:29" x14ac:dyDescent="0.2">
      <c r="H9" s="27"/>
    </row>
    <row r="10" spans="4:29" x14ac:dyDescent="0.2">
      <c r="H10" s="27"/>
    </row>
    <row r="11" spans="4:29" x14ac:dyDescent="0.2">
      <c r="H11" s="27"/>
    </row>
    <row r="12" spans="4:29" x14ac:dyDescent="0.2">
      <c r="E12" s="24" t="s">
        <v>65</v>
      </c>
      <c r="F12" s="24" t="s">
        <v>66</v>
      </c>
      <c r="G12" s="31" t="s">
        <v>57</v>
      </c>
      <c r="H12" s="31"/>
      <c r="I12" s="32"/>
      <c r="J12" s="28" t="s">
        <v>64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3" t="s">
        <v>60</v>
      </c>
    </row>
    <row r="13" spans="4:29" x14ac:dyDescent="0.2">
      <c r="D13" t="s">
        <v>61</v>
      </c>
      <c r="E13" s="24"/>
      <c r="F13" s="24"/>
      <c r="G13" s="24">
        <v>3</v>
      </c>
      <c r="H13" s="24">
        <v>2</v>
      </c>
      <c r="I13" s="30">
        <v>1</v>
      </c>
      <c r="J13" s="24">
        <v>1</v>
      </c>
      <c r="K13" s="24">
        <f>+J13+1</f>
        <v>2</v>
      </c>
      <c r="L13" s="24">
        <f t="shared" ref="L13:AA13" si="0">+K13+1</f>
        <v>3</v>
      </c>
      <c r="M13" s="24">
        <f t="shared" si="0"/>
        <v>4</v>
      </c>
      <c r="N13" s="24">
        <f t="shared" si="0"/>
        <v>5</v>
      </c>
      <c r="O13" s="24">
        <f t="shared" si="0"/>
        <v>6</v>
      </c>
      <c r="P13" s="24">
        <f t="shared" si="0"/>
        <v>7</v>
      </c>
      <c r="Q13" s="24">
        <f t="shared" si="0"/>
        <v>8</v>
      </c>
      <c r="R13" s="24">
        <f t="shared" si="0"/>
        <v>9</v>
      </c>
      <c r="S13" s="24">
        <f t="shared" si="0"/>
        <v>10</v>
      </c>
      <c r="T13" s="24">
        <f t="shared" si="0"/>
        <v>11</v>
      </c>
      <c r="U13" s="24">
        <f t="shared" si="0"/>
        <v>12</v>
      </c>
      <c r="V13" s="24">
        <f t="shared" si="0"/>
        <v>13</v>
      </c>
      <c r="W13" s="24">
        <f t="shared" si="0"/>
        <v>14</v>
      </c>
      <c r="X13" s="24">
        <f t="shared" si="0"/>
        <v>15</v>
      </c>
      <c r="Y13" s="24">
        <f t="shared" si="0"/>
        <v>16</v>
      </c>
      <c r="Z13" s="24">
        <f t="shared" si="0"/>
        <v>17</v>
      </c>
      <c r="AA13" s="24">
        <f t="shared" si="0"/>
        <v>18</v>
      </c>
      <c r="AB13" s="24" t="s">
        <v>62</v>
      </c>
      <c r="AC13" s="24" t="s">
        <v>63</v>
      </c>
    </row>
    <row r="14" spans="4:29" x14ac:dyDescent="0.2">
      <c r="E14" s="24"/>
      <c r="F14" s="24"/>
      <c r="G14" s="24">
        <v>2026</v>
      </c>
      <c r="H14" s="24">
        <f>+G14+1</f>
        <v>2027</v>
      </c>
      <c r="I14" s="24">
        <f>+H14+1</f>
        <v>2028</v>
      </c>
      <c r="J14" s="24">
        <f t="shared" ref="J14:AA14" si="1">+I14+1</f>
        <v>2029</v>
      </c>
      <c r="K14" s="24">
        <f t="shared" si="1"/>
        <v>2030</v>
      </c>
      <c r="L14" s="24">
        <f t="shared" si="1"/>
        <v>2031</v>
      </c>
      <c r="M14" s="24">
        <f t="shared" si="1"/>
        <v>2032</v>
      </c>
      <c r="N14" s="24">
        <f t="shared" si="1"/>
        <v>2033</v>
      </c>
      <c r="O14" s="24">
        <f t="shared" si="1"/>
        <v>2034</v>
      </c>
      <c r="P14" s="24">
        <f t="shared" si="1"/>
        <v>2035</v>
      </c>
      <c r="Q14" s="24">
        <f t="shared" si="1"/>
        <v>2036</v>
      </c>
      <c r="R14" s="24">
        <f t="shared" si="1"/>
        <v>2037</v>
      </c>
      <c r="S14" s="24">
        <f t="shared" si="1"/>
        <v>2038</v>
      </c>
      <c r="T14" s="24">
        <f t="shared" si="1"/>
        <v>2039</v>
      </c>
      <c r="U14" s="24">
        <f t="shared" si="1"/>
        <v>2040</v>
      </c>
      <c r="V14" s="24">
        <f t="shared" si="1"/>
        <v>2041</v>
      </c>
      <c r="W14" s="24">
        <f t="shared" si="1"/>
        <v>2042</v>
      </c>
      <c r="X14" s="24">
        <f t="shared" si="1"/>
        <v>2043</v>
      </c>
      <c r="Y14" s="24">
        <f t="shared" si="1"/>
        <v>2044</v>
      </c>
      <c r="Z14" s="24">
        <f t="shared" si="1"/>
        <v>2045</v>
      </c>
      <c r="AA14" s="24">
        <f t="shared" si="1"/>
        <v>2046</v>
      </c>
      <c r="AB14" s="24" t="s">
        <v>58</v>
      </c>
      <c r="AC14" s="24" t="s">
        <v>59</v>
      </c>
    </row>
    <row r="15" spans="4:29" outlineLevel="1" x14ac:dyDescent="0.2">
      <c r="E15" s="24"/>
      <c r="F15" s="24"/>
      <c r="G15" s="24"/>
      <c r="H15" s="30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4:29" outlineLevel="1" x14ac:dyDescent="0.2">
      <c r="D16" t="s">
        <v>74</v>
      </c>
      <c r="E16" s="25">
        <f>SUM(G16:AC16)</f>
        <v>136.44999999999999</v>
      </c>
      <c r="F16" s="24" t="s">
        <v>67</v>
      </c>
      <c r="G16" s="34">
        <v>0</v>
      </c>
      <c r="H16" s="34">
        <v>0.3</v>
      </c>
      <c r="I16" s="34">
        <v>1.67</v>
      </c>
      <c r="J16" s="34">
        <v>3.97</v>
      </c>
      <c r="K16" s="34">
        <v>5.38</v>
      </c>
      <c r="L16" s="34">
        <v>6.74</v>
      </c>
      <c r="M16" s="34">
        <v>7.49</v>
      </c>
      <c r="N16" s="34">
        <v>7.44</v>
      </c>
      <c r="O16" s="34">
        <v>7.87</v>
      </c>
      <c r="P16" s="34">
        <v>7.44</v>
      </c>
      <c r="Q16" s="34">
        <v>7.74</v>
      </c>
      <c r="R16" s="34">
        <v>7.94</v>
      </c>
      <c r="S16" s="34">
        <v>7.96</v>
      </c>
      <c r="T16" s="34">
        <v>7.26</v>
      </c>
      <c r="U16" s="34">
        <v>7.4</v>
      </c>
      <c r="V16" s="34">
        <v>7.82</v>
      </c>
      <c r="W16" s="34">
        <v>7.85</v>
      </c>
      <c r="X16" s="34">
        <v>5.96</v>
      </c>
      <c r="Y16" s="34">
        <v>4.17</v>
      </c>
      <c r="Z16" s="34">
        <v>3.74</v>
      </c>
      <c r="AA16" s="34">
        <v>3.67</v>
      </c>
      <c r="AB16" s="34">
        <v>16.64</v>
      </c>
      <c r="AC16" s="34">
        <v>0</v>
      </c>
    </row>
    <row r="17" spans="1:29" outlineLevel="1" x14ac:dyDescent="0.2">
      <c r="A17" s="13">
        <v>1.0800000000000001E-2</v>
      </c>
      <c r="B17" s="13">
        <v>0.92</v>
      </c>
      <c r="D17" t="s">
        <v>73</v>
      </c>
      <c r="E17" s="25">
        <f>SUM(G17:AC17)</f>
        <v>2982.7099327324995</v>
      </c>
      <c r="F17" s="24" t="s">
        <v>68</v>
      </c>
      <c r="G17" s="34"/>
      <c r="H17" s="34">
        <f>+H16*1.08</f>
        <v>0.32400000000000001</v>
      </c>
      <c r="I17" s="34">
        <f>+I16*$A$17*$B$17*$T$5</f>
        <v>36.581597559039842</v>
      </c>
      <c r="J17" s="34">
        <f>+J16*$A$17*$B$17*$T$5</f>
        <v>86.963438508615681</v>
      </c>
      <c r="K17" s="34">
        <f>+K16*$A$17*$B$17*$T$5</f>
        <v>117.84969752552956</v>
      </c>
      <c r="L17" s="34">
        <f>+L16*$A$17*$B$17*$T$5</f>
        <v>147.64069913049616</v>
      </c>
      <c r="M17" s="34">
        <f>+M16*$A$17*$B$17*$T$5</f>
        <v>164.06956030970568</v>
      </c>
      <c r="N17" s="34">
        <f>+N16*$A$17*$B$17*$T$5</f>
        <v>162.97430289775835</v>
      </c>
      <c r="O17" s="34">
        <f>+O16*$A$17*$B$17*$T$5</f>
        <v>172.39351664050514</v>
      </c>
      <c r="P17" s="34">
        <f>+P16*$A$17*$B$17*$T$5</f>
        <v>162.97430289775835</v>
      </c>
      <c r="Q17" s="34">
        <f>+Q16*$A$17*$B$17*$T$5</f>
        <v>169.54584736944219</v>
      </c>
      <c r="R17" s="34">
        <f>+R16*$A$17*$B$17*$T$5</f>
        <v>173.92687701723136</v>
      </c>
      <c r="S17" s="34">
        <f>+S16*$A$17*$B$17*$T$5</f>
        <v>174.36497998201028</v>
      </c>
      <c r="T17" s="34">
        <f>+T16*$A$17*$B$17*$T$5</f>
        <v>159.03137621474809</v>
      </c>
      <c r="U17" s="34">
        <f>+U16*$A$17*$B$17*$T$5</f>
        <v>162.09809696820051</v>
      </c>
      <c r="V17" s="34">
        <f>+V16*$A$17*$B$17*$T$5</f>
        <v>171.29825922855784</v>
      </c>
      <c r="W17" s="34">
        <f>+W16*$A$17*$B$17*$T$5</f>
        <v>171.95541367572622</v>
      </c>
      <c r="X17" s="34">
        <f>+X16*$A$17*$B$17*$T$5</f>
        <v>130.55468350411826</v>
      </c>
      <c r="Y17" s="34">
        <f>+Y16*$A$17*$B$17*$T$5</f>
        <v>91.344468156404886</v>
      </c>
      <c r="Z17" s="34">
        <f>+Z16*$A$17*$B$17*$T$5</f>
        <v>81.925254413658109</v>
      </c>
      <c r="AA17" s="34">
        <f>+AA16*$A$17*$B$17*$T$5</f>
        <v>80.391894036931873</v>
      </c>
      <c r="AB17" s="34">
        <f>+AB16*$A$17*$B$17*$T$5</f>
        <v>364.5016666960617</v>
      </c>
      <c r="AC17" s="34">
        <f>+AC16*$A$17*$B$17*$T$5</f>
        <v>0</v>
      </c>
    </row>
    <row r="18" spans="1:29" outlineLevel="1" x14ac:dyDescent="0.2">
      <c r="D18" t="s">
        <v>69</v>
      </c>
      <c r="E18">
        <f>AVERAGE(G18:AC18)</f>
        <v>4.25</v>
      </c>
      <c r="F18" s="24" t="s">
        <v>70</v>
      </c>
      <c r="G18" s="34">
        <v>4.25</v>
      </c>
      <c r="H18" s="34">
        <v>4.25</v>
      </c>
      <c r="I18" s="34">
        <v>4.25</v>
      </c>
      <c r="J18" s="34">
        <v>4.25</v>
      </c>
      <c r="K18" s="34">
        <v>4.25</v>
      </c>
      <c r="L18" s="34">
        <v>4.25</v>
      </c>
      <c r="M18" s="34">
        <v>4.25</v>
      </c>
      <c r="N18" s="34">
        <v>4.25</v>
      </c>
      <c r="O18" s="34">
        <v>4.25</v>
      </c>
      <c r="P18" s="34">
        <v>4.25</v>
      </c>
      <c r="Q18" s="34">
        <v>4.25</v>
      </c>
      <c r="R18" s="34">
        <v>4.25</v>
      </c>
      <c r="S18" s="34">
        <v>4.25</v>
      </c>
      <c r="T18" s="34">
        <v>4.25</v>
      </c>
      <c r="U18" s="34">
        <v>4.25</v>
      </c>
      <c r="V18" s="34">
        <v>4.25</v>
      </c>
      <c r="W18" s="34">
        <v>4.25</v>
      </c>
      <c r="X18" s="34">
        <v>4.25</v>
      </c>
      <c r="Y18" s="34">
        <v>4.25</v>
      </c>
      <c r="Z18" s="34">
        <v>4.25</v>
      </c>
      <c r="AA18" s="34">
        <v>4.25</v>
      </c>
      <c r="AB18" s="34">
        <v>4.25</v>
      </c>
      <c r="AC18" s="34">
        <v>4.25</v>
      </c>
    </row>
    <row r="19" spans="1:29" outlineLevel="1" x14ac:dyDescent="0.2">
      <c r="D19" t="s">
        <v>71</v>
      </c>
      <c r="E19">
        <f>AVERAGE(J19:AC19)</f>
        <v>0.14000000000000007</v>
      </c>
      <c r="F19" s="24" t="s">
        <v>70</v>
      </c>
      <c r="G19" s="34">
        <v>0</v>
      </c>
      <c r="H19" s="34">
        <v>0</v>
      </c>
      <c r="I19" s="34">
        <v>0</v>
      </c>
      <c r="J19" s="34">
        <v>0.14000000000000001</v>
      </c>
      <c r="K19" s="34">
        <v>0.14000000000000001</v>
      </c>
      <c r="L19" s="34">
        <v>0.14000000000000001</v>
      </c>
      <c r="M19" s="34">
        <v>0.14000000000000001</v>
      </c>
      <c r="N19" s="34">
        <v>0.14000000000000001</v>
      </c>
      <c r="O19" s="34">
        <v>0.14000000000000001</v>
      </c>
      <c r="P19" s="34">
        <v>0.14000000000000001</v>
      </c>
      <c r="Q19" s="34">
        <v>0.14000000000000001</v>
      </c>
      <c r="R19" s="34">
        <v>0.14000000000000001</v>
      </c>
      <c r="S19" s="34">
        <v>0.14000000000000001</v>
      </c>
      <c r="T19" s="34">
        <v>0.14000000000000001</v>
      </c>
      <c r="U19" s="34">
        <v>0.14000000000000001</v>
      </c>
      <c r="V19" s="34">
        <v>0.14000000000000001</v>
      </c>
      <c r="W19" s="34">
        <v>0.14000000000000001</v>
      </c>
      <c r="X19" s="34">
        <v>0.14000000000000001</v>
      </c>
      <c r="Y19" s="34">
        <v>0.14000000000000001</v>
      </c>
      <c r="Z19" s="34">
        <v>0.14000000000000001</v>
      </c>
      <c r="AA19" s="34">
        <v>0.14000000000000001</v>
      </c>
      <c r="AB19" s="34">
        <v>0.14000000000000001</v>
      </c>
      <c r="AC19" s="34">
        <v>0.14000000000000001</v>
      </c>
    </row>
    <row r="20" spans="1:29" outlineLevel="1" x14ac:dyDescent="0.2">
      <c r="D20" t="s">
        <v>72</v>
      </c>
      <c r="E20">
        <f>AVERAGE(J20:AC20)</f>
        <v>4.3899999999999997</v>
      </c>
      <c r="F20" s="24" t="s">
        <v>70</v>
      </c>
      <c r="G20" s="34">
        <f>SUM(G18:G19)</f>
        <v>4.25</v>
      </c>
      <c r="H20" s="34">
        <f t="shared" ref="H20:AC20" si="2">SUM(H18:H19)</f>
        <v>4.25</v>
      </c>
      <c r="I20" s="34">
        <f t="shared" si="2"/>
        <v>4.25</v>
      </c>
      <c r="J20" s="34">
        <f t="shared" si="2"/>
        <v>4.3899999999999997</v>
      </c>
      <c r="K20" s="34">
        <f t="shared" si="2"/>
        <v>4.3899999999999997</v>
      </c>
      <c r="L20" s="34">
        <f t="shared" si="2"/>
        <v>4.3899999999999997</v>
      </c>
      <c r="M20" s="34">
        <f t="shared" si="2"/>
        <v>4.3899999999999997</v>
      </c>
      <c r="N20" s="34">
        <f t="shared" si="2"/>
        <v>4.3899999999999997</v>
      </c>
      <c r="O20" s="34">
        <f t="shared" si="2"/>
        <v>4.3899999999999997</v>
      </c>
      <c r="P20" s="34">
        <f t="shared" si="2"/>
        <v>4.3899999999999997</v>
      </c>
      <c r="Q20" s="34">
        <f t="shared" si="2"/>
        <v>4.3899999999999997</v>
      </c>
      <c r="R20" s="34">
        <f t="shared" si="2"/>
        <v>4.3899999999999997</v>
      </c>
      <c r="S20" s="34">
        <f t="shared" si="2"/>
        <v>4.3899999999999997</v>
      </c>
      <c r="T20" s="34">
        <f t="shared" si="2"/>
        <v>4.3899999999999997</v>
      </c>
      <c r="U20" s="34">
        <f t="shared" si="2"/>
        <v>4.3899999999999997</v>
      </c>
      <c r="V20" s="34">
        <f t="shared" si="2"/>
        <v>4.3899999999999997</v>
      </c>
      <c r="W20" s="34">
        <f t="shared" si="2"/>
        <v>4.3899999999999997</v>
      </c>
      <c r="X20" s="34">
        <f t="shared" si="2"/>
        <v>4.3899999999999997</v>
      </c>
      <c r="Y20" s="34">
        <f t="shared" si="2"/>
        <v>4.3899999999999997</v>
      </c>
      <c r="Z20" s="34">
        <f t="shared" si="2"/>
        <v>4.3899999999999997</v>
      </c>
      <c r="AA20" s="34">
        <f t="shared" si="2"/>
        <v>4.3899999999999997</v>
      </c>
      <c r="AB20" s="34">
        <f t="shared" si="2"/>
        <v>4.3899999999999997</v>
      </c>
      <c r="AC20" s="34">
        <f t="shared" si="2"/>
        <v>4.3899999999999997</v>
      </c>
    </row>
    <row r="21" spans="1:29" outlineLevel="1" x14ac:dyDescent="0.2">
      <c r="D21" s="7" t="s">
        <v>75</v>
      </c>
      <c r="E21" s="35">
        <f>SUM(G21:AC21)</f>
        <v>13088.929821037413</v>
      </c>
      <c r="F21" s="29" t="s">
        <v>70</v>
      </c>
      <c r="G21" s="36">
        <f>+G17*G20</f>
        <v>0</v>
      </c>
      <c r="H21" s="36">
        <f t="shared" ref="H21:AC21" si="3">+H17*H20</f>
        <v>1.377</v>
      </c>
      <c r="I21" s="36">
        <f t="shared" si="3"/>
        <v>155.47178962591934</v>
      </c>
      <c r="J21" s="36">
        <f t="shared" si="3"/>
        <v>381.76949505282283</v>
      </c>
      <c r="K21" s="36">
        <f t="shared" si="3"/>
        <v>517.36017213707476</v>
      </c>
      <c r="L21" s="36">
        <f t="shared" si="3"/>
        <v>648.14266918287808</v>
      </c>
      <c r="M21" s="36">
        <f t="shared" si="3"/>
        <v>720.26536975960789</v>
      </c>
      <c r="N21" s="36">
        <f t="shared" si="3"/>
        <v>715.45718972115912</v>
      </c>
      <c r="O21" s="36">
        <f t="shared" si="3"/>
        <v>756.80753805181746</v>
      </c>
      <c r="P21" s="36">
        <f t="shared" si="3"/>
        <v>715.45718972115912</v>
      </c>
      <c r="Q21" s="36">
        <f t="shared" si="3"/>
        <v>744.30626995185116</v>
      </c>
      <c r="R21" s="36">
        <f t="shared" si="3"/>
        <v>763.53899010564567</v>
      </c>
      <c r="S21" s="36">
        <f t="shared" si="3"/>
        <v>765.46226212102511</v>
      </c>
      <c r="T21" s="36">
        <f t="shared" si="3"/>
        <v>698.14774158274406</v>
      </c>
      <c r="U21" s="36">
        <f t="shared" si="3"/>
        <v>711.61064569040013</v>
      </c>
      <c r="V21" s="36">
        <f t="shared" si="3"/>
        <v>751.99935801336881</v>
      </c>
      <c r="W21" s="36">
        <f t="shared" si="3"/>
        <v>754.88426603643802</v>
      </c>
      <c r="X21" s="36">
        <f t="shared" si="3"/>
        <v>573.13506058307917</v>
      </c>
      <c r="Y21" s="36">
        <f t="shared" si="3"/>
        <v>401.00221520661745</v>
      </c>
      <c r="Z21" s="36">
        <f t="shared" si="3"/>
        <v>359.65186687595906</v>
      </c>
      <c r="AA21" s="36">
        <f t="shared" si="3"/>
        <v>352.92041482213091</v>
      </c>
      <c r="AB21" s="36">
        <f t="shared" si="3"/>
        <v>1600.1623167957107</v>
      </c>
      <c r="AC21" s="36">
        <f t="shared" si="3"/>
        <v>0</v>
      </c>
    </row>
    <row r="22" spans="1:29" outlineLevel="1" x14ac:dyDescent="0.2">
      <c r="D22" t="s">
        <v>76</v>
      </c>
      <c r="E22" s="25">
        <f>SUM(G22:AC22)</f>
        <v>3951</v>
      </c>
      <c r="F22" s="24" t="s">
        <v>78</v>
      </c>
      <c r="G22" s="34">
        <v>0</v>
      </c>
      <c r="H22" s="34">
        <v>0</v>
      </c>
      <c r="I22" s="34">
        <v>0</v>
      </c>
      <c r="J22" s="34">
        <v>143</v>
      </c>
      <c r="K22" s="34">
        <v>194</v>
      </c>
      <c r="L22" s="34">
        <v>221</v>
      </c>
      <c r="M22" s="34">
        <v>225</v>
      </c>
      <c r="N22" s="34">
        <v>226</v>
      </c>
      <c r="O22" s="34">
        <v>236</v>
      </c>
      <c r="P22" s="34">
        <v>215</v>
      </c>
      <c r="Q22" s="34">
        <v>215</v>
      </c>
      <c r="R22" s="34">
        <v>226</v>
      </c>
      <c r="S22" s="34">
        <v>220</v>
      </c>
      <c r="T22" s="34">
        <v>209</v>
      </c>
      <c r="U22" s="34">
        <v>204</v>
      </c>
      <c r="V22" s="34">
        <v>199</v>
      </c>
      <c r="W22" s="34">
        <v>194</v>
      </c>
      <c r="X22" s="34">
        <v>162</v>
      </c>
      <c r="Y22" s="34">
        <v>120</v>
      </c>
      <c r="Z22" s="34">
        <v>113</v>
      </c>
      <c r="AA22" s="34">
        <v>104</v>
      </c>
      <c r="AB22" s="34">
        <v>508</v>
      </c>
      <c r="AC22" s="34">
        <v>17</v>
      </c>
    </row>
    <row r="23" spans="1:29" outlineLevel="1" x14ac:dyDescent="0.2">
      <c r="D23" t="s">
        <v>77</v>
      </c>
      <c r="E23" s="25">
        <f>SUM(G23:AC23)</f>
        <v>716</v>
      </c>
      <c r="F23" s="24" t="s">
        <v>78</v>
      </c>
      <c r="G23" s="34">
        <v>0</v>
      </c>
      <c r="H23" s="34">
        <v>0</v>
      </c>
      <c r="I23" s="34">
        <v>6</v>
      </c>
      <c r="J23" s="34">
        <v>32</v>
      </c>
      <c r="K23" s="34">
        <v>45</v>
      </c>
      <c r="L23" s="34">
        <v>48</v>
      </c>
      <c r="M23" s="34">
        <v>52</v>
      </c>
      <c r="N23" s="34">
        <v>51</v>
      </c>
      <c r="O23" s="34">
        <v>47</v>
      </c>
      <c r="P23" s="34">
        <v>48</v>
      </c>
      <c r="Q23" s="34">
        <v>35</v>
      </c>
      <c r="R23" s="34">
        <v>34</v>
      </c>
      <c r="S23" s="34">
        <v>33</v>
      </c>
      <c r="T23" s="34">
        <v>34</v>
      </c>
      <c r="U23" s="34">
        <v>34</v>
      </c>
      <c r="V23" s="34">
        <v>35</v>
      </c>
      <c r="W23" s="34">
        <v>35</v>
      </c>
      <c r="X23" s="34">
        <v>28</v>
      </c>
      <c r="Y23" s="34">
        <v>18</v>
      </c>
      <c r="Z23" s="34">
        <v>16</v>
      </c>
      <c r="AA23" s="34">
        <v>16</v>
      </c>
      <c r="AB23" s="34">
        <v>69</v>
      </c>
      <c r="AC23" s="34">
        <v>0</v>
      </c>
    </row>
    <row r="24" spans="1:29" outlineLevel="1" x14ac:dyDescent="0.2">
      <c r="D24" t="s">
        <v>79</v>
      </c>
      <c r="E24" s="25">
        <f>SUM(G24:AC24)</f>
        <v>1077</v>
      </c>
      <c r="F24" s="24" t="s">
        <v>78</v>
      </c>
      <c r="G24" s="34">
        <v>168</v>
      </c>
      <c r="H24" s="34">
        <v>405</v>
      </c>
      <c r="I24" s="34">
        <v>504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</row>
    <row r="25" spans="1:29" outlineLevel="1" x14ac:dyDescent="0.2">
      <c r="D25" t="s">
        <v>80</v>
      </c>
      <c r="E25" s="25">
        <f>SUM(G25:AC25)</f>
        <v>118</v>
      </c>
      <c r="F25" s="24" t="s">
        <v>78</v>
      </c>
      <c r="G25" s="34">
        <v>28</v>
      </c>
      <c r="H25" s="34">
        <v>34</v>
      </c>
      <c r="I25" s="34">
        <v>48</v>
      </c>
      <c r="J25" s="34">
        <v>2</v>
      </c>
      <c r="K25" s="34">
        <v>2</v>
      </c>
      <c r="L25" s="34">
        <v>2</v>
      </c>
      <c r="M25" s="34">
        <v>2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</row>
    <row r="26" spans="1:29" outlineLevel="1" x14ac:dyDescent="0.2">
      <c r="D26" t="s">
        <v>81</v>
      </c>
      <c r="E26" s="25">
        <f>SUM(G26:AC26)</f>
        <v>52</v>
      </c>
      <c r="F26" s="24" t="s">
        <v>78</v>
      </c>
      <c r="G26" s="34">
        <v>15</v>
      </c>
      <c r="H26" s="34">
        <v>16</v>
      </c>
      <c r="I26" s="34">
        <v>17</v>
      </c>
      <c r="J26" s="34">
        <v>1</v>
      </c>
      <c r="K26" s="34">
        <v>1</v>
      </c>
      <c r="L26" s="34">
        <v>1</v>
      </c>
      <c r="M26" s="34">
        <v>1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</row>
    <row r="27" spans="1:29" outlineLevel="1" x14ac:dyDescent="0.2">
      <c r="D27" t="s">
        <v>82</v>
      </c>
      <c r="E27" s="25">
        <f>SUM(G27:AC27)</f>
        <v>1268</v>
      </c>
      <c r="F27" s="24" t="s">
        <v>78</v>
      </c>
      <c r="G27" s="34">
        <v>0</v>
      </c>
      <c r="H27" s="34">
        <v>0</v>
      </c>
      <c r="I27" s="34">
        <v>0</v>
      </c>
      <c r="J27" s="34">
        <v>292</v>
      </c>
      <c r="K27" s="34">
        <v>146</v>
      </c>
      <c r="L27" s="34">
        <v>69</v>
      </c>
      <c r="M27" s="34">
        <v>75</v>
      </c>
      <c r="N27" s="34">
        <v>47</v>
      </c>
      <c r="O27" s="34">
        <v>65</v>
      </c>
      <c r="P27" s="34">
        <v>81</v>
      </c>
      <c r="Q27" s="34">
        <v>118</v>
      </c>
      <c r="R27" s="34">
        <v>78</v>
      </c>
      <c r="S27" s="34">
        <v>42</v>
      </c>
      <c r="T27" s="34">
        <v>32</v>
      </c>
      <c r="U27" s="34">
        <v>32</v>
      </c>
      <c r="V27" s="34">
        <v>21</v>
      </c>
      <c r="W27" s="34">
        <v>47</v>
      </c>
      <c r="X27" s="34">
        <v>17</v>
      </c>
      <c r="Y27" s="34">
        <v>14</v>
      </c>
      <c r="Z27" s="34">
        <v>21</v>
      </c>
      <c r="AA27" s="34">
        <v>28</v>
      </c>
      <c r="AB27" s="34">
        <v>43</v>
      </c>
      <c r="AC27" s="34">
        <v>0</v>
      </c>
    </row>
    <row r="28" spans="1:29" outlineLevel="1" x14ac:dyDescent="0.2">
      <c r="D28" t="s">
        <v>83</v>
      </c>
      <c r="E28" s="25">
        <f>SUM(G28:AC28)</f>
        <v>-113</v>
      </c>
      <c r="F28" s="24" t="s">
        <v>78</v>
      </c>
      <c r="G28" s="34">
        <v>2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-115</v>
      </c>
    </row>
    <row r="29" spans="1:29" outlineLevel="1" x14ac:dyDescent="0.2">
      <c r="D29" t="s">
        <v>84</v>
      </c>
      <c r="E29" s="25">
        <f>SUM(G29:AC29)</f>
        <v>-5</v>
      </c>
      <c r="F29" s="24" t="s">
        <v>78</v>
      </c>
      <c r="G29" s="34">
        <v>0</v>
      </c>
      <c r="H29" s="34">
        <v>0</v>
      </c>
      <c r="I29" s="34">
        <v>3</v>
      </c>
      <c r="J29" s="34">
        <v>-17</v>
      </c>
      <c r="K29" s="34">
        <v>-4</v>
      </c>
      <c r="L29" s="34">
        <v>-2</v>
      </c>
      <c r="M29" s="34">
        <v>1</v>
      </c>
      <c r="N29" s="34">
        <v>0</v>
      </c>
      <c r="O29" s="34">
        <v>-2</v>
      </c>
      <c r="P29" s="34">
        <v>6</v>
      </c>
      <c r="Q29" s="34">
        <v>2</v>
      </c>
      <c r="R29" s="34">
        <v>-3</v>
      </c>
      <c r="S29" s="34">
        <v>1</v>
      </c>
      <c r="T29" s="34">
        <v>2</v>
      </c>
      <c r="U29" s="34">
        <v>1</v>
      </c>
      <c r="V29" s="34">
        <v>1</v>
      </c>
      <c r="W29" s="34">
        <v>1</v>
      </c>
      <c r="X29" s="34">
        <v>1</v>
      </c>
      <c r="Y29" s="34">
        <v>1</v>
      </c>
      <c r="Z29" s="34">
        <v>0</v>
      </c>
      <c r="AA29" s="34">
        <v>1</v>
      </c>
      <c r="AB29" s="34">
        <v>1</v>
      </c>
      <c r="AC29" s="34">
        <v>1</v>
      </c>
    </row>
    <row r="30" spans="1:29" outlineLevel="1" x14ac:dyDescent="0.2">
      <c r="D30" t="s">
        <v>85</v>
      </c>
      <c r="E30" s="25">
        <f>SUM(G30:AC30)</f>
        <v>1185</v>
      </c>
      <c r="F30" s="24" t="s">
        <v>78</v>
      </c>
      <c r="G30" s="34">
        <v>0</v>
      </c>
      <c r="H30" s="34">
        <v>0</v>
      </c>
      <c r="I30" s="34">
        <v>0</v>
      </c>
      <c r="J30" s="34">
        <v>2</v>
      </c>
      <c r="K30" s="34">
        <v>7</v>
      </c>
      <c r="L30" s="34">
        <v>9</v>
      </c>
      <c r="M30" s="34">
        <v>19</v>
      </c>
      <c r="N30" s="34">
        <v>50</v>
      </c>
      <c r="O30" s="34">
        <v>44</v>
      </c>
      <c r="P30" s="34">
        <v>69</v>
      </c>
      <c r="Q30" s="34">
        <v>79</v>
      </c>
      <c r="R30" s="34">
        <v>75</v>
      </c>
      <c r="S30" s="34">
        <v>76</v>
      </c>
      <c r="T30" s="34">
        <v>85</v>
      </c>
      <c r="U30" s="34">
        <v>89</v>
      </c>
      <c r="V30" s="34">
        <v>94</v>
      </c>
      <c r="W30" s="34">
        <v>94</v>
      </c>
      <c r="X30" s="34">
        <v>73</v>
      </c>
      <c r="Y30" s="34">
        <v>45</v>
      </c>
      <c r="Z30" s="34">
        <v>39</v>
      </c>
      <c r="AA30" s="34">
        <v>38</v>
      </c>
      <c r="AB30" s="34">
        <v>169</v>
      </c>
      <c r="AC30" s="34">
        <v>29</v>
      </c>
    </row>
    <row r="31" spans="1:29" outlineLevel="1" x14ac:dyDescent="0.2">
      <c r="D31" s="7" t="s">
        <v>86</v>
      </c>
      <c r="E31" s="35">
        <f>SUM(G31:AC31)</f>
        <v>4839.92982103741</v>
      </c>
      <c r="F31" s="29" t="s">
        <v>78</v>
      </c>
      <c r="G31" s="36">
        <f>+G21-SUM(G22:G30)</f>
        <v>-213</v>
      </c>
      <c r="H31" s="36">
        <f t="shared" ref="H31:AC31" si="4">+H21-SUM(H22:H30)</f>
        <v>-453.62299999999999</v>
      </c>
      <c r="I31" s="36">
        <f t="shared" si="4"/>
        <v>-422.52821037408069</v>
      </c>
      <c r="J31" s="36">
        <f t="shared" si="4"/>
        <v>-73.230504947177167</v>
      </c>
      <c r="K31" s="36">
        <f t="shared" si="4"/>
        <v>126.36017213707476</v>
      </c>
      <c r="L31" s="36">
        <f t="shared" si="4"/>
        <v>300.14266918287808</v>
      </c>
      <c r="M31" s="36">
        <f t="shared" si="4"/>
        <v>345.26536975960789</v>
      </c>
      <c r="N31" s="36">
        <f t="shared" si="4"/>
        <v>341.45718972115912</v>
      </c>
      <c r="O31" s="36">
        <f t="shared" si="4"/>
        <v>366.80753805181746</v>
      </c>
      <c r="P31" s="36">
        <f t="shared" si="4"/>
        <v>296.45718972115912</v>
      </c>
      <c r="Q31" s="36">
        <f t="shared" si="4"/>
        <v>295.30626995185116</v>
      </c>
      <c r="R31" s="36">
        <f t="shared" si="4"/>
        <v>353.53899010564567</v>
      </c>
      <c r="S31" s="36">
        <f t="shared" si="4"/>
        <v>393.46226212102511</v>
      </c>
      <c r="T31" s="36">
        <f t="shared" si="4"/>
        <v>336.14774158274406</v>
      </c>
      <c r="U31" s="36">
        <f t="shared" si="4"/>
        <v>351.61064569040013</v>
      </c>
      <c r="V31" s="36">
        <f t="shared" si="4"/>
        <v>401.99935801336881</v>
      </c>
      <c r="W31" s="36">
        <f t="shared" si="4"/>
        <v>383.88426603643802</v>
      </c>
      <c r="X31" s="36">
        <f t="shared" si="4"/>
        <v>292.13506058307917</v>
      </c>
      <c r="Y31" s="36">
        <f t="shared" si="4"/>
        <v>203.00221520661745</v>
      </c>
      <c r="Z31" s="36">
        <f t="shared" si="4"/>
        <v>170.65186687595906</v>
      </c>
      <c r="AA31" s="36">
        <f t="shared" si="4"/>
        <v>165.92041482213091</v>
      </c>
      <c r="AB31" s="36">
        <f t="shared" si="4"/>
        <v>810.16231679571069</v>
      </c>
      <c r="AC31" s="36">
        <f t="shared" si="4"/>
        <v>68</v>
      </c>
    </row>
    <row r="32" spans="1:29" outlineLevel="1" x14ac:dyDescent="0.2">
      <c r="D32" t="s">
        <v>85</v>
      </c>
      <c r="E32" s="25">
        <f>SUM(G32:AC32)</f>
        <v>1185</v>
      </c>
      <c r="F32" s="24" t="s">
        <v>78</v>
      </c>
      <c r="G32" s="34">
        <v>0</v>
      </c>
      <c r="H32" s="34">
        <v>0</v>
      </c>
      <c r="I32" s="34">
        <v>0</v>
      </c>
      <c r="J32" s="34">
        <v>2</v>
      </c>
      <c r="K32" s="34">
        <v>7</v>
      </c>
      <c r="L32" s="34">
        <v>9</v>
      </c>
      <c r="M32" s="34">
        <v>19</v>
      </c>
      <c r="N32" s="34">
        <v>50</v>
      </c>
      <c r="O32" s="34">
        <v>44</v>
      </c>
      <c r="P32" s="34">
        <v>69</v>
      </c>
      <c r="Q32" s="34">
        <v>79</v>
      </c>
      <c r="R32" s="34">
        <v>75</v>
      </c>
      <c r="S32" s="34">
        <v>76</v>
      </c>
      <c r="T32" s="34">
        <v>85</v>
      </c>
      <c r="U32" s="34">
        <v>89</v>
      </c>
      <c r="V32" s="34">
        <v>94</v>
      </c>
      <c r="W32" s="34">
        <v>94</v>
      </c>
      <c r="X32" s="34">
        <v>73</v>
      </c>
      <c r="Y32" s="34">
        <v>45</v>
      </c>
      <c r="Z32" s="34">
        <v>39</v>
      </c>
      <c r="AA32" s="34">
        <v>38</v>
      </c>
      <c r="AB32" s="34">
        <v>169</v>
      </c>
      <c r="AC32" s="34">
        <v>29</v>
      </c>
    </row>
    <row r="33" spans="4:29" x14ac:dyDescent="0.2">
      <c r="D33" s="7" t="s">
        <v>87</v>
      </c>
      <c r="E33" s="35">
        <f>SUM(G33:AC33)</f>
        <v>3654.92982103741</v>
      </c>
      <c r="F33" s="29" t="s">
        <v>78</v>
      </c>
      <c r="G33" s="36">
        <f>+G31-G32</f>
        <v>-213</v>
      </c>
      <c r="H33" s="36">
        <f t="shared" ref="H33:AC33" si="5">+H31-H32</f>
        <v>-453.62299999999999</v>
      </c>
      <c r="I33" s="36">
        <f t="shared" si="5"/>
        <v>-422.52821037408069</v>
      </c>
      <c r="J33" s="36">
        <f t="shared" si="5"/>
        <v>-75.230504947177167</v>
      </c>
      <c r="K33" s="36">
        <f t="shared" si="5"/>
        <v>119.36017213707476</v>
      </c>
      <c r="L33" s="36">
        <f t="shared" si="5"/>
        <v>291.14266918287808</v>
      </c>
      <c r="M33" s="36">
        <f t="shared" si="5"/>
        <v>326.26536975960789</v>
      </c>
      <c r="N33" s="36">
        <f t="shared" si="5"/>
        <v>291.45718972115912</v>
      </c>
      <c r="O33" s="36">
        <f t="shared" si="5"/>
        <v>322.80753805181746</v>
      </c>
      <c r="P33" s="36">
        <f t="shared" si="5"/>
        <v>227.45718972115912</v>
      </c>
      <c r="Q33" s="36">
        <f t="shared" si="5"/>
        <v>216.30626995185116</v>
      </c>
      <c r="R33" s="36">
        <f t="shared" si="5"/>
        <v>278.53899010564567</v>
      </c>
      <c r="S33" s="36">
        <f t="shared" si="5"/>
        <v>317.46226212102511</v>
      </c>
      <c r="T33" s="36">
        <f t="shared" si="5"/>
        <v>251.14774158274406</v>
      </c>
      <c r="U33" s="36">
        <f t="shared" si="5"/>
        <v>262.61064569040013</v>
      </c>
      <c r="V33" s="36">
        <f t="shared" si="5"/>
        <v>307.99935801336881</v>
      </c>
      <c r="W33" s="36">
        <f t="shared" si="5"/>
        <v>289.88426603643802</v>
      </c>
      <c r="X33" s="36">
        <f t="shared" si="5"/>
        <v>219.13506058307917</v>
      </c>
      <c r="Y33" s="36">
        <f t="shared" si="5"/>
        <v>158.00221520661745</v>
      </c>
      <c r="Z33" s="36">
        <f t="shared" si="5"/>
        <v>131.65186687595906</v>
      </c>
      <c r="AA33" s="36">
        <f t="shared" si="5"/>
        <v>127.92041482213091</v>
      </c>
      <c r="AB33" s="36">
        <f t="shared" si="5"/>
        <v>641.16231679571069</v>
      </c>
      <c r="AC33" s="36">
        <f t="shared" si="5"/>
        <v>39</v>
      </c>
    </row>
    <row r="35" spans="4:29" x14ac:dyDescent="0.2">
      <c r="G35">
        <f>+G33/(1+$D$36)^J13</f>
        <v>-193.63636363636363</v>
      </c>
      <c r="H35">
        <f>+H33/(1+$D$36)^K13</f>
        <v>-374.895041322314</v>
      </c>
      <c r="I35">
        <f>+I33/(1+$D$36)^L13</f>
        <v>-317.4516982525023</v>
      </c>
      <c r="J35">
        <f>+J33/(1+$D$36)^M13</f>
        <v>-51.383447132830504</v>
      </c>
      <c r="K35">
        <f>+K33/(1+$D$36)^N13</f>
        <v>74.113276003920944</v>
      </c>
      <c r="L35">
        <f>+L33/(1+$D$36)^O13</f>
        <v>164.34244668000591</v>
      </c>
      <c r="M35">
        <f>+M33/(1+$D$36)^P13</f>
        <v>167.42572318968601</v>
      </c>
      <c r="N35">
        <f>+N33/(1+$D$36)^Q13</f>
        <v>135.96693002010912</v>
      </c>
      <c r="O35">
        <f>+O33/(1+$D$36)^R13</f>
        <v>136.901908080461</v>
      </c>
      <c r="P35">
        <f>+P33/(1+$D$36)^S13</f>
        <v>87.694593129492702</v>
      </c>
      <c r="Q35">
        <f>+Q33/(1+$D$36)^T13</f>
        <v>75.814028037699003</v>
      </c>
      <c r="R35">
        <f>+R33/(1+$D$36)^U13</f>
        <v>88.751106181578791</v>
      </c>
      <c r="S35">
        <f>+S33/(1+$D$36)^V13</f>
        <v>91.957509247092531</v>
      </c>
      <c r="T35">
        <f>+T33/(1+$D$36)^W13</f>
        <v>66.135049807123181</v>
      </c>
      <c r="U35">
        <f>+U33/(1+$D$36)^X13</f>
        <v>62.866900657984147</v>
      </c>
      <c r="V35">
        <f>+V33/(1+$D$36)^Y13</f>
        <v>67.029634108370018</v>
      </c>
      <c r="W35">
        <f>+W33/(1+$D$36)^Z13</f>
        <v>57.352056633337739</v>
      </c>
      <c r="X35">
        <f>+X33/(1+$D$36)^AA13</f>
        <v>39.413366823154838</v>
      </c>
      <c r="Y35">
        <f>+Y33/(1+$D$36)^19</f>
        <v>25.834624754579423</v>
      </c>
      <c r="Z35">
        <f>+Z33/(1+$D$36)^20</f>
        <v>19.569211128594116</v>
      </c>
      <c r="AA35">
        <f>+AA33/(1+$D$36)^21</f>
        <v>17.285958688649959</v>
      </c>
      <c r="AB35">
        <f>+AB33/(1+$D$36)^24</f>
        <v>65.094387624397001</v>
      </c>
      <c r="AC35">
        <f>+AC33/(1+$D$36)^36.5</f>
        <v>1.2029057441666267</v>
      </c>
    </row>
    <row r="36" spans="4:29" x14ac:dyDescent="0.2">
      <c r="D36" s="37">
        <v>0.1</v>
      </c>
      <c r="E36" t="s">
        <v>88</v>
      </c>
      <c r="F36">
        <f>SUM(G35:AC35)</f>
        <v>507.38506619639259</v>
      </c>
    </row>
    <row r="37" spans="4:29" x14ac:dyDescent="0.2">
      <c r="F37" s="13"/>
      <c r="G37" s="19"/>
    </row>
    <row r="38" spans="4:29" x14ac:dyDescent="0.2">
      <c r="F38" s="19"/>
    </row>
  </sheetData>
  <hyperlinks>
    <hyperlink ref="S1" r:id="rId1" xr:uid="{14A77A64-166C-8248-9697-3A1524ADF63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Projects --&gt; </vt:lpstr>
      <vt:lpstr>Santa Cruz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2025-10-19T04:16:02Z</dcterms:created>
  <dcterms:modified xsi:type="dcterms:W3CDTF">2025-10-20T02:35:53Z</dcterms:modified>
</cp:coreProperties>
</file>