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C13387BD-AFFC-4942-BA8B-38DB4CC86F84}" xr6:coauthVersionLast="47" xr6:coauthVersionMax="47" xr10:uidLastSave="{00000000-0000-0000-0000-000000000000}"/>
  <bookViews>
    <workbookView xWindow="13080" yWindow="660" windowWidth="31560" windowHeight="24380" xr2:uid="{5E11661E-A77E-1640-8F75-A4797723CAFF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3" i="2" l="1"/>
  <c r="AL6" i="2"/>
  <c r="AM6" i="2" s="1"/>
  <c r="AN6" i="2" s="1"/>
  <c r="AO6" i="2" s="1"/>
  <c r="AP6" i="2" s="1"/>
  <c r="AQ6" i="2" s="1"/>
  <c r="AR6" i="2" s="1"/>
  <c r="AK6" i="2"/>
  <c r="AK5" i="2"/>
  <c r="AL5" i="2" s="1"/>
  <c r="AM5" i="2" s="1"/>
  <c r="AN5" i="2" s="1"/>
  <c r="AO5" i="2" s="1"/>
  <c r="AP5" i="2" s="1"/>
  <c r="AQ5" i="2" s="1"/>
  <c r="AR5" i="2" s="1"/>
  <c r="AK4" i="2"/>
  <c r="AL4" i="2" s="1"/>
  <c r="AM4" i="2" s="1"/>
  <c r="AN4" i="2" s="1"/>
  <c r="AO4" i="2" s="1"/>
  <c r="AP4" i="2" s="1"/>
  <c r="AQ4" i="2" s="1"/>
  <c r="AR4" i="2" s="1"/>
  <c r="AK3" i="2"/>
  <c r="AL3" i="2" s="1"/>
  <c r="AM3" i="2" s="1"/>
  <c r="AN3" i="2" s="1"/>
  <c r="AO3" i="2" s="1"/>
  <c r="AP3" i="2" s="1"/>
  <c r="AQ3" i="2" s="1"/>
  <c r="AR3" i="2" s="1"/>
  <c r="L36" i="2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K9" i="1"/>
  <c r="K8" i="1"/>
  <c r="M18" i="2"/>
  <c r="N18" i="2" s="1"/>
  <c r="M6" i="2"/>
  <c r="M24" i="2" s="1"/>
  <c r="M5" i="2"/>
  <c r="M23" i="2" s="1"/>
  <c r="M4" i="2"/>
  <c r="M22" i="2" s="1"/>
  <c r="M3" i="2"/>
  <c r="M21" i="2" s="1"/>
  <c r="G105" i="2"/>
  <c r="J109" i="2"/>
  <c r="I109" i="2"/>
  <c r="G109" i="2"/>
  <c r="F109" i="2"/>
  <c r="E109" i="2"/>
  <c r="D109" i="2"/>
  <c r="C109" i="2"/>
  <c r="H100" i="2"/>
  <c r="H93" i="2"/>
  <c r="H87" i="2"/>
  <c r="H109" i="2" s="1"/>
  <c r="L87" i="2"/>
  <c r="L109" i="2" s="1"/>
  <c r="L100" i="2"/>
  <c r="K93" i="2"/>
  <c r="L93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F70" i="2"/>
  <c r="F69" i="2"/>
  <c r="J70" i="2"/>
  <c r="J69" i="2"/>
  <c r="E67" i="2"/>
  <c r="E68" i="2" s="1"/>
  <c r="E71" i="2"/>
  <c r="F67" i="2"/>
  <c r="F68" i="2" s="1"/>
  <c r="C67" i="2"/>
  <c r="C68" i="2" s="1"/>
  <c r="D67" i="2"/>
  <c r="D68" i="2" s="1"/>
  <c r="G67" i="2"/>
  <c r="G68" i="2" s="1"/>
  <c r="H67" i="2"/>
  <c r="H68" i="2" s="1"/>
  <c r="I67" i="2"/>
  <c r="I68" i="2" s="1"/>
  <c r="J67" i="2"/>
  <c r="J68" i="2" s="1"/>
  <c r="C71" i="2"/>
  <c r="D71" i="2"/>
  <c r="G71" i="2"/>
  <c r="H71" i="2"/>
  <c r="I71" i="2"/>
  <c r="L71" i="2"/>
  <c r="L67" i="2"/>
  <c r="L68" i="2" s="1"/>
  <c r="D60" i="2"/>
  <c r="C58" i="2"/>
  <c r="C57" i="2"/>
  <c r="C53" i="2"/>
  <c r="C55" i="2" s="1"/>
  <c r="C43" i="2"/>
  <c r="E60" i="2"/>
  <c r="D58" i="2"/>
  <c r="D57" i="2"/>
  <c r="D53" i="2"/>
  <c r="D55" i="2" s="1"/>
  <c r="D43" i="2"/>
  <c r="F60" i="2"/>
  <c r="E58" i="2"/>
  <c r="E57" i="2"/>
  <c r="E53" i="2"/>
  <c r="E55" i="2" s="1"/>
  <c r="E43" i="2"/>
  <c r="L60" i="2"/>
  <c r="L58" i="2"/>
  <c r="L57" i="2"/>
  <c r="L53" i="2"/>
  <c r="L55" i="2" s="1"/>
  <c r="L43" i="2"/>
  <c r="K71" i="2"/>
  <c r="K67" i="2"/>
  <c r="K68" i="2" s="1"/>
  <c r="L24" i="2"/>
  <c r="L23" i="2"/>
  <c r="L22" i="2"/>
  <c r="L21" i="2"/>
  <c r="L7" i="2"/>
  <c r="L12" i="2" s="1"/>
  <c r="L15" i="2" s="1"/>
  <c r="L17" i="2" s="1"/>
  <c r="L19" i="2" s="1"/>
  <c r="J60" i="2"/>
  <c r="I60" i="2"/>
  <c r="H60" i="2"/>
  <c r="G60" i="2"/>
  <c r="K60" i="2"/>
  <c r="J58" i="2"/>
  <c r="I58" i="2"/>
  <c r="H58" i="2"/>
  <c r="G58" i="2"/>
  <c r="F58" i="2"/>
  <c r="K58" i="2"/>
  <c r="J57" i="2"/>
  <c r="I57" i="2"/>
  <c r="H57" i="2"/>
  <c r="G57" i="2"/>
  <c r="F57" i="2"/>
  <c r="K57" i="2"/>
  <c r="G53" i="2"/>
  <c r="G55" i="2" s="1"/>
  <c r="G43" i="2"/>
  <c r="H53" i="2"/>
  <c r="H55" i="2" s="1"/>
  <c r="H43" i="2"/>
  <c r="F53" i="2"/>
  <c r="F55" i="2" s="1"/>
  <c r="F43" i="2"/>
  <c r="I53" i="2"/>
  <c r="I55" i="2" s="1"/>
  <c r="I43" i="2"/>
  <c r="K100" i="2"/>
  <c r="K87" i="2"/>
  <c r="K109" i="2" s="1"/>
  <c r="J53" i="2"/>
  <c r="J55" i="2" s="1"/>
  <c r="J43" i="2"/>
  <c r="K53" i="2"/>
  <c r="K55" i="2" s="1"/>
  <c r="K43" i="2"/>
  <c r="AV24" i="2"/>
  <c r="AV22" i="2"/>
  <c r="C7" i="2"/>
  <c r="C12" i="2" s="1"/>
  <c r="C15" i="2" s="1"/>
  <c r="C17" i="2" s="1"/>
  <c r="F18" i="2"/>
  <c r="F16" i="2"/>
  <c r="F14" i="2"/>
  <c r="F13" i="2"/>
  <c r="F11" i="2"/>
  <c r="F10" i="2"/>
  <c r="F9" i="2"/>
  <c r="F8" i="2"/>
  <c r="F6" i="2"/>
  <c r="F5" i="2"/>
  <c r="F4" i="2"/>
  <c r="F3" i="2"/>
  <c r="J18" i="2"/>
  <c r="J16" i="2"/>
  <c r="J14" i="2"/>
  <c r="J13" i="2"/>
  <c r="J11" i="2"/>
  <c r="J10" i="2"/>
  <c r="J9" i="2"/>
  <c r="J8" i="2"/>
  <c r="D7" i="2"/>
  <c r="D12" i="2" s="1"/>
  <c r="D15" i="2" s="1"/>
  <c r="D17" i="2" s="1"/>
  <c r="D19" i="2" s="1"/>
  <c r="H24" i="2"/>
  <c r="H23" i="2"/>
  <c r="H22" i="2"/>
  <c r="H21" i="2"/>
  <c r="G24" i="2"/>
  <c r="G23" i="2"/>
  <c r="G22" i="2"/>
  <c r="G21" i="2"/>
  <c r="I24" i="2"/>
  <c r="I23" i="2"/>
  <c r="I22" i="2"/>
  <c r="I21" i="2"/>
  <c r="E7" i="2"/>
  <c r="E12" i="2" s="1"/>
  <c r="E15" i="2" s="1"/>
  <c r="E17" i="2" s="1"/>
  <c r="E19" i="2" s="1"/>
  <c r="J6" i="2"/>
  <c r="N6" i="2" s="1"/>
  <c r="N24" i="2" s="1"/>
  <c r="J4" i="2"/>
  <c r="N4" i="2" s="1"/>
  <c r="J5" i="2"/>
  <c r="N5" i="2" s="1"/>
  <c r="N23" i="2" s="1"/>
  <c r="J3" i="2"/>
  <c r="N3" i="2" s="1"/>
  <c r="AG24" i="2"/>
  <c r="AG23" i="2"/>
  <c r="AG22" i="2"/>
  <c r="AG21" i="2"/>
  <c r="AH22" i="2"/>
  <c r="AH23" i="2"/>
  <c r="AH24" i="2"/>
  <c r="AH21" i="2"/>
  <c r="AG7" i="2"/>
  <c r="AG31" i="2" s="1"/>
  <c r="AF7" i="2"/>
  <c r="AF12" i="2" s="1"/>
  <c r="AF15" i="2" s="1"/>
  <c r="AF17" i="2" s="1"/>
  <c r="AF19" i="2" s="1"/>
  <c r="AH7" i="2"/>
  <c r="AH34" i="2" s="1"/>
  <c r="K24" i="2"/>
  <c r="K23" i="2"/>
  <c r="K22" i="2"/>
  <c r="K21" i="2"/>
  <c r="G7" i="2"/>
  <c r="G12" i="2" s="1"/>
  <c r="G15" i="2" s="1"/>
  <c r="G17" i="2" s="1"/>
  <c r="G19" i="2" s="1"/>
  <c r="I7" i="2"/>
  <c r="I12" i="2" s="1"/>
  <c r="I15" i="2" s="1"/>
  <c r="I17" i="2" s="1"/>
  <c r="I19" i="2" s="1"/>
  <c r="H7" i="2"/>
  <c r="H12" i="2" s="1"/>
  <c r="H15" i="2" s="1"/>
  <c r="H17" i="2" s="1"/>
  <c r="H19" i="2" s="1"/>
  <c r="K7" i="2"/>
  <c r="K34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K7" i="1"/>
  <c r="C28" i="2" l="1"/>
  <c r="H28" i="2"/>
  <c r="G28" i="2"/>
  <c r="AH28" i="2"/>
  <c r="K28" i="2"/>
  <c r="AI4" i="2"/>
  <c r="AJ4" i="2" s="1"/>
  <c r="N22" i="2"/>
  <c r="N7" i="2"/>
  <c r="AI3" i="2"/>
  <c r="AJ3" i="2" s="1"/>
  <c r="N21" i="2"/>
  <c r="E28" i="2"/>
  <c r="AF28" i="2"/>
  <c r="M7" i="2"/>
  <c r="AG28" i="2"/>
  <c r="I28" i="2"/>
  <c r="AI5" i="2"/>
  <c r="AJ5" i="2" s="1"/>
  <c r="AI6" i="2"/>
  <c r="AJ6" i="2" s="1"/>
  <c r="D28" i="2"/>
  <c r="L28" i="2"/>
  <c r="K103" i="2"/>
  <c r="K105" i="2" s="1"/>
  <c r="K10" i="1"/>
  <c r="H103" i="2"/>
  <c r="H105" i="2" s="1"/>
  <c r="L103" i="2"/>
  <c r="L105" i="2" s="1"/>
  <c r="AF25" i="2"/>
  <c r="AH25" i="2"/>
  <c r="AG25" i="2"/>
  <c r="D59" i="2"/>
  <c r="J71" i="2"/>
  <c r="F71" i="2"/>
  <c r="I59" i="2"/>
  <c r="E59" i="2"/>
  <c r="C59" i="2"/>
  <c r="L59" i="2"/>
  <c r="K59" i="2"/>
  <c r="F59" i="2"/>
  <c r="H59" i="2"/>
  <c r="G59" i="2"/>
  <c r="J59" i="2"/>
  <c r="L25" i="2"/>
  <c r="L31" i="2"/>
  <c r="L32" i="2"/>
  <c r="L33" i="2"/>
  <c r="L34" i="2"/>
  <c r="L29" i="2"/>
  <c r="E31" i="2"/>
  <c r="E32" i="2"/>
  <c r="E33" i="2"/>
  <c r="E34" i="2"/>
  <c r="AG32" i="2"/>
  <c r="C29" i="2"/>
  <c r="AG33" i="2"/>
  <c r="D29" i="2"/>
  <c r="G31" i="2"/>
  <c r="G32" i="2"/>
  <c r="G33" i="2"/>
  <c r="G34" i="2"/>
  <c r="AG34" i="2"/>
  <c r="E29" i="2"/>
  <c r="C31" i="2"/>
  <c r="H31" i="2"/>
  <c r="H32" i="2"/>
  <c r="H33" i="2"/>
  <c r="H34" i="2"/>
  <c r="AH31" i="2"/>
  <c r="K25" i="2"/>
  <c r="C32" i="2"/>
  <c r="I31" i="2"/>
  <c r="I32" i="2"/>
  <c r="I33" i="2"/>
  <c r="I34" i="2"/>
  <c r="AH32" i="2"/>
  <c r="G29" i="2"/>
  <c r="C33" i="2"/>
  <c r="AH33" i="2"/>
  <c r="H29" i="2"/>
  <c r="C34" i="2"/>
  <c r="K31" i="2"/>
  <c r="K32" i="2"/>
  <c r="K33" i="2"/>
  <c r="I29" i="2"/>
  <c r="D31" i="2"/>
  <c r="D32" i="2"/>
  <c r="D33" i="2"/>
  <c r="D34" i="2"/>
  <c r="J21" i="2"/>
  <c r="I25" i="2"/>
  <c r="G25" i="2"/>
  <c r="C19" i="2"/>
  <c r="J23" i="2"/>
  <c r="J24" i="2"/>
  <c r="J22" i="2"/>
  <c r="F7" i="2"/>
  <c r="H25" i="2"/>
  <c r="J7" i="2"/>
  <c r="AH12" i="2"/>
  <c r="AH29" i="2" s="1"/>
  <c r="AG12" i="2"/>
  <c r="AG29" i="2" s="1"/>
  <c r="K12" i="2"/>
  <c r="M8" i="2" l="1"/>
  <c r="M10" i="2"/>
  <c r="M25" i="2"/>
  <c r="M9" i="2"/>
  <c r="M28" i="2"/>
  <c r="M11" i="2"/>
  <c r="AI7" i="2"/>
  <c r="N25" i="2"/>
  <c r="J33" i="2"/>
  <c r="J28" i="2"/>
  <c r="F31" i="2"/>
  <c r="F28" i="2"/>
  <c r="F34" i="2"/>
  <c r="F33" i="2"/>
  <c r="J32" i="2"/>
  <c r="F32" i="2"/>
  <c r="K15" i="2"/>
  <c r="K29" i="2"/>
  <c r="J34" i="2"/>
  <c r="J31" i="2"/>
  <c r="AJ7" i="2"/>
  <c r="AG15" i="2"/>
  <c r="F12" i="2"/>
  <c r="F29" i="2" s="1"/>
  <c r="AH15" i="2"/>
  <c r="J12" i="2"/>
  <c r="J29" i="2" s="1"/>
  <c r="J25" i="2"/>
  <c r="N11" i="2" l="1"/>
  <c r="AI11" i="2"/>
  <c r="AJ11" i="2" s="1"/>
  <c r="AJ34" i="2" s="1"/>
  <c r="N9" i="2"/>
  <c r="AI9" i="2"/>
  <c r="AJ9" i="2"/>
  <c r="AJ32" i="2" s="1"/>
  <c r="N10" i="2"/>
  <c r="AI10" i="2" s="1"/>
  <c r="AJ10" i="2" s="1"/>
  <c r="AJ33" i="2" s="1"/>
  <c r="K17" i="2"/>
  <c r="K19" i="2" s="1"/>
  <c r="N8" i="2"/>
  <c r="M12" i="2"/>
  <c r="AI25" i="2"/>
  <c r="AI34" i="2"/>
  <c r="AI32" i="2"/>
  <c r="AK7" i="2"/>
  <c r="AJ25" i="2"/>
  <c r="AL7" i="2"/>
  <c r="AH17" i="2"/>
  <c r="J15" i="2"/>
  <c r="AG17" i="2"/>
  <c r="F15" i="2"/>
  <c r="N12" i="2" l="1"/>
  <c r="N28" i="2"/>
  <c r="AI33" i="2"/>
  <c r="M14" i="2"/>
  <c r="N14" i="2" s="1"/>
  <c r="AI14" i="2" s="1"/>
  <c r="M13" i="2"/>
  <c r="M29" i="2"/>
  <c r="AK9" i="2"/>
  <c r="AK32" i="2" s="1"/>
  <c r="AK11" i="2"/>
  <c r="AK34" i="2" s="1"/>
  <c r="AK10" i="2"/>
  <c r="AK33" i="2" s="1"/>
  <c r="AI8" i="2"/>
  <c r="AI28" i="2" s="1"/>
  <c r="AK25" i="2"/>
  <c r="AM7" i="2"/>
  <c r="AG19" i="2"/>
  <c r="F19" i="2" s="1"/>
  <c r="F17" i="2"/>
  <c r="AH19" i="2"/>
  <c r="J19" i="2" s="1"/>
  <c r="J17" i="2"/>
  <c r="AL11" i="2" l="1"/>
  <c r="AM11" i="2"/>
  <c r="AL34" i="2"/>
  <c r="AI12" i="2"/>
  <c r="AI29" i="2" s="1"/>
  <c r="AI31" i="2"/>
  <c r="AJ8" i="2"/>
  <c r="AL10" i="2"/>
  <c r="M15" i="2"/>
  <c r="AL9" i="2"/>
  <c r="N29" i="2"/>
  <c r="N13" i="2"/>
  <c r="AI13" i="2" s="1"/>
  <c r="AL25" i="2"/>
  <c r="AN7" i="2"/>
  <c r="N15" i="2" l="1"/>
  <c r="AJ31" i="2"/>
  <c r="AJ28" i="2"/>
  <c r="AJ12" i="2"/>
  <c r="AK8" i="2"/>
  <c r="AM9" i="2"/>
  <c r="AL32" i="2"/>
  <c r="M16" i="2"/>
  <c r="AI15" i="2"/>
  <c r="AM10" i="2"/>
  <c r="AL33" i="2"/>
  <c r="AN11" i="2"/>
  <c r="AM34" i="2"/>
  <c r="AM25" i="2"/>
  <c r="AO7" i="2"/>
  <c r="AN10" i="2" l="1"/>
  <c r="AM33" i="2"/>
  <c r="AN9" i="2"/>
  <c r="AM32" i="2"/>
  <c r="AK31" i="2"/>
  <c r="AK12" i="2"/>
  <c r="AK29" i="2" s="1"/>
  <c r="AL8" i="2"/>
  <c r="AK28" i="2"/>
  <c r="AJ29" i="2"/>
  <c r="AJ14" i="2"/>
  <c r="N16" i="2"/>
  <c r="N17" i="2" s="1"/>
  <c r="N19" i="2" s="1"/>
  <c r="M17" i="2"/>
  <c r="M19" i="2" s="1"/>
  <c r="AO11" i="2"/>
  <c r="AN34" i="2"/>
  <c r="AJ13" i="2"/>
  <c r="AK13" i="2" s="1"/>
  <c r="AN25" i="2"/>
  <c r="AP7" i="2"/>
  <c r="AI19" i="2" l="1"/>
  <c r="AK14" i="2"/>
  <c r="AO9" i="2"/>
  <c r="AN32" i="2"/>
  <c r="AK15" i="2"/>
  <c r="AO10" i="2"/>
  <c r="AN33" i="2"/>
  <c r="AM8" i="2"/>
  <c r="AL31" i="2"/>
  <c r="AL28" i="2"/>
  <c r="AL12" i="2"/>
  <c r="AL29" i="2" s="1"/>
  <c r="AP11" i="2"/>
  <c r="AO34" i="2"/>
  <c r="AI16" i="2"/>
  <c r="AI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J15" i="2"/>
  <c r="AO25" i="2"/>
  <c r="AR7" i="2"/>
  <c r="AQ7" i="2"/>
  <c r="AJ16" i="2" l="1"/>
  <c r="AJ17" i="2" s="1"/>
  <c r="AJ19" i="2" s="1"/>
  <c r="AL13" i="2"/>
  <c r="AM31" i="2"/>
  <c r="AM28" i="2"/>
  <c r="AM12" i="2"/>
  <c r="AM29" i="2" s="1"/>
  <c r="AN8" i="2"/>
  <c r="AQ11" i="2"/>
  <c r="AP34" i="2"/>
  <c r="AL14" i="2"/>
  <c r="AP10" i="2"/>
  <c r="AO33" i="2"/>
  <c r="AP9" i="2"/>
  <c r="AO32" i="2"/>
  <c r="AP25" i="2"/>
  <c r="AK16" i="2" l="1"/>
  <c r="AK17" i="2" s="1"/>
  <c r="AK19" i="2" s="1"/>
  <c r="AM13" i="2"/>
  <c r="AN31" i="2"/>
  <c r="AN28" i="2"/>
  <c r="AN12" i="2"/>
  <c r="AN29" i="2" s="1"/>
  <c r="AO8" i="2"/>
  <c r="AQ10" i="2"/>
  <c r="AP33" i="2"/>
  <c r="AR11" i="2"/>
  <c r="AR34" i="2" s="1"/>
  <c r="AQ34" i="2"/>
  <c r="AM14" i="2"/>
  <c r="AQ9" i="2"/>
  <c r="AP32" i="2"/>
  <c r="AL15" i="2"/>
  <c r="AL16" i="2" s="1"/>
  <c r="AL17" i="2" s="1"/>
  <c r="AL19" i="2" s="1"/>
  <c r="AQ25" i="2"/>
  <c r="AM15" i="2" l="1"/>
  <c r="AM16" i="2" s="1"/>
  <c r="AM17" i="2" s="1"/>
  <c r="AM19" i="2" s="1"/>
  <c r="AR9" i="2"/>
  <c r="AR32" i="2" s="1"/>
  <c r="AQ32" i="2"/>
  <c r="AR10" i="2"/>
  <c r="AR33" i="2" s="1"/>
  <c r="AQ33" i="2"/>
  <c r="AO31" i="2"/>
  <c r="AO28" i="2"/>
  <c r="AO12" i="2"/>
  <c r="AO29" i="2" s="1"/>
  <c r="AP8" i="2"/>
  <c r="AN14" i="2"/>
  <c r="AN13" i="2"/>
  <c r="AR25" i="2"/>
  <c r="AP31" i="2" l="1"/>
  <c r="AP28" i="2"/>
  <c r="AP12" i="2"/>
  <c r="AP29" i="2" s="1"/>
  <c r="AQ8" i="2"/>
  <c r="AO13" i="2"/>
  <c r="AN15" i="2"/>
  <c r="AN16" i="2" s="1"/>
  <c r="AO14" i="2"/>
  <c r="AP13" i="2" l="1"/>
  <c r="AP14" i="2"/>
  <c r="AO15" i="2"/>
  <c r="AO16" i="2" s="1"/>
  <c r="AQ31" i="2"/>
  <c r="AQ28" i="2"/>
  <c r="AR8" i="2"/>
  <c r="AQ12" i="2"/>
  <c r="AQ29" i="2" s="1"/>
  <c r="AN17" i="2"/>
  <c r="AN19" i="2" s="1"/>
  <c r="AP15" i="2" l="1"/>
  <c r="AP16" i="2" s="1"/>
  <c r="AP17" i="2" s="1"/>
  <c r="AP19" i="2" s="1"/>
  <c r="AO17" i="2"/>
  <c r="AO19" i="2" s="1"/>
  <c r="AQ13" i="2"/>
  <c r="AR12" i="2"/>
  <c r="AR31" i="2"/>
  <c r="AR28" i="2"/>
  <c r="AQ14" i="2"/>
  <c r="AR14" i="2" l="1"/>
  <c r="AR29" i="2"/>
  <c r="AR13" i="2"/>
  <c r="AR15" i="2" s="1"/>
  <c r="AQ15" i="2"/>
  <c r="AQ16" i="2" s="1"/>
  <c r="AQ17" i="2" l="1"/>
  <c r="AQ19" i="2" s="1"/>
  <c r="AR16" i="2"/>
  <c r="AR17" i="2" s="1"/>
  <c r="AS17" i="2" l="1"/>
  <c r="AR19" i="2"/>
  <c r="AT17" i="2" l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FI17" i="2" s="1"/>
  <c r="FJ17" i="2" s="1"/>
  <c r="FK17" i="2" s="1"/>
  <c r="FL17" i="2" s="1"/>
  <c r="FM17" i="2" s="1"/>
  <c r="FN17" i="2" s="1"/>
  <c r="FO17" i="2" s="1"/>
  <c r="FP17" i="2" s="1"/>
  <c r="FQ17" i="2" s="1"/>
  <c r="FR17" i="2" s="1"/>
  <c r="FS17" i="2" s="1"/>
  <c r="FT17" i="2" s="1"/>
  <c r="FU17" i="2" s="1"/>
  <c r="FV17" i="2" s="1"/>
  <c r="FW17" i="2" s="1"/>
  <c r="FX17" i="2" s="1"/>
  <c r="FY17" i="2" s="1"/>
  <c r="FZ17" i="2" s="1"/>
  <c r="GA17" i="2" s="1"/>
  <c r="GB17" i="2" s="1"/>
  <c r="GC17" i="2" s="1"/>
  <c r="GD17" i="2" s="1"/>
  <c r="GE17" i="2" s="1"/>
  <c r="GF17" i="2" s="1"/>
  <c r="GG17" i="2" s="1"/>
  <c r="GH17" i="2" s="1"/>
  <c r="GI17" i="2" s="1"/>
  <c r="GJ17" i="2" s="1"/>
  <c r="GK17" i="2" s="1"/>
  <c r="GL17" i="2" s="1"/>
  <c r="GM17" i="2" s="1"/>
  <c r="GN17" i="2" s="1"/>
  <c r="GO17" i="2" s="1"/>
  <c r="GP17" i="2" s="1"/>
  <c r="GQ17" i="2" s="1"/>
  <c r="GR17" i="2" s="1"/>
  <c r="GS17" i="2" s="1"/>
  <c r="GT17" i="2" s="1"/>
  <c r="GU17" i="2" s="1"/>
  <c r="GV17" i="2" s="1"/>
  <c r="GW17" i="2" s="1"/>
  <c r="GX17" i="2" s="1"/>
  <c r="GY17" i="2" s="1"/>
  <c r="GZ17" i="2" s="1"/>
  <c r="HA17" i="2" s="1"/>
  <c r="HB17" i="2" s="1"/>
  <c r="HC17" i="2" s="1"/>
  <c r="HD17" i="2" s="1"/>
  <c r="HE17" i="2" s="1"/>
  <c r="HF17" i="2" s="1"/>
  <c r="HG17" i="2" s="1"/>
  <c r="HH17" i="2" s="1"/>
  <c r="HI17" i="2" s="1"/>
  <c r="HJ17" i="2" s="1"/>
  <c r="HK17" i="2" s="1"/>
  <c r="HL17" i="2" s="1"/>
  <c r="HM17" i="2" s="1"/>
  <c r="HN17" i="2" s="1"/>
  <c r="HO17" i="2" s="1"/>
  <c r="HP17" i="2" s="1"/>
  <c r="HQ17" i="2" s="1"/>
  <c r="HR17" i="2" s="1"/>
  <c r="HS17" i="2" s="1"/>
  <c r="HT17" i="2" s="1"/>
  <c r="HU17" i="2" s="1"/>
  <c r="HV17" i="2" s="1"/>
  <c r="HW17" i="2" s="1"/>
  <c r="HX17" i="2" s="1"/>
  <c r="HY17" i="2" s="1"/>
  <c r="HZ17" i="2" s="1"/>
  <c r="IA17" i="2" s="1"/>
  <c r="IB17" i="2" s="1"/>
  <c r="IC17" i="2" s="1"/>
  <c r="ID17" i="2" s="1"/>
  <c r="IE17" i="2" s="1"/>
  <c r="IF17" i="2" s="1"/>
  <c r="IG17" i="2" s="1"/>
  <c r="IH17" i="2" s="1"/>
  <c r="II17" i="2" s="1"/>
  <c r="IJ17" i="2" s="1"/>
  <c r="IK17" i="2" s="1"/>
  <c r="AV21" i="2" l="1"/>
  <c r="AV23" i="2" s="1"/>
  <c r="AV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M28" authorId="0" shapeId="0" xr:uid="{4F100122-5F2B-294A-9C52-7570AE65831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expecting higher content </t>
        </r>
      </text>
    </comment>
    <comment ref="N28" authorId="0" shapeId="0" xr:uid="{DC98FA6E-A516-9A49-9235-C1094CE00189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exepcting higher content amortization</t>
        </r>
      </text>
    </comment>
  </commentList>
</comments>
</file>

<file path=xl/sharedStrings.xml><?xml version="1.0" encoding="utf-8"?>
<sst xmlns="http://schemas.openxmlformats.org/spreadsheetml/2006/main" count="186" uniqueCount="155">
  <si>
    <t>P</t>
  </si>
  <si>
    <t>S</t>
  </si>
  <si>
    <t>MC</t>
  </si>
  <si>
    <t>C</t>
  </si>
  <si>
    <t>D</t>
  </si>
  <si>
    <t>EV</t>
  </si>
  <si>
    <t>Q125</t>
  </si>
  <si>
    <t xml:space="preserve">Founded </t>
  </si>
  <si>
    <t>Spencer Nuemann</t>
  </si>
  <si>
    <t>Q124</t>
  </si>
  <si>
    <t>Q224</t>
  </si>
  <si>
    <t>Q324</t>
  </si>
  <si>
    <t>Q424</t>
  </si>
  <si>
    <t>Q225</t>
  </si>
  <si>
    <t>Q325</t>
  </si>
  <si>
    <t>Q425</t>
  </si>
  <si>
    <t>UCAN</t>
  </si>
  <si>
    <t>EMEA</t>
  </si>
  <si>
    <t>LATAM</t>
  </si>
  <si>
    <t>APAC</t>
  </si>
  <si>
    <t xml:space="preserve">Total Revenue </t>
  </si>
  <si>
    <t>Q123</t>
  </si>
  <si>
    <t>Q223</t>
  </si>
  <si>
    <t>Q323</t>
  </si>
  <si>
    <t>Q423</t>
  </si>
  <si>
    <t>Growth Analysis  y/y</t>
  </si>
  <si>
    <t>S&amp;M</t>
  </si>
  <si>
    <t>T&amp;D</t>
  </si>
  <si>
    <t>G&amp;A</t>
  </si>
  <si>
    <t xml:space="preserve">Op Income </t>
  </si>
  <si>
    <t>Interest Exp</t>
  </si>
  <si>
    <t>Interest &amp; other income</t>
  </si>
  <si>
    <t>EBT</t>
  </si>
  <si>
    <t>Taxes</t>
  </si>
  <si>
    <t xml:space="preserve">Net Income </t>
  </si>
  <si>
    <t>Diluted</t>
  </si>
  <si>
    <t>EPS</t>
  </si>
  <si>
    <t>term</t>
  </si>
  <si>
    <t>disc</t>
  </si>
  <si>
    <t>NPV</t>
  </si>
  <si>
    <t>Shares</t>
  </si>
  <si>
    <t xml:space="preserve">Estimate </t>
  </si>
  <si>
    <t xml:space="preserve">Current </t>
  </si>
  <si>
    <t>OM%</t>
  </si>
  <si>
    <t>Q126</t>
  </si>
  <si>
    <t>Press release</t>
  </si>
  <si>
    <t xml:space="preserve">Cash </t>
  </si>
  <si>
    <t>Investments</t>
  </si>
  <si>
    <t>OCA</t>
  </si>
  <si>
    <t xml:space="preserve">Content assets </t>
  </si>
  <si>
    <t>PPE</t>
  </si>
  <si>
    <t>ONCA</t>
  </si>
  <si>
    <t xml:space="preserve">Total Assets </t>
  </si>
  <si>
    <t xml:space="preserve">Content Liabilities </t>
  </si>
  <si>
    <t>A/P</t>
  </si>
  <si>
    <t>Accrued Exp</t>
  </si>
  <si>
    <t>Deferred Rev</t>
  </si>
  <si>
    <t>Short Term Debt</t>
  </si>
  <si>
    <t>Non-Curr Content Liab</t>
  </si>
  <si>
    <t>LTD</t>
  </si>
  <si>
    <t>ONCL</t>
  </si>
  <si>
    <t xml:space="preserve">Total Liabilities </t>
  </si>
  <si>
    <t>Equity</t>
  </si>
  <si>
    <t xml:space="preserve">Total Liabilities + Equity </t>
  </si>
  <si>
    <t>Additions Content assets</t>
  </si>
  <si>
    <t>Change in content liabilities</t>
  </si>
  <si>
    <t>Amortization content liab</t>
  </si>
  <si>
    <t>D&amp;A</t>
  </si>
  <si>
    <t>SBC</t>
  </si>
  <si>
    <t>Fx</t>
  </si>
  <si>
    <t>Other Noncash items</t>
  </si>
  <si>
    <t>Deferred i/t</t>
  </si>
  <si>
    <t>Other non curr ass/liab</t>
  </si>
  <si>
    <t xml:space="preserve">CFFO </t>
  </si>
  <si>
    <t>Investment Buys</t>
  </si>
  <si>
    <t>Proceeds from Mat</t>
  </si>
  <si>
    <t>CFFI</t>
  </si>
  <si>
    <t>Debt Repayments</t>
  </si>
  <si>
    <t>Proceeds from stock issues</t>
  </si>
  <si>
    <t>Buybacks</t>
  </si>
  <si>
    <t>Taxes on equity rewards</t>
  </si>
  <si>
    <t xml:space="preserve">Other Financing activities </t>
  </si>
  <si>
    <t>CFFF</t>
  </si>
  <si>
    <t xml:space="preserve">Free Cash Flow </t>
  </si>
  <si>
    <t>News</t>
  </si>
  <si>
    <t>Contains</t>
  </si>
  <si>
    <t>Ellie Mertz BoD</t>
  </si>
  <si>
    <t>first two netflix houses: Dallas (Galleria mall), Philadelphia (Prussia mall)</t>
  </si>
  <si>
    <t xml:space="preserve">Netflix bites </t>
  </si>
  <si>
    <t xml:space="preserve">Total Cash </t>
  </si>
  <si>
    <t xml:space="preserve">Total Debt </t>
  </si>
  <si>
    <t xml:space="preserve">Net cash </t>
  </si>
  <si>
    <t xml:space="preserve">Change in Content Assets </t>
  </si>
  <si>
    <t>How product initiative can boost revenue?</t>
  </si>
  <si>
    <t>how can margin improve without new subs?</t>
  </si>
  <si>
    <t>how should features be prioritized?</t>
  </si>
  <si>
    <t xml:space="preserve">Licensed Content </t>
  </si>
  <si>
    <t>Released, Less Amortization</t>
  </si>
  <si>
    <t>In production</t>
  </si>
  <si>
    <t xml:space="preserve">Net Content Assets </t>
  </si>
  <si>
    <t>Produced Content</t>
  </si>
  <si>
    <t>Licensed Content</t>
  </si>
  <si>
    <t>Q226</t>
  </si>
  <si>
    <t>Q&amp;A Transcript</t>
  </si>
  <si>
    <t xml:space="preserve">Total </t>
  </si>
  <si>
    <t>In Development/pre-production</t>
  </si>
  <si>
    <t>% Licensed</t>
  </si>
  <si>
    <t xml:space="preserve">Other investing activities </t>
  </si>
  <si>
    <t>Cash Increase</t>
  </si>
  <si>
    <t>Cash @ Begin</t>
  </si>
  <si>
    <t xml:space="preserve">Cash @ End </t>
  </si>
  <si>
    <t xml:space="preserve">Ted Sarandos: led transition into original content production that began in 2023 with the launch of House of cards, Arrested Dev, Orange is the nes black </t>
  </si>
  <si>
    <t>Greg Peters</t>
  </si>
  <si>
    <t>Chief Content Officer</t>
  </si>
  <si>
    <t>Chief Executive Officer</t>
  </si>
  <si>
    <t>Chief Financial Officer</t>
  </si>
  <si>
    <t xml:space="preserve">Bela Bajaria </t>
  </si>
  <si>
    <t xml:space="preserve">VP, Inclusion Strategy </t>
  </si>
  <si>
    <t xml:space="preserve">Wade Davis </t>
  </si>
  <si>
    <t>Chief Talent Officer</t>
  </si>
  <si>
    <t xml:space="preserve">Sergio Ezama </t>
  </si>
  <si>
    <t>Maria Ferreras</t>
  </si>
  <si>
    <t xml:space="preserve">Head of Partnerships </t>
  </si>
  <si>
    <t>Chief Legal Officer</t>
  </si>
  <si>
    <t xml:space="preserve">David Hyman </t>
  </si>
  <si>
    <t>Eunice Kim</t>
  </si>
  <si>
    <t>Chief Product Officer</t>
  </si>
  <si>
    <t xml:space="preserve">VP, Content fort Asia </t>
  </si>
  <si>
    <t>Minyoung Kim</t>
  </si>
  <si>
    <t xml:space="preserve">Marian Lee </t>
  </si>
  <si>
    <t>Chief Marketing Officer</t>
  </si>
  <si>
    <t xml:space="preserve">Chairman Netflix Film </t>
  </si>
  <si>
    <t>Dan Lin</t>
  </si>
  <si>
    <t>VP, Finance/Stratg,commerce, studio, prod/games</t>
  </si>
  <si>
    <t xml:space="preserve">VP, Latin American Content </t>
  </si>
  <si>
    <t>Francisco Ramos</t>
  </si>
  <si>
    <t>Amy Reinhard</t>
  </si>
  <si>
    <t xml:space="preserve">Pres of Advertising </t>
  </si>
  <si>
    <t>Chief tech Officer</t>
  </si>
  <si>
    <t xml:space="preserve">Elizabeth Stone </t>
  </si>
  <si>
    <t>VP, Europe content, ME, Africa</t>
  </si>
  <si>
    <t>Larry Tanz</t>
  </si>
  <si>
    <t>President, Games</t>
  </si>
  <si>
    <t>Alain Tascan</t>
  </si>
  <si>
    <t>VP, Fin/IR/Cpr[Dev</t>
  </si>
  <si>
    <t>Chief Global Affairs</t>
  </si>
  <si>
    <t xml:space="preserve">Clete Willems </t>
  </si>
  <si>
    <t xml:space="preserve">Pablo Perez De Rosso </t>
  </si>
  <si>
    <t>Spencer Wang: Award winning ER analyst in Internet/Media sectors.  Asks thre questionsd during IR  cal l</t>
  </si>
  <si>
    <t>Co-Founder</t>
  </si>
  <si>
    <t>Reed Hastings</t>
  </si>
  <si>
    <t>GM%</t>
  </si>
  <si>
    <t xml:space="preserve">History </t>
  </si>
  <si>
    <t xml:space="preserve">% of Revenue </t>
  </si>
  <si>
    <t>how rev grow  vs arpu (ads, tiering, sharing crackdown)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</si>
</sst>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#,##0.0"/>
    <numFmt numFmtId="165" formatCode="[$-409]d\-mmm;@"/>
    <numFmt numFmtId="166" formatCode="#,##0.000"/>
    <numFmt numFmtId="167" formatCode="0.0"/>
    <numFmt numFmtId="168" formatCode="0.0%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1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8" fontId="0" fillId="0" borderId="0" xfId="0" applyNumberFormat="1"/>
    <xf numFmtId="9" fontId="0" fillId="0" borderId="0" xfId="1" applyFont="1"/>
    <xf numFmtId="3" fontId="4" fillId="0" borderId="0" xfId="2" applyNumberFormat="1"/>
    <xf numFmtId="3" fontId="0" fillId="0" borderId="0" xfId="0" applyNumberFormat="1" applyAlignment="1">
      <alignment horizontal="left"/>
    </xf>
    <xf numFmtId="14" fontId="4" fillId="0" borderId="0" xfId="2" applyNumberFormat="1" applyAlignment="1">
      <alignment horizontal="left"/>
    </xf>
    <xf numFmtId="3" fontId="5" fillId="0" borderId="0" xfId="0" applyNumberFormat="1" applyFont="1"/>
    <xf numFmtId="168" fontId="2" fillId="0" borderId="0" xfId="0" applyNumberFormat="1" applyFont="1"/>
    <xf numFmtId="3" fontId="0" fillId="0" borderId="1" xfId="0" applyNumberFormat="1" applyBorder="1"/>
    <xf numFmtId="164" fontId="6" fillId="0" borderId="0" xfId="0" applyNumberFormat="1" applyFont="1"/>
    <xf numFmtId="1" fontId="0" fillId="0" borderId="0" xfId="0" applyNumberFormat="1" applyAlignment="1">
      <alignment horizontal="center"/>
    </xf>
    <xf numFmtId="3" fontId="7" fillId="0" borderId="0" xfId="0" applyNumberFormat="1" applyFont="1"/>
    <xf numFmtId="3" fontId="0" fillId="0" borderId="0" xfId="1" applyNumberFormat="1" applyFont="1"/>
    <xf numFmtId="9" fontId="2" fillId="0" borderId="0" xfId="0" applyNumberFormat="1" applyFont="1"/>
    <xf numFmtId="1" fontId="7" fillId="0" borderId="0" xfId="0" applyNumberFormat="1" applyFont="1"/>
    <xf numFmtId="167" fontId="7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793994</xdr:colOff>
      <xdr:row>0</xdr:row>
      <xdr:rowOff>0</xdr:rowOff>
    </xdr:from>
    <xdr:to>
      <xdr:col>12</xdr:col>
      <xdr:colOff>50800</xdr:colOff>
      <xdr:row>116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9177480-7099-C3B4-022E-A28F3DD18E76}"/>
            </a:ext>
          </a:extLst>
        </xdr:cNvPr>
        <xdr:cNvCxnSpPr/>
      </xdr:nvCxnSpPr>
      <xdr:spPr>
        <a:xfrm>
          <a:off x="8185394" y="0"/>
          <a:ext cx="82306" cy="25654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12700</xdr:rowOff>
    </xdr:from>
    <xdr:to>
      <xdr:col>34</xdr:col>
      <xdr:colOff>12700</xdr:colOff>
      <xdr:row>95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E0BC5E5-CE93-0744-B955-04796996830B}"/>
            </a:ext>
          </a:extLst>
        </xdr:cNvPr>
        <xdr:cNvCxnSpPr/>
      </xdr:nvCxnSpPr>
      <xdr:spPr>
        <a:xfrm>
          <a:off x="19278600" y="12700"/>
          <a:ext cx="12700" cy="16586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netflix.net/investor-news-and-events/financial-releases/press-release-details/2025/Netflix-House-To-Open-In-Philadelphia--Dallas-Late-2025-Expands-To-Las-Vegas-Strip-In-2027/default.aspx" TargetMode="External"/><Relationship Id="rId2" Type="http://schemas.openxmlformats.org/officeDocument/2006/relationships/hyperlink" Target="https://ir.netflix.net/investor-news-and-events/financial-releases/press-release-details/2025/Ellie-Mertz-Appointed-to-Netflix-Board-of-Directors-2025-bYlhtQ6XSS/default.aspx" TargetMode="External"/><Relationship Id="rId1" Type="http://schemas.openxmlformats.org/officeDocument/2006/relationships/hyperlink" Target="https://s22.q4cdn.com/959853165/files/doc_financials/2025/q1/COMBINED-Q1-25-Shareholder-Letter-V2.pdf" TargetMode="External"/><Relationship Id="rId5" Type="http://schemas.openxmlformats.org/officeDocument/2006/relationships/hyperlink" Target="https://s22.q4cdn.com/959853165/files/doc_financials/2025/q2/Netflix-Inc-_Earnings-Call_Transcript.pdf" TargetMode="External"/><Relationship Id="rId4" Type="http://schemas.openxmlformats.org/officeDocument/2006/relationships/hyperlink" Target="https://ir.netflix.net/investor-news-and-events/financial-releases/press-release-details/2025/NETFLIX-BITES-IS-NOW-OPEN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2AC4-AD35-B948-83BC-3C712C792D57}">
  <dimension ref="B2:L42"/>
  <sheetViews>
    <sheetView tabSelected="1" zoomScale="131" workbookViewId="0">
      <selection activeCell="C1" sqref="C1"/>
    </sheetView>
  </sheetViews>
  <sheetFormatPr baseColWidth="10" defaultRowHeight="16" x14ac:dyDescent="0.2"/>
  <cols>
    <col min="1" max="1" width="2.33203125" style="1" customWidth="1"/>
    <col min="2" max="2" width="19.6640625" style="1" bestFit="1" customWidth="1"/>
    <col min="3" max="3" width="22.33203125" style="1" bestFit="1" customWidth="1"/>
    <col min="4" max="4" width="13.6640625" style="1" bestFit="1" customWidth="1"/>
    <col min="5" max="9" width="10.83203125" style="1"/>
    <col min="10" max="10" width="4" style="1" bestFit="1" customWidth="1"/>
    <col min="11" max="11" width="7.6640625" style="1" bestFit="1" customWidth="1"/>
    <col min="12" max="12" width="5.5" style="1" bestFit="1" customWidth="1"/>
    <col min="13" max="16384" width="10.83203125" style="1"/>
  </cols>
  <sheetData>
    <row r="2" spans="2:12" x14ac:dyDescent="0.2">
      <c r="B2" s="1" t="s">
        <v>7</v>
      </c>
      <c r="C2" s="18">
        <v>1997</v>
      </c>
    </row>
    <row r="3" spans="2:12" x14ac:dyDescent="0.2">
      <c r="B3" s="1" t="s">
        <v>149</v>
      </c>
      <c r="C3" s="18" t="s">
        <v>150</v>
      </c>
    </row>
    <row r="4" spans="2:12" x14ac:dyDescent="0.2">
      <c r="B4" s="1" t="s">
        <v>114</v>
      </c>
      <c r="C4" s="1" t="s">
        <v>111</v>
      </c>
    </row>
    <row r="5" spans="2:12" x14ac:dyDescent="0.2">
      <c r="B5" s="1" t="s">
        <v>114</v>
      </c>
      <c r="C5" s="1" t="s">
        <v>112</v>
      </c>
      <c r="J5" s="1" t="s">
        <v>0</v>
      </c>
      <c r="K5" s="1">
        <v>1260.27</v>
      </c>
    </row>
    <row r="6" spans="2:12" x14ac:dyDescent="0.2">
      <c r="B6" s="1" t="s">
        <v>115</v>
      </c>
      <c r="C6" s="1" t="s">
        <v>8</v>
      </c>
      <c r="J6" s="1" t="s">
        <v>1</v>
      </c>
      <c r="K6" s="1">
        <v>424.92634600000002</v>
      </c>
      <c r="L6" s="1" t="s">
        <v>13</v>
      </c>
    </row>
    <row r="7" spans="2:12" x14ac:dyDescent="0.2">
      <c r="B7" s="1" t="s">
        <v>113</v>
      </c>
      <c r="C7" s="1" t="s">
        <v>116</v>
      </c>
      <c r="J7" s="1" t="s">
        <v>2</v>
      </c>
      <c r="K7" s="1">
        <f>+K5*K6</f>
        <v>535521.92607341998</v>
      </c>
    </row>
    <row r="8" spans="2:12" x14ac:dyDescent="0.2">
      <c r="B8" s="1" t="s">
        <v>117</v>
      </c>
      <c r="C8" s="1" t="s">
        <v>118</v>
      </c>
      <c r="J8" s="1" t="s">
        <v>3</v>
      </c>
      <c r="K8" s="1">
        <f>8177.405+213.115</f>
        <v>8390.52</v>
      </c>
      <c r="L8" s="19" t="s">
        <v>13</v>
      </c>
    </row>
    <row r="9" spans="2:12" x14ac:dyDescent="0.2">
      <c r="B9" s="1" t="s">
        <v>119</v>
      </c>
      <c r="C9" s="1" t="s">
        <v>120</v>
      </c>
      <c r="J9" s="1" t="s">
        <v>4</v>
      </c>
      <c r="K9" s="1">
        <f>0+14453.206</f>
        <v>14453.206</v>
      </c>
      <c r="L9" s="19" t="s">
        <v>13</v>
      </c>
    </row>
    <row r="10" spans="2:12" x14ac:dyDescent="0.2">
      <c r="B10" s="1" t="s">
        <v>122</v>
      </c>
      <c r="C10" s="1" t="s">
        <v>121</v>
      </c>
      <c r="J10" s="1" t="s">
        <v>5</v>
      </c>
      <c r="K10" s="1">
        <f>+K7-K8+K9</f>
        <v>541584.61207341996</v>
      </c>
    </row>
    <row r="11" spans="2:12" x14ac:dyDescent="0.2">
      <c r="B11" s="1" t="s">
        <v>123</v>
      </c>
      <c r="C11" s="1" t="s">
        <v>124</v>
      </c>
    </row>
    <row r="12" spans="2:12" x14ac:dyDescent="0.2">
      <c r="B12" s="1" t="s">
        <v>126</v>
      </c>
      <c r="C12" s="1" t="s">
        <v>125</v>
      </c>
    </row>
    <row r="13" spans="2:12" x14ac:dyDescent="0.2">
      <c r="B13" s="1" t="s">
        <v>127</v>
      </c>
      <c r="C13" s="1" t="s">
        <v>128</v>
      </c>
    </row>
    <row r="14" spans="2:12" x14ac:dyDescent="0.2">
      <c r="B14" s="1" t="s">
        <v>130</v>
      </c>
      <c r="C14" s="1" t="s">
        <v>129</v>
      </c>
    </row>
    <row r="15" spans="2:12" x14ac:dyDescent="0.2">
      <c r="B15" s="1" t="s">
        <v>131</v>
      </c>
      <c r="C15" s="1" t="s">
        <v>132</v>
      </c>
    </row>
    <row r="16" spans="2:12" x14ac:dyDescent="0.2">
      <c r="B16" s="1" t="s">
        <v>133</v>
      </c>
      <c r="C16" s="3" t="s">
        <v>147</v>
      </c>
    </row>
    <row r="17" spans="2:4" x14ac:dyDescent="0.2">
      <c r="B17" s="1" t="s">
        <v>134</v>
      </c>
      <c r="C17" s="1" t="s">
        <v>135</v>
      </c>
    </row>
    <row r="18" spans="2:4" x14ac:dyDescent="0.2">
      <c r="B18" s="1" t="s">
        <v>137</v>
      </c>
      <c r="C18" s="1" t="s">
        <v>136</v>
      </c>
    </row>
    <row r="19" spans="2:4" x14ac:dyDescent="0.2">
      <c r="B19" s="1" t="s">
        <v>138</v>
      </c>
      <c r="C19" s="1" t="s">
        <v>139</v>
      </c>
    </row>
    <row r="20" spans="2:4" x14ac:dyDescent="0.2">
      <c r="B20" s="1" t="s">
        <v>140</v>
      </c>
      <c r="C20" s="1" t="s">
        <v>141</v>
      </c>
    </row>
    <row r="21" spans="2:4" x14ac:dyDescent="0.2">
      <c r="B21" s="1" t="s">
        <v>142</v>
      </c>
      <c r="C21" s="1" t="s">
        <v>143</v>
      </c>
    </row>
    <row r="22" spans="2:4" x14ac:dyDescent="0.2">
      <c r="B22" s="1" t="s">
        <v>144</v>
      </c>
      <c r="C22" s="1" t="s">
        <v>148</v>
      </c>
    </row>
    <row r="23" spans="2:4" x14ac:dyDescent="0.2">
      <c r="B23" s="1" t="s">
        <v>145</v>
      </c>
      <c r="C23" s="1" t="s">
        <v>146</v>
      </c>
    </row>
    <row r="28" spans="2:4" x14ac:dyDescent="0.2">
      <c r="B28" s="4" t="s">
        <v>45</v>
      </c>
      <c r="C28" s="12" t="s">
        <v>84</v>
      </c>
      <c r="D28" s="1" t="s">
        <v>85</v>
      </c>
    </row>
    <row r="29" spans="2:4" x14ac:dyDescent="0.2">
      <c r="B29" s="11" t="s">
        <v>44</v>
      </c>
      <c r="C29" s="13">
        <v>45832</v>
      </c>
      <c r="D29" s="1" t="s">
        <v>86</v>
      </c>
    </row>
    <row r="30" spans="2:4" x14ac:dyDescent="0.2">
      <c r="C30" s="13">
        <v>45825</v>
      </c>
      <c r="D30" s="1" t="s">
        <v>87</v>
      </c>
    </row>
    <row r="31" spans="2:4" x14ac:dyDescent="0.2">
      <c r="C31" s="13">
        <v>45699</v>
      </c>
      <c r="D31" s="1" t="s">
        <v>88</v>
      </c>
    </row>
    <row r="36" spans="3:3" x14ac:dyDescent="0.2">
      <c r="C36" s="1" t="s">
        <v>93</v>
      </c>
    </row>
    <row r="37" spans="3:3" x14ac:dyDescent="0.2">
      <c r="C37" s="1" t="s">
        <v>94</v>
      </c>
    </row>
    <row r="38" spans="3:3" x14ac:dyDescent="0.2">
      <c r="C38" s="1" t="s">
        <v>95</v>
      </c>
    </row>
    <row r="39" spans="3:3" x14ac:dyDescent="0.2">
      <c r="C39" s="1" t="s">
        <v>154</v>
      </c>
    </row>
    <row r="41" spans="3:3" x14ac:dyDescent="0.2">
      <c r="C41" s="1" t="s">
        <v>103</v>
      </c>
    </row>
    <row r="42" spans="3:3" x14ac:dyDescent="0.2">
      <c r="C42" s="11" t="s">
        <v>102</v>
      </c>
    </row>
  </sheetData>
  <hyperlinks>
    <hyperlink ref="B29" r:id="rId1" xr:uid="{998A8690-F003-AF45-B494-48123D123FC2}"/>
    <hyperlink ref="C29" r:id="rId2" display="https://ir.netflix.net/investor-news-and-events/financial-releases/press-release-details/2025/Ellie-Mertz-Appointed-to-Netflix-Board-of-Directors-2025-bYlhtQ6XSS/default.aspx" xr:uid="{E4181F74-3AB0-414D-AB22-54F4C6287498}"/>
    <hyperlink ref="C30" r:id="rId3" display="https://ir.netflix.net/investor-news-and-events/financial-releases/press-release-details/2025/Netflix-House-To-Open-In-Philadelphia--Dallas-Late-2025-Expands-To-Las-Vegas-Strip-In-2027/default.aspx" xr:uid="{0E570882-1A24-D646-8BC5-E5662EBAD071}"/>
    <hyperlink ref="C31" r:id="rId4" display="https://ir.netflix.net/investor-news-and-events/financial-releases/press-release-details/2025/NETFLIX-BITES-IS-NOW-OPEN/default.aspx" xr:uid="{EB5EFDCA-1558-0446-AEE6-EBB21391340A}"/>
    <hyperlink ref="C42" r:id="rId5" xr:uid="{B7EE91F4-B6C0-1347-9C9C-25C5D84296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50DE-6A57-5442-A64A-828AEE29071D}">
  <dimension ref="B1:IK109"/>
  <sheetViews>
    <sheetView showGridLines="0" zoomScaleNormal="100" workbookViewId="0">
      <pane xSplit="2" ySplit="2" topLeftCell="J3" activePane="bottomRight" state="frozen"/>
      <selection pane="topRight" activeCell="C1" sqref="C1"/>
      <selection pane="bottomLeft" activeCell="A2" sqref="A2"/>
      <selection pane="bottomRight" activeCell="W22" sqref="W22"/>
    </sheetView>
  </sheetViews>
  <sheetFormatPr baseColWidth="10" defaultRowHeight="16" outlineLevelRow="1" x14ac:dyDescent="0.2"/>
  <cols>
    <col min="1" max="1" width="1.83203125" style="1" customWidth="1"/>
    <col min="2" max="2" width="27.1640625" style="1" bestFit="1" customWidth="1"/>
    <col min="3" max="10" width="7.6640625" style="1" bestFit="1" customWidth="1"/>
    <col min="11" max="14" width="6.6640625" style="1" bestFit="1" customWidth="1"/>
    <col min="15" max="15" width="7.5" style="1" customWidth="1"/>
    <col min="16" max="16" width="5.33203125" style="1" bestFit="1" customWidth="1"/>
    <col min="17" max="23" width="6" style="1" bestFit="1" customWidth="1"/>
    <col min="24" max="26" width="5.83203125" style="1" bestFit="1" customWidth="1"/>
    <col min="27" max="31" width="7" style="1" bestFit="1" customWidth="1"/>
    <col min="32" max="33" width="8" style="1" bestFit="1" customWidth="1"/>
    <col min="34" max="34" width="7.6640625" style="1" bestFit="1" customWidth="1"/>
    <col min="35" max="39" width="7" style="1" bestFit="1" customWidth="1"/>
    <col min="40" max="40" width="6.6640625" style="1" customWidth="1"/>
    <col min="41" max="44" width="8" style="1" bestFit="1" customWidth="1"/>
    <col min="45" max="46" width="6.6640625" style="1" bestFit="1" customWidth="1"/>
    <col min="47" max="47" width="8.6640625" style="1" bestFit="1" customWidth="1"/>
    <col min="48" max="48" width="11.83203125" style="1" bestFit="1" customWidth="1"/>
    <col min="49" max="245" width="6" style="1" bestFit="1" customWidth="1"/>
    <col min="246" max="16384" width="10.83203125" style="1"/>
  </cols>
  <sheetData>
    <row r="1" spans="2:245" s="6" customFormat="1" x14ac:dyDescent="0.2">
      <c r="L1" s="6">
        <v>45855</v>
      </c>
    </row>
    <row r="2" spans="2:245" s="2" customFormat="1" x14ac:dyDescent="0.2">
      <c r="C2" s="22" t="s">
        <v>21</v>
      </c>
      <c r="D2" s="22" t="s">
        <v>22</v>
      </c>
      <c r="E2" s="22" t="s">
        <v>23</v>
      </c>
      <c r="F2" s="22" t="s">
        <v>24</v>
      </c>
      <c r="G2" s="22" t="s">
        <v>9</v>
      </c>
      <c r="H2" s="22" t="s">
        <v>10</v>
      </c>
      <c r="I2" s="22" t="s">
        <v>11</v>
      </c>
      <c r="J2" s="22" t="s">
        <v>12</v>
      </c>
      <c r="K2" s="2" t="s">
        <v>6</v>
      </c>
      <c r="L2" s="2" t="s">
        <v>13</v>
      </c>
      <c r="M2" s="2" t="s">
        <v>14</v>
      </c>
      <c r="N2" s="2" t="s">
        <v>15</v>
      </c>
      <c r="P2" s="2">
        <v>2006</v>
      </c>
      <c r="Q2" s="2">
        <v>2007</v>
      </c>
      <c r="R2" s="2">
        <v>2008</v>
      </c>
      <c r="S2" s="2">
        <v>2009</v>
      </c>
      <c r="T2" s="2">
        <v>2010</v>
      </c>
      <c r="U2" s="2">
        <v>2011</v>
      </c>
      <c r="V2" s="2">
        <v>2012</v>
      </c>
      <c r="W2" s="2">
        <v>2013</v>
      </c>
      <c r="X2" s="2">
        <v>2014</v>
      </c>
      <c r="Y2" s="2">
        <v>2015</v>
      </c>
      <c r="Z2" s="2">
        <f>+Y2+1</f>
        <v>2016</v>
      </c>
      <c r="AA2" s="2">
        <f t="shared" ref="AA2:AS2" si="0">+Z2+1</f>
        <v>2017</v>
      </c>
      <c r="AB2" s="2">
        <f t="shared" si="0"/>
        <v>2018</v>
      </c>
      <c r="AC2" s="2">
        <f t="shared" si="0"/>
        <v>2019</v>
      </c>
      <c r="AD2" s="2">
        <f t="shared" si="0"/>
        <v>2020</v>
      </c>
      <c r="AE2" s="2">
        <f t="shared" si="0"/>
        <v>2021</v>
      </c>
      <c r="AF2" s="2">
        <f t="shared" si="0"/>
        <v>2022</v>
      </c>
      <c r="AG2" s="2">
        <f t="shared" si="0"/>
        <v>2023</v>
      </c>
      <c r="AH2" s="2">
        <f t="shared" si="0"/>
        <v>2024</v>
      </c>
      <c r="AI2" s="2">
        <f t="shared" si="0"/>
        <v>2025</v>
      </c>
      <c r="AJ2" s="2">
        <f t="shared" si="0"/>
        <v>2026</v>
      </c>
      <c r="AK2" s="2">
        <f t="shared" si="0"/>
        <v>2027</v>
      </c>
      <c r="AL2" s="2">
        <f t="shared" si="0"/>
        <v>2028</v>
      </c>
      <c r="AM2" s="2">
        <f t="shared" si="0"/>
        <v>2029</v>
      </c>
      <c r="AN2" s="2">
        <f t="shared" si="0"/>
        <v>2030</v>
      </c>
      <c r="AO2" s="2">
        <f t="shared" si="0"/>
        <v>2031</v>
      </c>
      <c r="AP2" s="2">
        <f t="shared" si="0"/>
        <v>2032</v>
      </c>
      <c r="AQ2" s="2">
        <f t="shared" si="0"/>
        <v>2033</v>
      </c>
      <c r="AR2" s="2">
        <f t="shared" si="0"/>
        <v>2034</v>
      </c>
      <c r="AS2" s="2">
        <f t="shared" si="0"/>
        <v>2035</v>
      </c>
      <c r="AT2" s="2">
        <f t="shared" ref="AT2:DE2" si="1">+AS2+1</f>
        <v>2036</v>
      </c>
      <c r="AU2" s="2">
        <f t="shared" si="1"/>
        <v>2037</v>
      </c>
      <c r="AV2" s="2">
        <f t="shared" si="1"/>
        <v>2038</v>
      </c>
      <c r="AW2" s="2">
        <f t="shared" si="1"/>
        <v>2039</v>
      </c>
      <c r="AX2" s="2">
        <f t="shared" si="1"/>
        <v>2040</v>
      </c>
      <c r="AY2" s="2">
        <f t="shared" si="1"/>
        <v>2041</v>
      </c>
      <c r="AZ2" s="2">
        <f t="shared" si="1"/>
        <v>2042</v>
      </c>
      <c r="BA2" s="2">
        <f t="shared" si="1"/>
        <v>2043</v>
      </c>
      <c r="BB2" s="2">
        <f t="shared" si="1"/>
        <v>2044</v>
      </c>
      <c r="BC2" s="2">
        <f t="shared" si="1"/>
        <v>2045</v>
      </c>
      <c r="BD2" s="2">
        <f t="shared" si="1"/>
        <v>2046</v>
      </c>
      <c r="BE2" s="2">
        <f t="shared" si="1"/>
        <v>2047</v>
      </c>
      <c r="BF2" s="2">
        <f t="shared" si="1"/>
        <v>2048</v>
      </c>
      <c r="BG2" s="2">
        <f t="shared" si="1"/>
        <v>2049</v>
      </c>
      <c r="BH2" s="2">
        <f t="shared" si="1"/>
        <v>2050</v>
      </c>
      <c r="BI2" s="2">
        <f t="shared" si="1"/>
        <v>2051</v>
      </c>
      <c r="BJ2" s="2">
        <f t="shared" si="1"/>
        <v>2052</v>
      </c>
      <c r="BK2" s="2">
        <f t="shared" si="1"/>
        <v>2053</v>
      </c>
      <c r="BL2" s="2">
        <f t="shared" si="1"/>
        <v>2054</v>
      </c>
      <c r="BM2" s="2">
        <f t="shared" si="1"/>
        <v>2055</v>
      </c>
      <c r="BN2" s="2">
        <f t="shared" si="1"/>
        <v>2056</v>
      </c>
      <c r="BO2" s="2">
        <f t="shared" si="1"/>
        <v>2057</v>
      </c>
      <c r="BP2" s="2">
        <f t="shared" si="1"/>
        <v>2058</v>
      </c>
      <c r="BQ2" s="2">
        <f t="shared" si="1"/>
        <v>2059</v>
      </c>
      <c r="BR2" s="2">
        <f t="shared" si="1"/>
        <v>2060</v>
      </c>
      <c r="BS2" s="2">
        <f t="shared" si="1"/>
        <v>2061</v>
      </c>
      <c r="BT2" s="2">
        <f t="shared" si="1"/>
        <v>2062</v>
      </c>
      <c r="BU2" s="2">
        <f t="shared" si="1"/>
        <v>2063</v>
      </c>
      <c r="BV2" s="2">
        <f t="shared" si="1"/>
        <v>2064</v>
      </c>
      <c r="BW2" s="2">
        <f t="shared" si="1"/>
        <v>2065</v>
      </c>
      <c r="BX2" s="2">
        <f t="shared" si="1"/>
        <v>2066</v>
      </c>
      <c r="BY2" s="2">
        <f t="shared" si="1"/>
        <v>2067</v>
      </c>
      <c r="BZ2" s="2">
        <f t="shared" si="1"/>
        <v>2068</v>
      </c>
      <c r="CA2" s="2">
        <f t="shared" si="1"/>
        <v>2069</v>
      </c>
      <c r="CB2" s="2">
        <f t="shared" si="1"/>
        <v>2070</v>
      </c>
      <c r="CC2" s="2">
        <f t="shared" si="1"/>
        <v>2071</v>
      </c>
      <c r="CD2" s="2">
        <f t="shared" si="1"/>
        <v>2072</v>
      </c>
      <c r="CE2" s="2">
        <f t="shared" si="1"/>
        <v>2073</v>
      </c>
      <c r="CF2" s="2">
        <f t="shared" si="1"/>
        <v>2074</v>
      </c>
      <c r="CG2" s="2">
        <f t="shared" si="1"/>
        <v>2075</v>
      </c>
      <c r="CH2" s="2">
        <f t="shared" si="1"/>
        <v>2076</v>
      </c>
      <c r="CI2" s="2">
        <f t="shared" si="1"/>
        <v>2077</v>
      </c>
      <c r="CJ2" s="2">
        <f t="shared" si="1"/>
        <v>2078</v>
      </c>
      <c r="CK2" s="2">
        <f t="shared" si="1"/>
        <v>2079</v>
      </c>
      <c r="CL2" s="2">
        <f t="shared" si="1"/>
        <v>2080</v>
      </c>
      <c r="CM2" s="2">
        <f t="shared" si="1"/>
        <v>2081</v>
      </c>
      <c r="CN2" s="2">
        <f t="shared" si="1"/>
        <v>2082</v>
      </c>
      <c r="CO2" s="2">
        <f t="shared" si="1"/>
        <v>2083</v>
      </c>
      <c r="CP2" s="2">
        <f t="shared" si="1"/>
        <v>2084</v>
      </c>
      <c r="CQ2" s="2">
        <f t="shared" si="1"/>
        <v>2085</v>
      </c>
      <c r="CR2" s="2">
        <f t="shared" si="1"/>
        <v>2086</v>
      </c>
      <c r="CS2" s="2">
        <f t="shared" si="1"/>
        <v>2087</v>
      </c>
      <c r="CT2" s="2">
        <f t="shared" si="1"/>
        <v>2088</v>
      </c>
      <c r="CU2" s="2">
        <f t="shared" si="1"/>
        <v>2089</v>
      </c>
      <c r="CV2" s="2">
        <f t="shared" si="1"/>
        <v>2090</v>
      </c>
      <c r="CW2" s="2">
        <f t="shared" si="1"/>
        <v>2091</v>
      </c>
      <c r="CX2" s="2">
        <f t="shared" si="1"/>
        <v>2092</v>
      </c>
      <c r="CY2" s="2">
        <f t="shared" si="1"/>
        <v>2093</v>
      </c>
      <c r="CZ2" s="2">
        <f t="shared" si="1"/>
        <v>2094</v>
      </c>
      <c r="DA2" s="2">
        <f t="shared" si="1"/>
        <v>2095</v>
      </c>
      <c r="DB2" s="2">
        <f t="shared" si="1"/>
        <v>2096</v>
      </c>
      <c r="DC2" s="2">
        <f t="shared" si="1"/>
        <v>2097</v>
      </c>
      <c r="DD2" s="2">
        <f t="shared" si="1"/>
        <v>2098</v>
      </c>
      <c r="DE2" s="2">
        <f t="shared" si="1"/>
        <v>2099</v>
      </c>
      <c r="DF2" s="2">
        <f t="shared" ref="DF2:ET2" si="2">+DE2+1</f>
        <v>2100</v>
      </c>
      <c r="DG2" s="2">
        <f t="shared" si="2"/>
        <v>2101</v>
      </c>
      <c r="DH2" s="2">
        <f t="shared" si="2"/>
        <v>2102</v>
      </c>
      <c r="DI2" s="2">
        <f t="shared" si="2"/>
        <v>2103</v>
      </c>
      <c r="DJ2" s="2">
        <f t="shared" si="2"/>
        <v>2104</v>
      </c>
      <c r="DK2" s="2">
        <f t="shared" si="2"/>
        <v>2105</v>
      </c>
      <c r="DL2" s="2">
        <f t="shared" si="2"/>
        <v>2106</v>
      </c>
      <c r="DM2" s="2">
        <f t="shared" si="2"/>
        <v>2107</v>
      </c>
      <c r="DN2" s="2">
        <f t="shared" si="2"/>
        <v>2108</v>
      </c>
      <c r="DO2" s="2">
        <f t="shared" si="2"/>
        <v>2109</v>
      </c>
      <c r="DP2" s="2">
        <f t="shared" si="2"/>
        <v>2110</v>
      </c>
      <c r="DQ2" s="2">
        <f t="shared" si="2"/>
        <v>2111</v>
      </c>
      <c r="DR2" s="2">
        <f t="shared" si="2"/>
        <v>2112</v>
      </c>
      <c r="DS2" s="2">
        <f t="shared" si="2"/>
        <v>2113</v>
      </c>
      <c r="DT2" s="2">
        <f t="shared" si="2"/>
        <v>2114</v>
      </c>
      <c r="DU2" s="2">
        <f t="shared" si="2"/>
        <v>2115</v>
      </c>
      <c r="DV2" s="2">
        <f t="shared" si="2"/>
        <v>2116</v>
      </c>
      <c r="DW2" s="2">
        <f t="shared" si="2"/>
        <v>2117</v>
      </c>
      <c r="DX2" s="2">
        <f t="shared" si="2"/>
        <v>2118</v>
      </c>
      <c r="DY2" s="2">
        <f t="shared" si="2"/>
        <v>2119</v>
      </c>
      <c r="DZ2" s="2">
        <f t="shared" si="2"/>
        <v>2120</v>
      </c>
      <c r="EA2" s="2">
        <f t="shared" si="2"/>
        <v>2121</v>
      </c>
      <c r="EB2" s="2">
        <f t="shared" si="2"/>
        <v>2122</v>
      </c>
      <c r="EC2" s="2">
        <f t="shared" si="2"/>
        <v>2123</v>
      </c>
      <c r="ED2" s="2">
        <f t="shared" si="2"/>
        <v>2124</v>
      </c>
      <c r="EE2" s="2">
        <f t="shared" si="2"/>
        <v>2125</v>
      </c>
      <c r="EF2" s="2">
        <f t="shared" si="2"/>
        <v>2126</v>
      </c>
      <c r="EG2" s="2">
        <f t="shared" si="2"/>
        <v>2127</v>
      </c>
      <c r="EH2" s="2">
        <f t="shared" si="2"/>
        <v>2128</v>
      </c>
      <c r="EI2" s="2">
        <f t="shared" si="2"/>
        <v>2129</v>
      </c>
      <c r="EJ2" s="2">
        <f t="shared" si="2"/>
        <v>2130</v>
      </c>
      <c r="EK2" s="2">
        <f t="shared" si="2"/>
        <v>2131</v>
      </c>
      <c r="EL2" s="2">
        <f t="shared" si="2"/>
        <v>2132</v>
      </c>
      <c r="EM2" s="2">
        <f t="shared" si="2"/>
        <v>2133</v>
      </c>
      <c r="EN2" s="2">
        <f t="shared" si="2"/>
        <v>2134</v>
      </c>
      <c r="EO2" s="2">
        <f t="shared" si="2"/>
        <v>2135</v>
      </c>
      <c r="EP2" s="2">
        <f t="shared" si="2"/>
        <v>2136</v>
      </c>
      <c r="EQ2" s="2">
        <f t="shared" si="2"/>
        <v>2137</v>
      </c>
      <c r="ER2" s="2">
        <f t="shared" si="2"/>
        <v>2138</v>
      </c>
      <c r="ES2" s="2">
        <f t="shared" si="2"/>
        <v>2139</v>
      </c>
      <c r="ET2" s="2">
        <f t="shared" si="2"/>
        <v>2140</v>
      </c>
      <c r="EU2" s="2">
        <f t="shared" ref="EU2:FQ2" si="3">+ET2+1</f>
        <v>2141</v>
      </c>
      <c r="EV2" s="2">
        <f t="shared" si="3"/>
        <v>2142</v>
      </c>
      <c r="EW2" s="2">
        <f t="shared" si="3"/>
        <v>2143</v>
      </c>
      <c r="EX2" s="2">
        <f t="shared" si="3"/>
        <v>2144</v>
      </c>
      <c r="EY2" s="2">
        <f t="shared" si="3"/>
        <v>2145</v>
      </c>
      <c r="EZ2" s="2">
        <f t="shared" si="3"/>
        <v>2146</v>
      </c>
      <c r="FA2" s="2">
        <f t="shared" si="3"/>
        <v>2147</v>
      </c>
      <c r="FB2" s="2">
        <f t="shared" si="3"/>
        <v>2148</v>
      </c>
      <c r="FC2" s="2">
        <f t="shared" si="3"/>
        <v>2149</v>
      </c>
      <c r="FD2" s="2">
        <f t="shared" si="3"/>
        <v>2150</v>
      </c>
      <c r="FE2" s="2">
        <f t="shared" si="3"/>
        <v>2151</v>
      </c>
      <c r="FF2" s="2">
        <f t="shared" si="3"/>
        <v>2152</v>
      </c>
      <c r="FG2" s="2">
        <f t="shared" si="3"/>
        <v>2153</v>
      </c>
      <c r="FH2" s="2">
        <f t="shared" si="3"/>
        <v>2154</v>
      </c>
      <c r="FI2" s="2">
        <f t="shared" si="3"/>
        <v>2155</v>
      </c>
      <c r="FJ2" s="2">
        <f t="shared" si="3"/>
        <v>2156</v>
      </c>
      <c r="FK2" s="2">
        <f t="shared" si="3"/>
        <v>2157</v>
      </c>
      <c r="FL2" s="2">
        <f t="shared" si="3"/>
        <v>2158</v>
      </c>
      <c r="FM2" s="2">
        <f t="shared" si="3"/>
        <v>2159</v>
      </c>
      <c r="FN2" s="2">
        <f t="shared" si="3"/>
        <v>2160</v>
      </c>
      <c r="FO2" s="2">
        <f t="shared" si="3"/>
        <v>2161</v>
      </c>
      <c r="FP2" s="2">
        <f t="shared" si="3"/>
        <v>2162</v>
      </c>
      <c r="FQ2" s="2">
        <f t="shared" si="3"/>
        <v>2163</v>
      </c>
      <c r="FR2" s="2">
        <f t="shared" ref="FR2:GE2" si="4">+FQ2+1</f>
        <v>2164</v>
      </c>
      <c r="FS2" s="2">
        <f t="shared" si="4"/>
        <v>2165</v>
      </c>
      <c r="FT2" s="2">
        <f t="shared" si="4"/>
        <v>2166</v>
      </c>
      <c r="FU2" s="2">
        <f t="shared" si="4"/>
        <v>2167</v>
      </c>
      <c r="FV2" s="2">
        <f t="shared" si="4"/>
        <v>2168</v>
      </c>
      <c r="FW2" s="2">
        <f t="shared" si="4"/>
        <v>2169</v>
      </c>
      <c r="FX2" s="2">
        <f t="shared" si="4"/>
        <v>2170</v>
      </c>
      <c r="FY2" s="2">
        <f t="shared" si="4"/>
        <v>2171</v>
      </c>
      <c r="FZ2" s="2">
        <f t="shared" si="4"/>
        <v>2172</v>
      </c>
      <c r="GA2" s="2">
        <f t="shared" si="4"/>
        <v>2173</v>
      </c>
      <c r="GB2" s="2">
        <f t="shared" si="4"/>
        <v>2174</v>
      </c>
      <c r="GC2" s="2">
        <f t="shared" si="4"/>
        <v>2175</v>
      </c>
      <c r="GD2" s="2">
        <f t="shared" si="4"/>
        <v>2176</v>
      </c>
      <c r="GE2" s="2">
        <f t="shared" si="4"/>
        <v>2177</v>
      </c>
      <c r="GF2" s="2">
        <f t="shared" ref="GF2:HE2" si="5">+GE2+1</f>
        <v>2178</v>
      </c>
      <c r="GG2" s="2">
        <f t="shared" si="5"/>
        <v>2179</v>
      </c>
      <c r="GH2" s="2">
        <f t="shared" si="5"/>
        <v>2180</v>
      </c>
      <c r="GI2" s="2">
        <f t="shared" si="5"/>
        <v>2181</v>
      </c>
      <c r="GJ2" s="2">
        <f t="shared" si="5"/>
        <v>2182</v>
      </c>
      <c r="GK2" s="2">
        <f t="shared" si="5"/>
        <v>2183</v>
      </c>
      <c r="GL2" s="2">
        <f t="shared" si="5"/>
        <v>2184</v>
      </c>
      <c r="GM2" s="2">
        <f t="shared" si="5"/>
        <v>2185</v>
      </c>
      <c r="GN2" s="2">
        <f t="shared" si="5"/>
        <v>2186</v>
      </c>
      <c r="GO2" s="2">
        <f t="shared" si="5"/>
        <v>2187</v>
      </c>
      <c r="GP2" s="2">
        <f t="shared" si="5"/>
        <v>2188</v>
      </c>
      <c r="GQ2" s="2">
        <f t="shared" si="5"/>
        <v>2189</v>
      </c>
      <c r="GR2" s="2">
        <f t="shared" si="5"/>
        <v>2190</v>
      </c>
      <c r="GS2" s="2">
        <f t="shared" si="5"/>
        <v>2191</v>
      </c>
      <c r="GT2" s="2">
        <f t="shared" si="5"/>
        <v>2192</v>
      </c>
      <c r="GU2" s="2">
        <f t="shared" si="5"/>
        <v>2193</v>
      </c>
      <c r="GV2" s="2">
        <f t="shared" si="5"/>
        <v>2194</v>
      </c>
      <c r="GW2" s="2">
        <f t="shared" si="5"/>
        <v>2195</v>
      </c>
      <c r="GX2" s="2">
        <f t="shared" si="5"/>
        <v>2196</v>
      </c>
      <c r="GY2" s="2">
        <f t="shared" si="5"/>
        <v>2197</v>
      </c>
      <c r="GZ2" s="2">
        <f t="shared" si="5"/>
        <v>2198</v>
      </c>
      <c r="HA2" s="2">
        <f t="shared" si="5"/>
        <v>2199</v>
      </c>
      <c r="HB2" s="2">
        <f t="shared" si="5"/>
        <v>2200</v>
      </c>
      <c r="HC2" s="2">
        <f t="shared" si="5"/>
        <v>2201</v>
      </c>
      <c r="HD2" s="2">
        <f t="shared" si="5"/>
        <v>2202</v>
      </c>
      <c r="HE2" s="2">
        <f t="shared" si="5"/>
        <v>2203</v>
      </c>
      <c r="HF2" s="2">
        <f t="shared" ref="HF2:HX2" si="6">+HE2+1</f>
        <v>2204</v>
      </c>
      <c r="HG2" s="2">
        <f t="shared" si="6"/>
        <v>2205</v>
      </c>
      <c r="HH2" s="2">
        <f t="shared" si="6"/>
        <v>2206</v>
      </c>
      <c r="HI2" s="2">
        <f t="shared" si="6"/>
        <v>2207</v>
      </c>
      <c r="HJ2" s="2">
        <f t="shared" si="6"/>
        <v>2208</v>
      </c>
      <c r="HK2" s="2">
        <f t="shared" si="6"/>
        <v>2209</v>
      </c>
      <c r="HL2" s="2">
        <f t="shared" si="6"/>
        <v>2210</v>
      </c>
      <c r="HM2" s="2">
        <f t="shared" si="6"/>
        <v>2211</v>
      </c>
      <c r="HN2" s="2">
        <f t="shared" si="6"/>
        <v>2212</v>
      </c>
      <c r="HO2" s="2">
        <f t="shared" si="6"/>
        <v>2213</v>
      </c>
      <c r="HP2" s="2">
        <f t="shared" si="6"/>
        <v>2214</v>
      </c>
      <c r="HQ2" s="2">
        <f t="shared" si="6"/>
        <v>2215</v>
      </c>
      <c r="HR2" s="2">
        <f t="shared" si="6"/>
        <v>2216</v>
      </c>
      <c r="HS2" s="2">
        <f t="shared" si="6"/>
        <v>2217</v>
      </c>
      <c r="HT2" s="2">
        <f t="shared" si="6"/>
        <v>2218</v>
      </c>
      <c r="HU2" s="2">
        <f t="shared" si="6"/>
        <v>2219</v>
      </c>
      <c r="HV2" s="2">
        <f t="shared" si="6"/>
        <v>2220</v>
      </c>
      <c r="HW2" s="2">
        <f t="shared" si="6"/>
        <v>2221</v>
      </c>
      <c r="HX2" s="2">
        <f t="shared" si="6"/>
        <v>2222</v>
      </c>
      <c r="HY2" s="2">
        <f t="shared" ref="HY2:IG2" si="7">+HX2+1</f>
        <v>2223</v>
      </c>
      <c r="HZ2" s="2">
        <f t="shared" si="7"/>
        <v>2224</v>
      </c>
      <c r="IA2" s="2">
        <f t="shared" si="7"/>
        <v>2225</v>
      </c>
      <c r="IB2" s="2">
        <f t="shared" si="7"/>
        <v>2226</v>
      </c>
      <c r="IC2" s="2">
        <f t="shared" si="7"/>
        <v>2227</v>
      </c>
      <c r="ID2" s="2">
        <f t="shared" si="7"/>
        <v>2228</v>
      </c>
      <c r="IE2" s="2">
        <f t="shared" si="7"/>
        <v>2229</v>
      </c>
      <c r="IF2" s="2">
        <f t="shared" si="7"/>
        <v>2230</v>
      </c>
      <c r="IG2" s="2">
        <f t="shared" si="7"/>
        <v>2231</v>
      </c>
      <c r="IH2" s="2">
        <f t="shared" ref="IH2:IJ2" si="8">+IG2+1</f>
        <v>2232</v>
      </c>
      <c r="II2" s="2">
        <f t="shared" si="8"/>
        <v>2233</v>
      </c>
      <c r="IJ2" s="2">
        <f t="shared" si="8"/>
        <v>2234</v>
      </c>
      <c r="IK2" s="2">
        <f t="shared" ref="IK2" si="9">+IJ2+1</f>
        <v>2235</v>
      </c>
    </row>
    <row r="3" spans="2:245" x14ac:dyDescent="0.2">
      <c r="B3" s="1" t="s">
        <v>16</v>
      </c>
      <c r="C3" s="1">
        <v>3608.645</v>
      </c>
      <c r="D3" s="1">
        <v>3599.4479999999999</v>
      </c>
      <c r="E3" s="1">
        <v>3735.1329999999998</v>
      </c>
      <c r="F3" s="1">
        <f>+AG3-SUM(C3:E3)</f>
        <v>3930.5570000000007</v>
      </c>
      <c r="G3" s="1">
        <v>4224.3149999999996</v>
      </c>
      <c r="H3" s="1">
        <v>4295.5600000000004</v>
      </c>
      <c r="I3" s="1">
        <v>4322.4759999999997</v>
      </c>
      <c r="J3" s="1">
        <f>+AH3-SUM(G3:I3)</f>
        <v>4517.018</v>
      </c>
      <c r="K3" s="1">
        <v>4617.098</v>
      </c>
      <c r="L3" s="1">
        <v>4929.0029999999997</v>
      </c>
      <c r="M3" s="1">
        <f>+I3*1.15</f>
        <v>4970.8473999999997</v>
      </c>
      <c r="N3" s="1">
        <f>+J3*1.15</f>
        <v>5194.5706999999993</v>
      </c>
      <c r="AF3" s="1">
        <v>14084.643</v>
      </c>
      <c r="AG3" s="1">
        <v>14873.782999999999</v>
      </c>
      <c r="AH3" s="1">
        <v>17359.368999999999</v>
      </c>
      <c r="AI3" s="1">
        <f>SUM(K3:N3)</f>
        <v>19711.519099999998</v>
      </c>
      <c r="AJ3" s="1">
        <f>+AI3*1.15</f>
        <v>22668.246964999995</v>
      </c>
      <c r="AK3" s="1">
        <f t="shared" ref="AK3:AR3" si="10">+AJ3*1.15</f>
        <v>26068.484009749991</v>
      </c>
      <c r="AL3" s="1">
        <f t="shared" si="10"/>
        <v>29978.756611212488</v>
      </c>
      <c r="AM3" s="1">
        <f t="shared" si="10"/>
        <v>34475.570102894359</v>
      </c>
      <c r="AN3" s="1">
        <f t="shared" si="10"/>
        <v>39646.905618328507</v>
      </c>
      <c r="AO3" s="1">
        <f t="shared" si="10"/>
        <v>45593.941461077782</v>
      </c>
      <c r="AP3" s="1">
        <f t="shared" si="10"/>
        <v>52433.032680239448</v>
      </c>
      <c r="AQ3" s="1">
        <f t="shared" si="10"/>
        <v>60297.98758227536</v>
      </c>
      <c r="AR3" s="1">
        <f t="shared" si="10"/>
        <v>69342.685719616653</v>
      </c>
    </row>
    <row r="4" spans="2:245" x14ac:dyDescent="0.2">
      <c r="B4" s="1" t="s">
        <v>17</v>
      </c>
      <c r="C4" s="1">
        <v>2517.6410000000001</v>
      </c>
      <c r="D4" s="1">
        <v>2562.17</v>
      </c>
      <c r="E4" s="1">
        <v>2693.1460000000002</v>
      </c>
      <c r="F4" s="1">
        <f>+AG4-SUM(C4:E4)</f>
        <v>2783.5299999999988</v>
      </c>
      <c r="G4" s="1">
        <v>2958.1930000000002</v>
      </c>
      <c r="H4" s="1">
        <v>3007.7719999999999</v>
      </c>
      <c r="I4" s="1">
        <v>3133.4659999999999</v>
      </c>
      <c r="J4" s="1">
        <f>+AH4-SUM(G4:I4)</f>
        <v>3287.6039999999994</v>
      </c>
      <c r="K4" s="1">
        <v>3404.6759999999999</v>
      </c>
      <c r="L4" s="1">
        <v>3538.1750000000002</v>
      </c>
      <c r="M4" s="1">
        <f>+I4*1.17</f>
        <v>3666.1552199999996</v>
      </c>
      <c r="N4" s="1">
        <f>+J4*1.17</f>
        <v>3846.4966799999988</v>
      </c>
      <c r="AF4" s="1">
        <v>9745.0149999999994</v>
      </c>
      <c r="AG4" s="1">
        <v>10556.486999999999</v>
      </c>
      <c r="AH4" s="1">
        <v>12387.035</v>
      </c>
      <c r="AI4" s="1">
        <f>SUM(K4:N4)</f>
        <v>14455.502899999998</v>
      </c>
      <c r="AJ4" s="1">
        <f>+AI4*1.17</f>
        <v>16912.938392999997</v>
      </c>
      <c r="AK4" s="1">
        <f t="shared" ref="AK4:AR4" si="11">+AJ4*1.17</f>
        <v>19788.137919809997</v>
      </c>
      <c r="AL4" s="1">
        <f t="shared" si="11"/>
        <v>23152.121366177696</v>
      </c>
      <c r="AM4" s="1">
        <f t="shared" si="11"/>
        <v>27087.981998427902</v>
      </c>
      <c r="AN4" s="1">
        <f t="shared" si="11"/>
        <v>31692.938938160645</v>
      </c>
      <c r="AO4" s="1">
        <f t="shared" si="11"/>
        <v>37080.73855764795</v>
      </c>
      <c r="AP4" s="1">
        <f t="shared" si="11"/>
        <v>43384.464112448099</v>
      </c>
      <c r="AQ4" s="1">
        <f t="shared" si="11"/>
        <v>50759.823011564273</v>
      </c>
      <c r="AR4" s="1">
        <f t="shared" si="11"/>
        <v>59388.992923530197</v>
      </c>
    </row>
    <row r="5" spans="2:245" x14ac:dyDescent="0.2">
      <c r="B5" s="1" t="s">
        <v>18</v>
      </c>
      <c r="C5" s="1">
        <v>1070.192</v>
      </c>
      <c r="D5" s="1">
        <v>1077.4349999999999</v>
      </c>
      <c r="E5" s="1">
        <v>1142.8109999999999</v>
      </c>
      <c r="F5" s="1">
        <f>+AG5-SUM(C5:E5)</f>
        <v>1156.0230000000001</v>
      </c>
      <c r="G5" s="1">
        <v>1165.008</v>
      </c>
      <c r="H5" s="1">
        <v>1204.145</v>
      </c>
      <c r="I5" s="1">
        <v>1240.8920000000001</v>
      </c>
      <c r="J5" s="1">
        <f>+AH5-SUM(G5:I5)</f>
        <v>1229.7714999999998</v>
      </c>
      <c r="K5" s="1">
        <v>1261.934</v>
      </c>
      <c r="L5" s="1">
        <v>1306.7349999999999</v>
      </c>
      <c r="M5" s="1">
        <f>+I5*1.09</f>
        <v>1352.5722800000001</v>
      </c>
      <c r="N5" s="1">
        <f>+J5*1.09</f>
        <v>1340.4509349999998</v>
      </c>
      <c r="AF5" s="1">
        <v>4069.973</v>
      </c>
      <c r="AG5" s="1">
        <v>4446.4610000000002</v>
      </c>
      <c r="AH5" s="1">
        <v>4839.8164999999999</v>
      </c>
      <c r="AI5" s="1">
        <f>SUM(K5:N5)</f>
        <v>5261.692215</v>
      </c>
      <c r="AJ5" s="1">
        <f>+AI5*1.09</f>
        <v>5735.2445143500008</v>
      </c>
      <c r="AK5" s="1">
        <f t="shared" ref="AK5:AR5" si="12">+AJ5*1.09</f>
        <v>6251.4165206415009</v>
      </c>
      <c r="AL5" s="1">
        <f t="shared" si="12"/>
        <v>6814.0440074992366</v>
      </c>
      <c r="AM5" s="1">
        <f t="shared" si="12"/>
        <v>7427.3079681741683</v>
      </c>
      <c r="AN5" s="1">
        <f t="shared" si="12"/>
        <v>8095.7656853098442</v>
      </c>
      <c r="AO5" s="1">
        <f t="shared" si="12"/>
        <v>8824.3845969877311</v>
      </c>
      <c r="AP5" s="1">
        <f t="shared" si="12"/>
        <v>9618.5792107166271</v>
      </c>
      <c r="AQ5" s="1">
        <f t="shared" si="12"/>
        <v>10484.251339681125</v>
      </c>
      <c r="AR5" s="1">
        <f t="shared" si="12"/>
        <v>11427.833960252427</v>
      </c>
    </row>
    <row r="6" spans="2:245" x14ac:dyDescent="0.2">
      <c r="B6" s="1" t="s">
        <v>19</v>
      </c>
      <c r="C6" s="1">
        <v>933.52300000000002</v>
      </c>
      <c r="D6" s="1">
        <v>919.27300000000002</v>
      </c>
      <c r="E6" s="1">
        <v>948.21600000000001</v>
      </c>
      <c r="F6" s="1">
        <f>+AG6-SUM(C6:E6)</f>
        <v>962.71499999999969</v>
      </c>
      <c r="G6" s="1">
        <v>1022.924</v>
      </c>
      <c r="H6" s="1">
        <v>1051.8330000000001</v>
      </c>
      <c r="I6" s="1">
        <v>1127.8689999999999</v>
      </c>
      <c r="J6" s="1">
        <f>+AH6-SUM(G6:I6)</f>
        <v>1212.1199999999999</v>
      </c>
      <c r="K6" s="1">
        <v>1259.0930000000001</v>
      </c>
      <c r="L6" s="1">
        <v>1305.2529999999999</v>
      </c>
      <c r="M6" s="1">
        <f>+I6*1.2</f>
        <v>1353.4427999999998</v>
      </c>
      <c r="N6" s="1">
        <f>+J6*1.2</f>
        <v>1454.5439999999999</v>
      </c>
      <c r="AB6" s="7"/>
      <c r="AF6" s="1">
        <v>3570.221</v>
      </c>
      <c r="AG6" s="1">
        <v>3763.7269999999999</v>
      </c>
      <c r="AH6" s="1">
        <v>4414.7460000000001</v>
      </c>
      <c r="AI6" s="1">
        <f>SUM(K6:N6)</f>
        <v>5372.3328000000001</v>
      </c>
      <c r="AJ6" s="1">
        <f>+AI6*1.2</f>
        <v>6446.79936</v>
      </c>
      <c r="AK6" s="1">
        <f t="shared" ref="AK6:AR6" si="13">+AJ6*1.2</f>
        <v>7736.159232</v>
      </c>
      <c r="AL6" s="1">
        <f t="shared" si="13"/>
        <v>9283.3910784</v>
      </c>
      <c r="AM6" s="1">
        <f t="shared" si="13"/>
        <v>11140.06929408</v>
      </c>
      <c r="AN6" s="1">
        <f t="shared" si="13"/>
        <v>13368.083152895999</v>
      </c>
      <c r="AO6" s="1">
        <f t="shared" si="13"/>
        <v>16041.699783475198</v>
      </c>
      <c r="AP6" s="1">
        <f t="shared" si="13"/>
        <v>19250.039740170236</v>
      </c>
      <c r="AQ6" s="1">
        <f t="shared" si="13"/>
        <v>23100.047688204282</v>
      </c>
      <c r="AR6" s="1">
        <f t="shared" si="13"/>
        <v>27720.057225845139</v>
      </c>
    </row>
    <row r="7" spans="2:245" s="3" customFormat="1" x14ac:dyDescent="0.2">
      <c r="B7" s="3" t="s">
        <v>20</v>
      </c>
      <c r="C7" s="3">
        <f>+SUM(C3:C6)+31.502</f>
        <v>8161.5030000000006</v>
      </c>
      <c r="D7" s="3">
        <f>+SUM(D3:D6)+28.975</f>
        <v>8187.3010000000004</v>
      </c>
      <c r="E7" s="3">
        <f>+SUM(E3:E6)+22.362</f>
        <v>8541.6679999999997</v>
      </c>
      <c r="F7" s="3">
        <f t="shared" ref="F7:J7" si="14">+SUM(F3:F6)</f>
        <v>8832.8249999999989</v>
      </c>
      <c r="G7" s="3">
        <f>+SUM(G3:G6)</f>
        <v>9370.4399999999987</v>
      </c>
      <c r="H7" s="3">
        <f t="shared" si="14"/>
        <v>9559.3100000000013</v>
      </c>
      <c r="I7" s="3">
        <f t="shared" si="14"/>
        <v>9824.7029999999995</v>
      </c>
      <c r="J7" s="3">
        <f t="shared" si="14"/>
        <v>10246.513499999997</v>
      </c>
      <c r="K7" s="3">
        <f>+SUM(K3:K6)</f>
        <v>10542.800999999999</v>
      </c>
      <c r="L7" s="3">
        <f t="shared" ref="L7:N7" si="15">+SUM(L3:L6)</f>
        <v>11079.166000000001</v>
      </c>
      <c r="M7" s="3">
        <f t="shared" si="15"/>
        <v>11343.0177</v>
      </c>
      <c r="N7" s="3">
        <f t="shared" si="15"/>
        <v>11836.062314999997</v>
      </c>
      <c r="Q7" s="3">
        <v>1205.3</v>
      </c>
      <c r="R7" s="3">
        <v>1364.7</v>
      </c>
      <c r="S7" s="3">
        <v>2162.6</v>
      </c>
      <c r="T7" s="3">
        <v>3204.6</v>
      </c>
      <c r="U7" s="3">
        <v>3204.6</v>
      </c>
      <c r="V7" s="3">
        <v>3609.3</v>
      </c>
      <c r="W7" s="3">
        <v>4374.6000000000004</v>
      </c>
      <c r="X7" s="3">
        <v>5504.7</v>
      </c>
      <c r="Y7" s="3">
        <v>6779.5</v>
      </c>
      <c r="Z7" s="3">
        <v>8830.7000000000007</v>
      </c>
      <c r="AA7" s="3">
        <v>11692.7</v>
      </c>
      <c r="AB7" s="3">
        <v>15794.3</v>
      </c>
      <c r="AC7" s="3">
        <v>20156.400000000001</v>
      </c>
      <c r="AD7" s="3">
        <v>24996.1</v>
      </c>
      <c r="AE7" s="3">
        <v>29697.8</v>
      </c>
      <c r="AF7" s="3">
        <f>+SUM(AF3:AF6)+145.698</f>
        <v>31615.550000000003</v>
      </c>
      <c r="AG7" s="3">
        <f>+SUM(AG3:AG6)+82.839</f>
        <v>33723.296999999999</v>
      </c>
      <c r="AH7" s="3">
        <f>+SUM(AH3:AH6)</f>
        <v>39000.966499999995</v>
      </c>
      <c r="AI7" s="3">
        <f>SUM(AI3:AI6)</f>
        <v>44801.047015000004</v>
      </c>
      <c r="AJ7" s="3">
        <f>SUM(AJ3:AJ6)</f>
        <v>51763.229232349986</v>
      </c>
      <c r="AK7" s="3">
        <f t="shared" ref="AK7:AR7" si="16">SUM(AK3:AK6)</f>
        <v>59844.197682201484</v>
      </c>
      <c r="AL7" s="3">
        <f t="shared" si="16"/>
        <v>69228.313063289417</v>
      </c>
      <c r="AM7" s="3">
        <f t="shared" si="16"/>
        <v>80130.929363576433</v>
      </c>
      <c r="AN7" s="3">
        <f t="shared" si="16"/>
        <v>92803.693394694987</v>
      </c>
      <c r="AO7" s="3">
        <f t="shared" si="16"/>
        <v>107540.76439918866</v>
      </c>
      <c r="AP7" s="3">
        <f t="shared" si="16"/>
        <v>124686.1157435744</v>
      </c>
      <c r="AQ7" s="3">
        <f t="shared" si="16"/>
        <v>144642.10962172505</v>
      </c>
      <c r="AR7" s="3">
        <f t="shared" si="16"/>
        <v>167879.56982924443</v>
      </c>
    </row>
    <row r="8" spans="2:245" x14ac:dyDescent="0.2">
      <c r="B8" s="1" t="s">
        <v>3</v>
      </c>
      <c r="C8" s="1">
        <v>4803.625</v>
      </c>
      <c r="D8" s="1">
        <v>4673.47</v>
      </c>
      <c r="E8" s="1">
        <v>4930.7879999999996</v>
      </c>
      <c r="F8" s="1">
        <f>+AG8-SUM(C8:E8)</f>
        <v>5307.4849999999969</v>
      </c>
      <c r="G8" s="1">
        <v>4977.0730000000003</v>
      </c>
      <c r="H8" s="1">
        <v>5174.143</v>
      </c>
      <c r="I8" s="1">
        <v>5119.884</v>
      </c>
      <c r="J8" s="1">
        <f>+AH8-SUM(G8:I8)</f>
        <v>5767.3639999999996</v>
      </c>
      <c r="K8" s="1">
        <v>5263.1469999999999</v>
      </c>
      <c r="L8" s="1">
        <v>5325.3109999999997</v>
      </c>
      <c r="M8" s="20">
        <f>+M7*0.55</f>
        <v>6238.6597350000011</v>
      </c>
      <c r="N8" s="20">
        <f>+N$7*(M8/M$7)</f>
        <v>6509.8342732499987</v>
      </c>
      <c r="AF8" s="1">
        <v>19168.285</v>
      </c>
      <c r="AG8" s="1">
        <v>19715.367999999999</v>
      </c>
      <c r="AH8" s="1">
        <v>21038.464</v>
      </c>
      <c r="AI8" s="1">
        <f>SUM(K8:N8)</f>
        <v>23336.952008249998</v>
      </c>
      <c r="AJ8" s="1">
        <f>+AJ$7*(AI8/AI$7)</f>
        <v>26963.566185918407</v>
      </c>
      <c r="AK8" s="1">
        <f t="shared" ref="AK8:AR8" si="17">+AK$7*(AJ8/AJ$7)</f>
        <v>31172.958275152971</v>
      </c>
      <c r="AL8" s="1">
        <f t="shared" si="17"/>
        <v>36061.162120366826</v>
      </c>
      <c r="AM8" s="1">
        <f t="shared" si="17"/>
        <v>41740.356030254115</v>
      </c>
      <c r="AN8" s="1">
        <f t="shared" si="17"/>
        <v>48341.623315526966</v>
      </c>
      <c r="AO8" s="1">
        <f t="shared" si="17"/>
        <v>56018.192094352446</v>
      </c>
      <c r="AP8" s="1">
        <f t="shared" si="17"/>
        <v>64949.238758385742</v>
      </c>
      <c r="AQ8" s="1">
        <f t="shared" si="17"/>
        <v>75344.354552340417</v>
      </c>
      <c r="AR8" s="1">
        <f t="shared" si="17"/>
        <v>87448.792501635035</v>
      </c>
    </row>
    <row r="9" spans="2:245" x14ac:dyDescent="0.2">
      <c r="B9" s="1" t="s">
        <v>26</v>
      </c>
      <c r="C9" s="1">
        <v>555.36199999999997</v>
      </c>
      <c r="D9" s="1">
        <v>627.16800000000001</v>
      </c>
      <c r="E9" s="1">
        <v>558.73599999999999</v>
      </c>
      <c r="F9" s="1">
        <f t="shared" ref="F9:F19" si="18">+AG9-SUM(C9:E9)</f>
        <v>916.61699999999973</v>
      </c>
      <c r="G9" s="1">
        <v>654.34</v>
      </c>
      <c r="H9" s="1">
        <v>644.08399999999995</v>
      </c>
      <c r="I9" s="1">
        <v>642.92600000000004</v>
      </c>
      <c r="J9" s="1">
        <f t="shared" ref="J9:J19" si="19">+AH9-SUM(G9:I9)</f>
        <v>976.20400000000018</v>
      </c>
      <c r="K9" s="1">
        <v>688.37</v>
      </c>
      <c r="L9" s="1">
        <v>713.26499999999999</v>
      </c>
      <c r="M9" s="20">
        <f>+M$7*(L9/L$7)</f>
        <v>730.2514936404508</v>
      </c>
      <c r="N9" s="20">
        <f>+N$7*(M9/M$7)</f>
        <v>761.99318496613125</v>
      </c>
      <c r="AF9" s="1">
        <v>2530.502</v>
      </c>
      <c r="AG9" s="1">
        <v>2657.8829999999998</v>
      </c>
      <c r="AH9" s="1">
        <v>2917.5540000000001</v>
      </c>
      <c r="AI9" s="1">
        <f t="shared" ref="AI9:AI19" si="20">SUM(K9:N9)</f>
        <v>2893.8796786065818</v>
      </c>
      <c r="AJ9" s="1">
        <f>+AJ$7*(AI9/AI$7)</f>
        <v>3343.5950084916062</v>
      </c>
      <c r="AK9" s="1">
        <f t="shared" ref="AK9:AR9" si="21">+AK$7*(AJ9/AJ$7)</f>
        <v>3865.5772374483636</v>
      </c>
      <c r="AL9" s="1">
        <f t="shared" si="21"/>
        <v>4471.734963939386</v>
      </c>
      <c r="AM9" s="1">
        <f t="shared" si="21"/>
        <v>5175.9787675380348</v>
      </c>
      <c r="AN9" s="1">
        <f t="shared" si="21"/>
        <v>5994.5635271565234</v>
      </c>
      <c r="AO9" s="1">
        <f t="shared" si="21"/>
        <v>6946.4901704737576</v>
      </c>
      <c r="AP9" s="1">
        <f t="shared" si="21"/>
        <v>8053.9773196351507</v>
      </c>
      <c r="AQ9" s="1">
        <f t="shared" si="21"/>
        <v>9343.0151658051727</v>
      </c>
      <c r="AR9" s="1">
        <f t="shared" si="21"/>
        <v>10844.016110145925</v>
      </c>
    </row>
    <row r="10" spans="2:245" x14ac:dyDescent="0.2">
      <c r="B10" s="1" t="s">
        <v>27</v>
      </c>
      <c r="C10" s="1">
        <v>687.27499999999998</v>
      </c>
      <c r="D10" s="1">
        <v>657.98299999999995</v>
      </c>
      <c r="E10" s="1">
        <v>657.15899999999999</v>
      </c>
      <c r="F10" s="1">
        <f t="shared" si="18"/>
        <v>673.34099999999989</v>
      </c>
      <c r="G10" s="1">
        <v>702.47299999999996</v>
      </c>
      <c r="H10" s="1">
        <v>711.25400000000002</v>
      </c>
      <c r="I10" s="1">
        <v>735.06299999999999</v>
      </c>
      <c r="J10" s="1">
        <f t="shared" si="19"/>
        <v>776.50500000000011</v>
      </c>
      <c r="K10" s="1">
        <v>822.82299999999998</v>
      </c>
      <c r="L10" s="1">
        <v>824.67830000000004</v>
      </c>
      <c r="M10" s="20">
        <f>+M$7*(L10/L$7)</f>
        <v>844.31811507345492</v>
      </c>
      <c r="N10" s="20">
        <f>+N$7*(M10/M$7)</f>
        <v>881.01791674826984</v>
      </c>
      <c r="AF10" s="1">
        <v>2711.0410000000002</v>
      </c>
      <c r="AG10" s="1">
        <v>2675.7579999999998</v>
      </c>
      <c r="AH10" s="1">
        <v>2925.2950000000001</v>
      </c>
      <c r="AI10" s="1">
        <f t="shared" si="20"/>
        <v>3372.8373318217245</v>
      </c>
      <c r="AJ10" s="1">
        <f>+AJ$7*(AI10/AI$7)</f>
        <v>3896.9837448678563</v>
      </c>
      <c r="AK10" s="1">
        <f t="shared" ref="AK10:AR10" si="22">+AK$7*(AJ10/AJ$7)</f>
        <v>4505.3577423730276</v>
      </c>
      <c r="AL10" s="1">
        <f t="shared" si="22"/>
        <v>5211.8388804780943</v>
      </c>
      <c r="AM10" s="1">
        <f t="shared" si="22"/>
        <v>6032.6400385363895</v>
      </c>
      <c r="AN10" s="1">
        <f t="shared" si="22"/>
        <v>6986.7063934412918</v>
      </c>
      <c r="AO10" s="1">
        <f t="shared" si="22"/>
        <v>8096.1836614395506</v>
      </c>
      <c r="AP10" s="1">
        <f t="shared" si="22"/>
        <v>9386.9678045463443</v>
      </c>
      <c r="AQ10" s="1">
        <f t="shared" si="22"/>
        <v>10889.350575272587</v>
      </c>
      <c r="AR10" s="1">
        <f t="shared" si="22"/>
        <v>12638.777843309465</v>
      </c>
    </row>
    <row r="11" spans="2:245" x14ac:dyDescent="0.2">
      <c r="B11" s="1" t="s">
        <v>28</v>
      </c>
      <c r="C11" s="1">
        <v>400.92399999999998</v>
      </c>
      <c r="D11" s="1">
        <v>401.49700000000001</v>
      </c>
      <c r="E11" s="1">
        <v>478.59100000000001</v>
      </c>
      <c r="F11" s="1">
        <f t="shared" si="18"/>
        <v>439.27299999999991</v>
      </c>
      <c r="G11" s="1">
        <v>404.02</v>
      </c>
      <c r="H11" s="1">
        <v>426.99200000000002</v>
      </c>
      <c r="I11" s="1">
        <v>417.35300000000001</v>
      </c>
      <c r="J11" s="1">
        <f t="shared" si="19"/>
        <v>453.67399999999998</v>
      </c>
      <c r="K11" s="1">
        <v>421.46199999999999</v>
      </c>
      <c r="L11" s="1">
        <v>441.21300000000002</v>
      </c>
      <c r="M11" s="20">
        <f>+M$7*(L11/L$7)</f>
        <v>451.72054182328338</v>
      </c>
      <c r="N11" s="20">
        <f>+N$7*(M11/M$7)</f>
        <v>471.35538561188571</v>
      </c>
      <c r="AF11" s="1">
        <v>1572.8910000000001</v>
      </c>
      <c r="AG11" s="1">
        <v>1720.2850000000001</v>
      </c>
      <c r="AH11" s="1">
        <v>1702.039</v>
      </c>
      <c r="AI11" s="1">
        <f t="shared" si="20"/>
        <v>1785.7509274351692</v>
      </c>
      <c r="AJ11" s="1">
        <f>+AJ$7*(AI11/AI$7)</f>
        <v>2063.2605880340102</v>
      </c>
      <c r="AK11" s="1">
        <f t="shared" ref="AK11:AR11" si="23">+AK$7*(AJ11/AJ$7)</f>
        <v>2385.3645982162966</v>
      </c>
      <c r="AL11" s="1">
        <f t="shared" si="23"/>
        <v>2759.4114980426716</v>
      </c>
      <c r="AM11" s="1">
        <f t="shared" si="23"/>
        <v>3193.9852070720326</v>
      </c>
      <c r="AN11" s="1">
        <f t="shared" si="23"/>
        <v>3699.1162615797552</v>
      </c>
      <c r="AO11" s="1">
        <f t="shared" si="23"/>
        <v>4286.5297254914649</v>
      </c>
      <c r="AP11" s="1">
        <f t="shared" si="23"/>
        <v>4969.9362328033931</v>
      </c>
      <c r="AQ11" s="1">
        <f t="shared" si="23"/>
        <v>5765.373771659717</v>
      </c>
      <c r="AR11" s="1">
        <f t="shared" si="23"/>
        <v>6691.6091809108011</v>
      </c>
    </row>
    <row r="12" spans="2:245" x14ac:dyDescent="0.2">
      <c r="B12" s="1" t="s">
        <v>29</v>
      </c>
      <c r="C12" s="1">
        <f>+C7-SUM(C8:C11)</f>
        <v>1714.3170000000009</v>
      </c>
      <c r="D12" s="1">
        <f>+D7-SUM(D8:D11)</f>
        <v>1827.183</v>
      </c>
      <c r="E12" s="1">
        <f>+E7-SUM(E8:E11)</f>
        <v>1916.3940000000002</v>
      </c>
      <c r="F12" s="1">
        <f t="shared" si="18"/>
        <v>1496.1089999999995</v>
      </c>
      <c r="G12" s="1">
        <f>+G7-SUM(G8:G11)</f>
        <v>2632.5339999999978</v>
      </c>
      <c r="H12" s="1">
        <f>+H7-SUM(H8:H11)</f>
        <v>2602.8370000000014</v>
      </c>
      <c r="I12" s="1">
        <f>+I7-SUM(I8:I11)</f>
        <v>2909.476999999999</v>
      </c>
      <c r="J12" s="1">
        <f t="shared" si="19"/>
        <v>2272.7664999999943</v>
      </c>
      <c r="K12" s="1">
        <f>+K7-SUM(K8:K11)</f>
        <v>3346.9989999999998</v>
      </c>
      <c r="L12" s="1">
        <f>+L7-SUM(L8:L11)</f>
        <v>3774.6987000000008</v>
      </c>
      <c r="M12" s="1">
        <f t="shared" ref="M12:N12" si="24">+M7-SUM(M8:M11)</f>
        <v>3078.0678144628109</v>
      </c>
      <c r="N12" s="1">
        <f t="shared" si="24"/>
        <v>3211.8615544237109</v>
      </c>
      <c r="AF12" s="1">
        <f>+AF7-SUM(AF8:AF11)</f>
        <v>5632.8310000000019</v>
      </c>
      <c r="AG12" s="1">
        <f>+AG7-SUM(AG8:AG11)</f>
        <v>6954.0030000000006</v>
      </c>
      <c r="AH12" s="1">
        <f>+AH7-SUM(AH8:AH11)</f>
        <v>10417.614499999992</v>
      </c>
      <c r="AI12" s="1">
        <f>+AI7-SUM(AI8:AI11)</f>
        <v>13411.62706888653</v>
      </c>
      <c r="AJ12" s="1">
        <f t="shared" ref="AJ12:AR12" si="25">+AJ7-SUM(AJ8:AJ11)</f>
        <v>15495.823705038099</v>
      </c>
      <c r="AK12" s="1">
        <f t="shared" si="25"/>
        <v>17914.939829010822</v>
      </c>
      <c r="AL12" s="1">
        <f t="shared" si="25"/>
        <v>20724.165600462438</v>
      </c>
      <c r="AM12" s="1">
        <f t="shared" si="25"/>
        <v>23987.969320175864</v>
      </c>
      <c r="AN12" s="1">
        <f t="shared" si="25"/>
        <v>27781.683896990442</v>
      </c>
      <c r="AO12" s="1">
        <f t="shared" si="25"/>
        <v>32193.36874743145</v>
      </c>
      <c r="AP12" s="1">
        <f t="shared" si="25"/>
        <v>37325.99562820376</v>
      </c>
      <c r="AQ12" s="1">
        <f t="shared" si="25"/>
        <v>43300.015556647151</v>
      </c>
      <c r="AR12" s="1">
        <f t="shared" si="25"/>
        <v>50256.374193243202</v>
      </c>
    </row>
    <row r="13" spans="2:245" x14ac:dyDescent="0.2">
      <c r="B13" s="1" t="s">
        <v>30</v>
      </c>
      <c r="C13" s="1">
        <v>-174.239</v>
      </c>
      <c r="D13" s="1">
        <v>-174.81200000000001</v>
      </c>
      <c r="E13" s="1">
        <v>-175.56299999999999</v>
      </c>
      <c r="F13" s="1">
        <f t="shared" si="18"/>
        <v>-175.21199999999999</v>
      </c>
      <c r="G13" s="1">
        <v>-173.31399999999999</v>
      </c>
      <c r="H13" s="1">
        <v>-167.98599999999999</v>
      </c>
      <c r="I13" s="1">
        <v>-184.83</v>
      </c>
      <c r="J13" s="1">
        <f t="shared" si="19"/>
        <v>-192.64300000000003</v>
      </c>
      <c r="K13" s="1">
        <v>-184.172</v>
      </c>
      <c r="L13" s="1">
        <v>-182.649</v>
      </c>
      <c r="M13" s="1">
        <f>+M$12*(L13/L$12)</f>
        <v>-148.94063153803981</v>
      </c>
      <c r="N13" s="1">
        <f>+N$12*(M13/M$12)</f>
        <v>-155.41460330434751</v>
      </c>
      <c r="AF13" s="1">
        <v>-706.21199999999999</v>
      </c>
      <c r="AG13" s="1">
        <v>-699.82600000000002</v>
      </c>
      <c r="AH13" s="1">
        <v>-718.77300000000002</v>
      </c>
      <c r="AI13" s="1">
        <f t="shared" si="20"/>
        <v>-671.17623484238743</v>
      </c>
      <c r="AJ13" s="1">
        <f>+AJ$12*(AI13/AI$12)</f>
        <v>-775.47851254056366</v>
      </c>
      <c r="AK13" s="1">
        <f t="shared" ref="AK13:AR13" si="26">+AK$12*(AJ13/AJ$12)</f>
        <v>-896.5416202004252</v>
      </c>
      <c r="AL13" s="1">
        <f t="shared" si="26"/>
        <v>-1037.1275138001072</v>
      </c>
      <c r="AM13" s="1">
        <f t="shared" si="26"/>
        <v>-1200.4624679119579</v>
      </c>
      <c r="AN13" s="1">
        <f t="shared" si="26"/>
        <v>-1390.3164694178681</v>
      </c>
      <c r="AO13" s="1">
        <f t="shared" si="26"/>
        <v>-1611.0963950765099</v>
      </c>
      <c r="AP13" s="1">
        <f t="shared" si="26"/>
        <v>-1867.9554001020347</v>
      </c>
      <c r="AQ13" s="1">
        <f t="shared" si="26"/>
        <v>-2166.9213780442556</v>
      </c>
      <c r="AR13" s="1">
        <f t="shared" si="26"/>
        <v>-2515.0478636632365</v>
      </c>
    </row>
    <row r="14" spans="2:245" x14ac:dyDescent="0.2">
      <c r="B14" s="1" t="s">
        <v>31</v>
      </c>
      <c r="C14" s="1">
        <v>-71.203999999999994</v>
      </c>
      <c r="D14" s="1">
        <v>26.960999999999999</v>
      </c>
      <c r="E14" s="1">
        <v>168.21799999999999</v>
      </c>
      <c r="F14" s="1">
        <f t="shared" si="18"/>
        <v>-172.74699999999999</v>
      </c>
      <c r="G14" s="1">
        <v>155.35900000000001</v>
      </c>
      <c r="H14" s="1">
        <v>79.004999999999995</v>
      </c>
      <c r="I14" s="1">
        <v>-21.693000000000001</v>
      </c>
      <c r="J14" s="1">
        <f t="shared" si="19"/>
        <v>54.105000000000018</v>
      </c>
      <c r="K14" s="1">
        <v>50.899000000000001</v>
      </c>
      <c r="L14" s="1">
        <v>39.630000000000003</v>
      </c>
      <c r="M14" s="1">
        <f>+M$12*(L14/L$12)</f>
        <v>32.31617598701618</v>
      </c>
      <c r="N14" s="1">
        <f>+N$12*(M14/M$12)</f>
        <v>33.720856555203106</v>
      </c>
      <c r="AF14" s="1">
        <v>337.31</v>
      </c>
      <c r="AG14" s="1">
        <v>-48.771999999999998</v>
      </c>
      <c r="AH14" s="1">
        <v>266.77600000000001</v>
      </c>
      <c r="AI14" s="1">
        <f t="shared" si="20"/>
        <v>156.56603254221929</v>
      </c>
      <c r="AJ14" s="1">
        <f>+AJ$12*(AI14/AI$12)</f>
        <v>180.89674176072296</v>
      </c>
      <c r="AK14" s="1">
        <f t="shared" ref="AK14:AR14" si="27">+AK$12*(AJ14/AJ$12)</f>
        <v>209.13726856958283</v>
      </c>
      <c r="AL14" s="1">
        <f t="shared" si="27"/>
        <v>241.93189753536205</v>
      </c>
      <c r="AM14" s="1">
        <f t="shared" si="27"/>
        <v>280.03322534349456</v>
      </c>
      <c r="AN14" s="1">
        <f t="shared" si="27"/>
        <v>324.32068105924282</v>
      </c>
      <c r="AO14" s="1">
        <f t="shared" si="27"/>
        <v>375.82226176323928</v>
      </c>
      <c r="AP14" s="1">
        <f t="shared" si="27"/>
        <v>435.74004974783941</v>
      </c>
      <c r="AQ14" s="1">
        <f t="shared" si="27"/>
        <v>505.48017849734748</v>
      </c>
      <c r="AR14" s="1">
        <f t="shared" si="27"/>
        <v>586.68803397070042</v>
      </c>
    </row>
    <row r="15" spans="2:245" x14ac:dyDescent="0.2">
      <c r="B15" s="1" t="s">
        <v>32</v>
      </c>
      <c r="C15" s="1">
        <f>+SUM(C12:C14)</f>
        <v>1468.8740000000009</v>
      </c>
      <c r="D15" s="1">
        <f>+SUM(D12:D14)</f>
        <v>1679.3320000000001</v>
      </c>
      <c r="E15" s="1">
        <f>+SUM(E12:E14)</f>
        <v>1909.0490000000002</v>
      </c>
      <c r="F15" s="1">
        <f t="shared" si="18"/>
        <v>1148.1499999999996</v>
      </c>
      <c r="G15" s="1">
        <f>+SUM(G12:G14)</f>
        <v>2614.5789999999979</v>
      </c>
      <c r="H15" s="1">
        <f>+SUM(H12:H14)</f>
        <v>2513.8560000000016</v>
      </c>
      <c r="I15" s="1">
        <f>+SUM(I12:I14)</f>
        <v>2702.9539999999988</v>
      </c>
      <c r="J15" s="1">
        <f t="shared" si="19"/>
        <v>2134.2284999999947</v>
      </c>
      <c r="K15" s="1">
        <f>+SUM(K12:K14)</f>
        <v>3213.7259999999997</v>
      </c>
      <c r="L15" s="1">
        <f>+SUM(L12:L14)</f>
        <v>3631.679700000001</v>
      </c>
      <c r="M15" s="1">
        <f>+SUM(M12:M14)</f>
        <v>2961.4433589117875</v>
      </c>
      <c r="N15" s="1">
        <f>+SUM(N12:N14)</f>
        <v>3090.1678076745666</v>
      </c>
      <c r="AF15" s="1">
        <f>+SUM(AF12:AF14)</f>
        <v>5263.9290000000028</v>
      </c>
      <c r="AG15" s="1">
        <f>+SUM(AG12:AG14)</f>
        <v>6205.4050000000007</v>
      </c>
      <c r="AH15" s="1">
        <f>+SUM(AH12:AH14)</f>
        <v>9965.617499999993</v>
      </c>
      <c r="AI15" s="1">
        <f t="shared" si="20"/>
        <v>12897.016866586355</v>
      </c>
      <c r="AJ15" s="1">
        <f t="shared" ref="AJ15:AR15" si="28">+SUM(AJ12:AJ14)</f>
        <v>14901.24193425826</v>
      </c>
      <c r="AK15" s="1">
        <f t="shared" si="28"/>
        <v>17227.535477379981</v>
      </c>
      <c r="AL15" s="1">
        <f t="shared" si="28"/>
        <v>19928.969984197694</v>
      </c>
      <c r="AM15" s="1">
        <f t="shared" si="28"/>
        <v>23067.540077607398</v>
      </c>
      <c r="AN15" s="1">
        <f t="shared" si="28"/>
        <v>26715.688108631817</v>
      </c>
      <c r="AO15" s="1">
        <f t="shared" si="28"/>
        <v>30958.094614118178</v>
      </c>
      <c r="AP15" s="1">
        <f t="shared" si="28"/>
        <v>35893.780277849561</v>
      </c>
      <c r="AQ15" s="1">
        <f t="shared" si="28"/>
        <v>41638.574357100239</v>
      </c>
      <c r="AR15" s="1">
        <f t="shared" si="28"/>
        <v>48328.014363550661</v>
      </c>
    </row>
    <row r="16" spans="2:245" x14ac:dyDescent="0.2">
      <c r="B16" s="1" t="s">
        <v>33</v>
      </c>
      <c r="C16" s="1">
        <v>-163.75399999999999</v>
      </c>
      <c r="D16" s="1">
        <v>-191.72200000000001</v>
      </c>
      <c r="E16" s="1">
        <v>-231.62700000000001</v>
      </c>
      <c r="F16" s="1">
        <f t="shared" si="18"/>
        <v>-210.3119999999999</v>
      </c>
      <c r="G16" s="1">
        <v>-282.37</v>
      </c>
      <c r="H16" s="1">
        <v>-366.55</v>
      </c>
      <c r="I16" s="1">
        <v>-339.44499999999999</v>
      </c>
      <c r="J16" s="1">
        <f t="shared" si="19"/>
        <v>-265.66100000000006</v>
      </c>
      <c r="K16" s="1">
        <v>-323.375</v>
      </c>
      <c r="L16" s="1">
        <v>-506.262</v>
      </c>
      <c r="M16" s="1">
        <f>+M15*(L16/L15)</f>
        <v>-412.82997445215199</v>
      </c>
      <c r="N16" s="1">
        <f>+N15*(M16/M15)</f>
        <v>-430.77436995584748</v>
      </c>
      <c r="O16" s="5"/>
      <c r="P16" s="5"/>
      <c r="AF16" s="1">
        <v>-772.005</v>
      </c>
      <c r="AG16" s="1">
        <v>-797.41499999999996</v>
      </c>
      <c r="AH16" s="1">
        <v>-1254.0260000000001</v>
      </c>
      <c r="AI16" s="1">
        <f t="shared" si="20"/>
        <v>-1673.2413444079996</v>
      </c>
      <c r="AJ16" s="1">
        <f>+AJ15*(AI16/AI15)</f>
        <v>-1933.2667659003098</v>
      </c>
      <c r="AK16" s="1">
        <f t="shared" ref="AK16:AR16" si="29">+AK15*(AJ16/AJ15)</f>
        <v>-2235.076911288676</v>
      </c>
      <c r="AL16" s="1">
        <f t="shared" si="29"/>
        <v>-2585.5573326742337</v>
      </c>
      <c r="AM16" s="1">
        <f t="shared" si="29"/>
        <v>-2992.7511277154281</v>
      </c>
      <c r="AN16" s="1">
        <f t="shared" si="29"/>
        <v>-3466.0568680409733</v>
      </c>
      <c r="AO16" s="1">
        <f t="shared" si="29"/>
        <v>-4016.4608907848874</v>
      </c>
      <c r="AP16" s="1">
        <f t="shared" si="29"/>
        <v>-4656.8100041487369</v>
      </c>
      <c r="AQ16" s="1">
        <f t="shared" si="29"/>
        <v>-5402.1317376898041</v>
      </c>
      <c r="AR16" s="1">
        <f t="shared" si="29"/>
        <v>-6270.0105429605601</v>
      </c>
    </row>
    <row r="17" spans="2:245" x14ac:dyDescent="0.2">
      <c r="B17" s="1" t="s">
        <v>34</v>
      </c>
      <c r="C17" s="1">
        <f>SUM(C15:C16)</f>
        <v>1305.120000000001</v>
      </c>
      <c r="D17" s="1">
        <f>SUM(D15:D16)</f>
        <v>1487.6100000000001</v>
      </c>
      <c r="E17" s="1">
        <f>SUM(E15:E16)</f>
        <v>1677.4220000000003</v>
      </c>
      <c r="F17" s="1">
        <f t="shared" si="18"/>
        <v>937.83799999999883</v>
      </c>
      <c r="G17" s="1">
        <f>SUM(G15:G16)</f>
        <v>2332.208999999998</v>
      </c>
      <c r="H17" s="1">
        <f>SUM(H15:H16)</f>
        <v>2147.3060000000014</v>
      </c>
      <c r="I17" s="1">
        <f>SUM(I15:I16)</f>
        <v>2363.5089999999987</v>
      </c>
      <c r="J17" s="1">
        <f t="shared" si="19"/>
        <v>1868.5674999999956</v>
      </c>
      <c r="K17" s="1">
        <f>SUM(K15:K16)</f>
        <v>2890.3509999999997</v>
      </c>
      <c r="L17" s="1">
        <f>SUM(L15:L16)</f>
        <v>3125.4177000000009</v>
      </c>
      <c r="M17" s="1">
        <f>SUM(M15:M16)</f>
        <v>2548.6133844596357</v>
      </c>
      <c r="N17" s="1">
        <f>SUM(N15:N16)</f>
        <v>2659.3934377187193</v>
      </c>
      <c r="O17" s="10"/>
      <c r="P17" s="10"/>
      <c r="AF17" s="1">
        <f>SUM(AF15:AF16)</f>
        <v>4491.9240000000027</v>
      </c>
      <c r="AG17" s="1">
        <f>SUM(AG15:AG16)</f>
        <v>5407.9900000000007</v>
      </c>
      <c r="AH17" s="1">
        <f>SUM(AH15:AH16)</f>
        <v>8711.5914999999932</v>
      </c>
      <c r="AI17" s="1">
        <f>SUM(AI15:AI16)</f>
        <v>11223.775522178355</v>
      </c>
      <c r="AJ17" s="1">
        <f>SUM(AJ15:AJ16)</f>
        <v>12967.975168357951</v>
      </c>
      <c r="AK17" s="1">
        <f t="shared" ref="AK17:AR17" si="30">SUM(AK15:AK16)</f>
        <v>14992.458566091305</v>
      </c>
      <c r="AL17" s="1">
        <f t="shared" si="30"/>
        <v>17343.41265152346</v>
      </c>
      <c r="AM17" s="1">
        <f t="shared" si="30"/>
        <v>20074.788949891969</v>
      </c>
      <c r="AN17" s="1">
        <f t="shared" si="30"/>
        <v>23249.631240590843</v>
      </c>
      <c r="AO17" s="1">
        <f t="shared" si="30"/>
        <v>26941.633723333289</v>
      </c>
      <c r="AP17" s="1">
        <f t="shared" si="30"/>
        <v>31236.970273700823</v>
      </c>
      <c r="AQ17" s="1">
        <f t="shared" si="30"/>
        <v>36236.442619410431</v>
      </c>
      <c r="AR17" s="1">
        <f t="shared" si="30"/>
        <v>42058.0038205901</v>
      </c>
      <c r="AS17" s="1">
        <f t="shared" ref="AS17:DD17" si="31">+AR17*(1+$AV$19)</f>
        <v>42478.583858796002</v>
      </c>
      <c r="AT17" s="1">
        <f t="shared" si="31"/>
        <v>42903.369697383961</v>
      </c>
      <c r="AU17" s="1">
        <f t="shared" si="31"/>
        <v>43332.403394357803</v>
      </c>
      <c r="AV17" s="1">
        <f t="shared" si="31"/>
        <v>43765.727428301383</v>
      </c>
      <c r="AW17" s="1">
        <f t="shared" si="31"/>
        <v>44203.384702584401</v>
      </c>
      <c r="AX17" s="1">
        <f t="shared" si="31"/>
        <v>44645.418549610244</v>
      </c>
      <c r="AY17" s="1">
        <f t="shared" si="31"/>
        <v>45091.87273510635</v>
      </c>
      <c r="AZ17" s="1">
        <f t="shared" si="31"/>
        <v>45542.791462457411</v>
      </c>
      <c r="BA17" s="1">
        <f t="shared" si="31"/>
        <v>45998.219377081987</v>
      </c>
      <c r="BB17" s="1">
        <f t="shared" si="31"/>
        <v>46458.201570852805</v>
      </c>
      <c r="BC17" s="1">
        <f t="shared" si="31"/>
        <v>46922.783586561331</v>
      </c>
      <c r="BD17" s="1">
        <f t="shared" si="31"/>
        <v>47392.011422426942</v>
      </c>
      <c r="BE17" s="1">
        <f t="shared" si="31"/>
        <v>47865.931536651209</v>
      </c>
      <c r="BF17" s="1">
        <f t="shared" si="31"/>
        <v>48344.590852017718</v>
      </c>
      <c r="BG17" s="1">
        <f t="shared" si="31"/>
        <v>48828.036760537892</v>
      </c>
      <c r="BH17" s="1">
        <f t="shared" si="31"/>
        <v>49316.317128143273</v>
      </c>
      <c r="BI17" s="1">
        <f t="shared" si="31"/>
        <v>49809.480299424707</v>
      </c>
      <c r="BJ17" s="1">
        <f t="shared" si="31"/>
        <v>50307.575102418952</v>
      </c>
      <c r="BK17" s="1">
        <f t="shared" si="31"/>
        <v>50810.650853443141</v>
      </c>
      <c r="BL17" s="1">
        <f t="shared" si="31"/>
        <v>51318.757361977572</v>
      </c>
      <c r="BM17" s="1">
        <f t="shared" si="31"/>
        <v>51831.944935597348</v>
      </c>
      <c r="BN17" s="1">
        <f t="shared" si="31"/>
        <v>52350.26438495332</v>
      </c>
      <c r="BO17" s="1">
        <f t="shared" si="31"/>
        <v>52873.767028802853</v>
      </c>
      <c r="BP17" s="1">
        <f t="shared" si="31"/>
        <v>53402.504699090881</v>
      </c>
      <c r="BQ17" s="1">
        <f t="shared" si="31"/>
        <v>53936.529746081789</v>
      </c>
      <c r="BR17" s="1">
        <f t="shared" si="31"/>
        <v>54475.895043542609</v>
      </c>
      <c r="BS17" s="1">
        <f t="shared" si="31"/>
        <v>55020.653993978034</v>
      </c>
      <c r="BT17" s="1">
        <f t="shared" si="31"/>
        <v>55570.860533917818</v>
      </c>
      <c r="BU17" s="1">
        <f t="shared" si="31"/>
        <v>56126.569139256993</v>
      </c>
      <c r="BV17" s="1">
        <f t="shared" si="31"/>
        <v>56687.834830649561</v>
      </c>
      <c r="BW17" s="1">
        <f t="shared" si="31"/>
        <v>57254.713178956059</v>
      </c>
      <c r="BX17" s="1">
        <f t="shared" si="31"/>
        <v>57827.260310745623</v>
      </c>
      <c r="BY17" s="1">
        <f t="shared" si="31"/>
        <v>58405.53291385308</v>
      </c>
      <c r="BZ17" s="1">
        <f t="shared" si="31"/>
        <v>58989.588242991609</v>
      </c>
      <c r="CA17" s="1">
        <f t="shared" si="31"/>
        <v>59579.484125421528</v>
      </c>
      <c r="CB17" s="1">
        <f t="shared" si="31"/>
        <v>60175.278966675745</v>
      </c>
      <c r="CC17" s="1">
        <f t="shared" si="31"/>
        <v>60777.031756342505</v>
      </c>
      <c r="CD17" s="1">
        <f t="shared" si="31"/>
        <v>61384.802073905928</v>
      </c>
      <c r="CE17" s="1">
        <f t="shared" si="31"/>
        <v>61998.650094644989</v>
      </c>
      <c r="CF17" s="1">
        <f t="shared" si="31"/>
        <v>62618.636595591437</v>
      </c>
      <c r="CG17" s="1">
        <f t="shared" si="31"/>
        <v>63244.822961547354</v>
      </c>
      <c r="CH17" s="1">
        <f t="shared" si="31"/>
        <v>63877.271191162828</v>
      </c>
      <c r="CI17" s="1">
        <f t="shared" si="31"/>
        <v>64516.04390307446</v>
      </c>
      <c r="CJ17" s="1">
        <f t="shared" si="31"/>
        <v>65161.204342105208</v>
      </c>
      <c r="CK17" s="1">
        <f t="shared" si="31"/>
        <v>65812.816385526254</v>
      </c>
      <c r="CL17" s="1">
        <f t="shared" si="31"/>
        <v>66470.944549381515</v>
      </c>
      <c r="CM17" s="1">
        <f t="shared" si="31"/>
        <v>67135.653994875334</v>
      </c>
      <c r="CN17" s="1">
        <f t="shared" si="31"/>
        <v>67807.01053482409</v>
      </c>
      <c r="CO17" s="1">
        <f t="shared" si="31"/>
        <v>68485.080640172338</v>
      </c>
      <c r="CP17" s="1">
        <f t="shared" si="31"/>
        <v>69169.931446574061</v>
      </c>
      <c r="CQ17" s="1">
        <f t="shared" si="31"/>
        <v>69861.630761039807</v>
      </c>
      <c r="CR17" s="1">
        <f t="shared" si="31"/>
        <v>70560.247068650206</v>
      </c>
      <c r="CS17" s="1">
        <f t="shared" si="31"/>
        <v>71265.849539336705</v>
      </c>
      <c r="CT17" s="1">
        <f t="shared" si="31"/>
        <v>71978.508034730068</v>
      </c>
      <c r="CU17" s="1">
        <f t="shared" si="31"/>
        <v>72698.293115077366</v>
      </c>
      <c r="CV17" s="1">
        <f t="shared" si="31"/>
        <v>73425.276046228144</v>
      </c>
      <c r="CW17" s="1">
        <f t="shared" si="31"/>
        <v>74159.528806690432</v>
      </c>
      <c r="CX17" s="1">
        <f t="shared" si="31"/>
        <v>74901.124094757339</v>
      </c>
      <c r="CY17" s="1">
        <f t="shared" si="31"/>
        <v>75650.135335704908</v>
      </c>
      <c r="CZ17" s="1">
        <f t="shared" si="31"/>
        <v>76406.636689061954</v>
      </c>
      <c r="DA17" s="1">
        <f t="shared" si="31"/>
        <v>77170.703055952574</v>
      </c>
      <c r="DB17" s="1">
        <f t="shared" si="31"/>
        <v>77942.4100865121</v>
      </c>
      <c r="DC17" s="1">
        <f t="shared" si="31"/>
        <v>78721.834187377215</v>
      </c>
      <c r="DD17" s="1">
        <f t="shared" si="31"/>
        <v>79509.052529250985</v>
      </c>
      <c r="DE17" s="1">
        <f t="shared" ref="DE17:FP17" si="32">+DD17*(1+$AV$19)</f>
        <v>80304.1430545435</v>
      </c>
      <c r="DF17" s="1">
        <f t="shared" si="32"/>
        <v>81107.184485088932</v>
      </c>
      <c r="DG17" s="1">
        <f t="shared" si="32"/>
        <v>81918.256329939817</v>
      </c>
      <c r="DH17" s="1">
        <f t="shared" si="32"/>
        <v>82737.438893239218</v>
      </c>
      <c r="DI17" s="1">
        <f t="shared" si="32"/>
        <v>83564.813282171614</v>
      </c>
      <c r="DJ17" s="1">
        <f t="shared" si="32"/>
        <v>84400.461414993333</v>
      </c>
      <c r="DK17" s="1">
        <f t="shared" si="32"/>
        <v>85244.466029143266</v>
      </c>
      <c r="DL17" s="1">
        <f t="shared" si="32"/>
        <v>86096.910689434706</v>
      </c>
      <c r="DM17" s="1">
        <f t="shared" si="32"/>
        <v>86957.879796329056</v>
      </c>
      <c r="DN17" s="1">
        <f t="shared" si="32"/>
        <v>87827.458594292344</v>
      </c>
      <c r="DO17" s="1">
        <f t="shared" si="32"/>
        <v>88705.733180235271</v>
      </c>
      <c r="DP17" s="1">
        <f t="shared" si="32"/>
        <v>89592.790512037624</v>
      </c>
      <c r="DQ17" s="1">
        <f t="shared" si="32"/>
        <v>90488.718417158001</v>
      </c>
      <c r="DR17" s="1">
        <f t="shared" si="32"/>
        <v>91393.605601329575</v>
      </c>
      <c r="DS17" s="1">
        <f t="shared" si="32"/>
        <v>92307.541657342867</v>
      </c>
      <c r="DT17" s="1">
        <f t="shared" si="32"/>
        <v>93230.617073916292</v>
      </c>
      <c r="DU17" s="1">
        <f t="shared" si="32"/>
        <v>94162.923244655452</v>
      </c>
      <c r="DV17" s="1">
        <f t="shared" si="32"/>
        <v>95104.552477102014</v>
      </c>
      <c r="DW17" s="1">
        <f t="shared" si="32"/>
        <v>96055.598001873033</v>
      </c>
      <c r="DX17" s="1">
        <f t="shared" si="32"/>
        <v>97016.153981891766</v>
      </c>
      <c r="DY17" s="1">
        <f t="shared" si="32"/>
        <v>97986.315521710683</v>
      </c>
      <c r="DZ17" s="1">
        <f t="shared" si="32"/>
        <v>98966.178676927797</v>
      </c>
      <c r="EA17" s="1">
        <f t="shared" si="32"/>
        <v>99955.840463697081</v>
      </c>
      <c r="EB17" s="1">
        <f t="shared" si="32"/>
        <v>100955.39886833406</v>
      </c>
      <c r="EC17" s="1">
        <f t="shared" si="32"/>
        <v>101964.9528570174</v>
      </c>
      <c r="ED17" s="1">
        <f t="shared" si="32"/>
        <v>102984.60238558758</v>
      </c>
      <c r="EE17" s="1">
        <f t="shared" si="32"/>
        <v>104014.44840944346</v>
      </c>
      <c r="EF17" s="1">
        <f t="shared" si="32"/>
        <v>105054.59289353789</v>
      </c>
      <c r="EG17" s="1">
        <f t="shared" si="32"/>
        <v>106105.13882247327</v>
      </c>
      <c r="EH17" s="1">
        <f t="shared" si="32"/>
        <v>107166.190210698</v>
      </c>
      <c r="EI17" s="1">
        <f t="shared" si="32"/>
        <v>108237.85211280498</v>
      </c>
      <c r="EJ17" s="1">
        <f t="shared" si="32"/>
        <v>109320.23063393302</v>
      </c>
      <c r="EK17" s="1">
        <f t="shared" si="32"/>
        <v>110413.43294027235</v>
      </c>
      <c r="EL17" s="1">
        <f t="shared" si="32"/>
        <v>111517.56726967507</v>
      </c>
      <c r="EM17" s="1">
        <f t="shared" si="32"/>
        <v>112632.74294237183</v>
      </c>
      <c r="EN17" s="1">
        <f t="shared" si="32"/>
        <v>113759.07037179555</v>
      </c>
      <c r="EO17" s="1">
        <f t="shared" si="32"/>
        <v>114896.6610755135</v>
      </c>
      <c r="EP17" s="1">
        <f t="shared" si="32"/>
        <v>116045.62768626864</v>
      </c>
      <c r="EQ17" s="1">
        <f t="shared" si="32"/>
        <v>117206.08396313133</v>
      </c>
      <c r="ER17" s="1">
        <f t="shared" si="32"/>
        <v>118378.14480276265</v>
      </c>
      <c r="ES17" s="1">
        <f t="shared" si="32"/>
        <v>119561.92625079027</v>
      </c>
      <c r="ET17" s="1">
        <f t="shared" si="32"/>
        <v>120757.54551329817</v>
      </c>
      <c r="EU17" s="1">
        <f t="shared" si="32"/>
        <v>121965.12096843116</v>
      </c>
      <c r="EV17" s="1">
        <f t="shared" si="32"/>
        <v>123184.77217811547</v>
      </c>
      <c r="EW17" s="1">
        <f t="shared" si="32"/>
        <v>124416.61989989663</v>
      </c>
      <c r="EX17" s="1">
        <f t="shared" si="32"/>
        <v>125660.78609889559</v>
      </c>
      <c r="EY17" s="1">
        <f t="shared" si="32"/>
        <v>126917.39395988455</v>
      </c>
      <c r="EZ17" s="1">
        <f t="shared" si="32"/>
        <v>128186.56789948339</v>
      </c>
      <c r="FA17" s="1">
        <f t="shared" si="32"/>
        <v>129468.43357847822</v>
      </c>
      <c r="FB17" s="1">
        <f t="shared" si="32"/>
        <v>130763.117914263</v>
      </c>
      <c r="FC17" s="1">
        <f t="shared" si="32"/>
        <v>132070.74909340564</v>
      </c>
      <c r="FD17" s="1">
        <f t="shared" si="32"/>
        <v>133391.4565843397</v>
      </c>
      <c r="FE17" s="1">
        <f t="shared" si="32"/>
        <v>134725.37115018308</v>
      </c>
      <c r="FF17" s="1">
        <f t="shared" si="32"/>
        <v>136072.62486168492</v>
      </c>
      <c r="FG17" s="1">
        <f t="shared" si="32"/>
        <v>137433.35111030177</v>
      </c>
      <c r="FH17" s="1">
        <f t="shared" si="32"/>
        <v>138807.6846214048</v>
      </c>
      <c r="FI17" s="1">
        <f t="shared" si="32"/>
        <v>140195.76146761884</v>
      </c>
      <c r="FJ17" s="1">
        <f t="shared" si="32"/>
        <v>141597.71908229502</v>
      </c>
      <c r="FK17" s="1">
        <f t="shared" si="32"/>
        <v>143013.69627311797</v>
      </c>
      <c r="FL17" s="1">
        <f t="shared" si="32"/>
        <v>144443.83323584916</v>
      </c>
      <c r="FM17" s="1">
        <f t="shared" si="32"/>
        <v>145888.27156820765</v>
      </c>
      <c r="FN17" s="1">
        <f t="shared" si="32"/>
        <v>147347.15428388974</v>
      </c>
      <c r="FO17" s="1">
        <f t="shared" si="32"/>
        <v>148820.62582672865</v>
      </c>
      <c r="FP17" s="1">
        <f t="shared" si="32"/>
        <v>150308.83208499593</v>
      </c>
      <c r="FQ17" s="1">
        <f t="shared" ref="FQ17:IB17" si="33">+FP17*(1+$AV$19)</f>
        <v>151811.92040584589</v>
      </c>
      <c r="FR17" s="1">
        <f t="shared" si="33"/>
        <v>153330.03960990434</v>
      </c>
      <c r="FS17" s="1">
        <f t="shared" si="33"/>
        <v>154863.34000600339</v>
      </c>
      <c r="FT17" s="1">
        <f t="shared" si="33"/>
        <v>156411.97340606342</v>
      </c>
      <c r="FU17" s="1">
        <f t="shared" si="33"/>
        <v>157976.09314012405</v>
      </c>
      <c r="FV17" s="1">
        <f t="shared" si="33"/>
        <v>159555.8540715253</v>
      </c>
      <c r="FW17" s="1">
        <f t="shared" si="33"/>
        <v>161151.41261224056</v>
      </c>
      <c r="FX17" s="1">
        <f t="shared" si="33"/>
        <v>162762.92673836296</v>
      </c>
      <c r="FY17" s="1">
        <f t="shared" si="33"/>
        <v>164390.55600574659</v>
      </c>
      <c r="FZ17" s="1">
        <f t="shared" si="33"/>
        <v>166034.46156580406</v>
      </c>
      <c r="GA17" s="1">
        <f t="shared" si="33"/>
        <v>167694.8061814621</v>
      </c>
      <c r="GB17" s="1">
        <f t="shared" si="33"/>
        <v>169371.75424327672</v>
      </c>
      <c r="GC17" s="1">
        <f t="shared" si="33"/>
        <v>171065.47178570949</v>
      </c>
      <c r="GD17" s="1">
        <f t="shared" si="33"/>
        <v>172776.1265035666</v>
      </c>
      <c r="GE17" s="1">
        <f t="shared" si="33"/>
        <v>174503.88776860226</v>
      </c>
      <c r="GF17" s="1">
        <f t="shared" si="33"/>
        <v>176248.92664628828</v>
      </c>
      <c r="GG17" s="1">
        <f t="shared" si="33"/>
        <v>178011.41591275117</v>
      </c>
      <c r="GH17" s="1">
        <f t="shared" si="33"/>
        <v>179791.53007187869</v>
      </c>
      <c r="GI17" s="1">
        <f t="shared" si="33"/>
        <v>181589.44537259749</v>
      </c>
      <c r="GJ17" s="1">
        <f t="shared" si="33"/>
        <v>183405.33982632347</v>
      </c>
      <c r="GK17" s="1">
        <f t="shared" si="33"/>
        <v>185239.3932245867</v>
      </c>
      <c r="GL17" s="1">
        <f t="shared" si="33"/>
        <v>187091.78715683258</v>
      </c>
      <c r="GM17" s="1">
        <f t="shared" si="33"/>
        <v>188962.7050284009</v>
      </c>
      <c r="GN17" s="1">
        <f t="shared" si="33"/>
        <v>190852.33207868491</v>
      </c>
      <c r="GO17" s="1">
        <f t="shared" si="33"/>
        <v>192760.85539947177</v>
      </c>
      <c r="GP17" s="1">
        <f t="shared" si="33"/>
        <v>194688.46395346647</v>
      </c>
      <c r="GQ17" s="1">
        <f t="shared" si="33"/>
        <v>196635.34859300114</v>
      </c>
      <c r="GR17" s="1">
        <f t="shared" si="33"/>
        <v>198601.70207893115</v>
      </c>
      <c r="GS17" s="1">
        <f t="shared" si="33"/>
        <v>200587.71909972047</v>
      </c>
      <c r="GT17" s="1">
        <f t="shared" si="33"/>
        <v>202593.59629071769</v>
      </c>
      <c r="GU17" s="1">
        <f t="shared" si="33"/>
        <v>204619.53225362487</v>
      </c>
      <c r="GV17" s="1">
        <f t="shared" si="33"/>
        <v>206665.72757616112</v>
      </c>
      <c r="GW17" s="1">
        <f t="shared" si="33"/>
        <v>208732.38485192275</v>
      </c>
      <c r="GX17" s="1">
        <f t="shared" si="33"/>
        <v>210819.70870044199</v>
      </c>
      <c r="GY17" s="1">
        <f t="shared" si="33"/>
        <v>212927.90578744642</v>
      </c>
      <c r="GZ17" s="1">
        <f t="shared" si="33"/>
        <v>215057.18484532088</v>
      </c>
      <c r="HA17" s="1">
        <f t="shared" si="33"/>
        <v>217207.75669377408</v>
      </c>
      <c r="HB17" s="1">
        <f t="shared" si="33"/>
        <v>219379.83426071182</v>
      </c>
      <c r="HC17" s="1">
        <f t="shared" si="33"/>
        <v>221573.63260331895</v>
      </c>
      <c r="HD17" s="1">
        <f t="shared" si="33"/>
        <v>223789.36892935215</v>
      </c>
      <c r="HE17" s="1">
        <f t="shared" si="33"/>
        <v>226027.26261864568</v>
      </c>
      <c r="HF17" s="1">
        <f t="shared" si="33"/>
        <v>228287.53524483214</v>
      </c>
      <c r="HG17" s="1">
        <f t="shared" si="33"/>
        <v>230570.41059728045</v>
      </c>
      <c r="HH17" s="1">
        <f t="shared" si="33"/>
        <v>232876.11470325326</v>
      </c>
      <c r="HI17" s="1">
        <f t="shared" si="33"/>
        <v>235204.87585028578</v>
      </c>
      <c r="HJ17" s="1">
        <f t="shared" si="33"/>
        <v>237556.92460878863</v>
      </c>
      <c r="HK17" s="1">
        <f t="shared" si="33"/>
        <v>239932.49385487652</v>
      </c>
      <c r="HL17" s="1">
        <f t="shared" si="33"/>
        <v>242331.81879342528</v>
      </c>
      <c r="HM17" s="1">
        <f t="shared" si="33"/>
        <v>244755.13698135954</v>
      </c>
      <c r="HN17" s="1">
        <f t="shared" si="33"/>
        <v>247202.68835117313</v>
      </c>
      <c r="HO17" s="1">
        <f t="shared" si="33"/>
        <v>249674.71523468487</v>
      </c>
      <c r="HP17" s="1">
        <f t="shared" si="33"/>
        <v>252171.46238703173</v>
      </c>
      <c r="HQ17" s="1">
        <f t="shared" si="33"/>
        <v>254693.17701090206</v>
      </c>
      <c r="HR17" s="1">
        <f t="shared" si="33"/>
        <v>257240.10878101108</v>
      </c>
      <c r="HS17" s="1">
        <f t="shared" si="33"/>
        <v>259812.50986882119</v>
      </c>
      <c r="HT17" s="1">
        <f t="shared" si="33"/>
        <v>262410.63496750942</v>
      </c>
      <c r="HU17" s="1">
        <f t="shared" si="33"/>
        <v>265034.74131718453</v>
      </c>
      <c r="HV17" s="1">
        <f t="shared" si="33"/>
        <v>267685.08873035636</v>
      </c>
      <c r="HW17" s="1">
        <f t="shared" si="33"/>
        <v>270361.93961765995</v>
      </c>
      <c r="HX17" s="1">
        <f t="shared" si="33"/>
        <v>273065.55901383655</v>
      </c>
      <c r="HY17" s="1">
        <f t="shared" si="33"/>
        <v>275796.21460397489</v>
      </c>
      <c r="HZ17" s="1">
        <f t="shared" si="33"/>
        <v>278554.17675001465</v>
      </c>
      <c r="IA17" s="1">
        <f t="shared" si="33"/>
        <v>281339.71851751482</v>
      </c>
      <c r="IB17" s="1">
        <f t="shared" si="33"/>
        <v>284153.11570268997</v>
      </c>
      <c r="IC17" s="1">
        <f t="shared" ref="IC17:IK17" si="34">+IB17*(1+$AV$19)</f>
        <v>286994.64685971686</v>
      </c>
      <c r="ID17" s="1">
        <f t="shared" si="34"/>
        <v>289864.59332831402</v>
      </c>
      <c r="IE17" s="1">
        <f t="shared" si="34"/>
        <v>292763.23926159716</v>
      </c>
      <c r="IF17" s="1">
        <f t="shared" si="34"/>
        <v>295690.87165421312</v>
      </c>
      <c r="IG17" s="1">
        <f t="shared" si="34"/>
        <v>298647.78037075524</v>
      </c>
      <c r="IH17" s="1">
        <f t="shared" si="34"/>
        <v>301634.25817446277</v>
      </c>
      <c r="II17" s="1">
        <f t="shared" si="34"/>
        <v>304650.60075620742</v>
      </c>
      <c r="IJ17" s="1">
        <f t="shared" si="34"/>
        <v>307697.10676376952</v>
      </c>
      <c r="IK17" s="1">
        <f t="shared" si="34"/>
        <v>310774.07783140719</v>
      </c>
    </row>
    <row r="18" spans="2:245" x14ac:dyDescent="0.2">
      <c r="B18" s="1" t="s">
        <v>35</v>
      </c>
      <c r="C18" s="1">
        <v>452.41699999999997</v>
      </c>
      <c r="D18" s="1">
        <v>451.572</v>
      </c>
      <c r="E18" s="1">
        <v>450.01100000000002</v>
      </c>
      <c r="F18" s="1">
        <f t="shared" si="18"/>
        <v>-904.50199999999995</v>
      </c>
      <c r="G18" s="1">
        <v>441.654</v>
      </c>
      <c r="H18" s="1">
        <v>439.73899999999998</v>
      </c>
      <c r="I18" s="1">
        <v>437.89800000000002</v>
      </c>
      <c r="J18" s="1">
        <f t="shared" si="19"/>
        <v>-880.0300000000002</v>
      </c>
      <c r="K18" s="1">
        <v>436.96199999999999</v>
      </c>
      <c r="L18" s="1">
        <v>434.88299999999998</v>
      </c>
      <c r="M18" s="1">
        <f>+L18</f>
        <v>434.88299999999998</v>
      </c>
      <c r="N18" s="1">
        <f>+M18</f>
        <v>434.88299999999998</v>
      </c>
      <c r="AF18" s="1">
        <v>451.29</v>
      </c>
      <c r="AG18" s="1">
        <v>449.49799999999999</v>
      </c>
      <c r="AH18" s="1">
        <v>439.26100000000002</v>
      </c>
      <c r="AI18" s="1">
        <f>+AI17/AI19</f>
        <v>435.41649125694335</v>
      </c>
      <c r="AJ18" s="1">
        <f>+AI18</f>
        <v>435.41649125694335</v>
      </c>
      <c r="AK18" s="1">
        <f t="shared" ref="AK18:AR18" si="35">+AJ18</f>
        <v>435.41649125694335</v>
      </c>
      <c r="AL18" s="1">
        <f t="shared" si="35"/>
        <v>435.41649125694335</v>
      </c>
      <c r="AM18" s="1">
        <f t="shared" si="35"/>
        <v>435.41649125694335</v>
      </c>
      <c r="AN18" s="1">
        <f t="shared" si="35"/>
        <v>435.41649125694335</v>
      </c>
      <c r="AO18" s="1">
        <f t="shared" si="35"/>
        <v>435.41649125694335</v>
      </c>
      <c r="AP18" s="1">
        <f t="shared" si="35"/>
        <v>435.41649125694335</v>
      </c>
      <c r="AQ18" s="1">
        <f t="shared" si="35"/>
        <v>435.41649125694335</v>
      </c>
      <c r="AR18" s="1">
        <f t="shared" si="35"/>
        <v>435.41649125694335</v>
      </c>
    </row>
    <row r="19" spans="2:245" s="17" customFormat="1" x14ac:dyDescent="0.2">
      <c r="B19" s="17" t="s">
        <v>36</v>
      </c>
      <c r="C19" s="17">
        <f>+C17/C18</f>
        <v>2.8847722344651086</v>
      </c>
      <c r="D19" s="17">
        <f>+D17/D18</f>
        <v>3.2942919401557229</v>
      </c>
      <c r="E19" s="17">
        <f>+E17/E18</f>
        <v>3.7275133274519958</v>
      </c>
      <c r="F19" s="17">
        <f t="shared" si="18"/>
        <v>2.1245994998270703</v>
      </c>
      <c r="G19" s="17">
        <f>+G17/G18</f>
        <v>5.2806246518768045</v>
      </c>
      <c r="H19" s="17">
        <f>+H17/H18</f>
        <v>4.8831374974700941</v>
      </c>
      <c r="I19" s="17">
        <f>+I17/I18</f>
        <v>5.3973961972879492</v>
      </c>
      <c r="J19" s="17">
        <f t="shared" si="19"/>
        <v>4.2712226295956697</v>
      </c>
      <c r="K19" s="17">
        <f>+K17/K18</f>
        <v>6.6146507018916969</v>
      </c>
      <c r="L19" s="17">
        <f>+L17/L18</f>
        <v>7.1868012775850083</v>
      </c>
      <c r="M19" s="17">
        <f>+M17/M18</f>
        <v>5.8604576045962613</v>
      </c>
      <c r="N19" s="17">
        <f>+N17/N18</f>
        <v>6.1151929087104335</v>
      </c>
      <c r="AF19" s="17">
        <f>+AF17/AF18</f>
        <v>9.9535199095925062</v>
      </c>
      <c r="AG19" s="17">
        <f>+AG17/AG18</f>
        <v>12.031177001899898</v>
      </c>
      <c r="AH19" s="17">
        <f>+AH17/AH18</f>
        <v>19.832380976230517</v>
      </c>
      <c r="AI19" s="1">
        <f t="shared" si="20"/>
        <v>25.777102492783399</v>
      </c>
      <c r="AJ19" s="17">
        <f>+AJ17/AJ18</f>
        <v>29.782921475763366</v>
      </c>
      <c r="AK19" s="17">
        <f t="shared" ref="AK19:AR19" si="36">+AK17/AK18</f>
        <v>34.432454597233239</v>
      </c>
      <c r="AL19" s="17">
        <f t="shared" si="36"/>
        <v>39.831777159971992</v>
      </c>
      <c r="AM19" s="17">
        <f t="shared" si="36"/>
        <v>46.104797023054523</v>
      </c>
      <c r="AN19" s="17">
        <f t="shared" si="36"/>
        <v>53.396303786002029</v>
      </c>
      <c r="AO19" s="17">
        <f t="shared" si="36"/>
        <v>61.875547353659556</v>
      </c>
      <c r="AP19" s="17">
        <f t="shared" si="36"/>
        <v>71.740439098958234</v>
      </c>
      <c r="AQ19" s="17">
        <f t="shared" si="36"/>
        <v>83.222485475468517</v>
      </c>
      <c r="AR19" s="17">
        <f t="shared" si="36"/>
        <v>96.592583572520866</v>
      </c>
      <c r="AU19" s="5" t="s">
        <v>37</v>
      </c>
      <c r="AV19" s="8">
        <v>0.01</v>
      </c>
    </row>
    <row r="20" spans="2:245" s="4" customFormat="1" outlineLevel="1" x14ac:dyDescent="0.2">
      <c r="B20" s="4" t="s">
        <v>25</v>
      </c>
      <c r="AU20" s="5" t="s">
        <v>38</v>
      </c>
      <c r="AV20" s="8">
        <v>7.0000000000000007E-2</v>
      </c>
    </row>
    <row r="21" spans="2:245" s="5" customFormat="1" outlineLevel="1" x14ac:dyDescent="0.2">
      <c r="B21" s="5" t="s">
        <v>16</v>
      </c>
      <c r="G21" s="5">
        <f t="shared" ref="G21:N25" si="37">+G3/C3-1</f>
        <v>0.1706097441006249</v>
      </c>
      <c r="H21" s="5">
        <f t="shared" si="37"/>
        <v>0.19339409820616948</v>
      </c>
      <c r="I21" s="5">
        <f t="shared" si="37"/>
        <v>0.15724821579311898</v>
      </c>
      <c r="J21" s="5">
        <f t="shared" si="37"/>
        <v>0.14920557060996686</v>
      </c>
      <c r="K21" s="5">
        <f t="shared" si="37"/>
        <v>9.2981465634073279E-2</v>
      </c>
      <c r="L21" s="5">
        <f t="shared" si="37"/>
        <v>0.14746459134548218</v>
      </c>
      <c r="M21" s="5">
        <f t="shared" si="37"/>
        <v>0.14999999999999991</v>
      </c>
      <c r="N21" s="5">
        <f t="shared" si="37"/>
        <v>0.14999999999999991</v>
      </c>
      <c r="AG21" s="5">
        <f t="shared" ref="AG21:AH25" si="38">+AG3/AF3-1</f>
        <v>5.6028399157862951E-2</v>
      </c>
      <c r="AH21" s="5">
        <f t="shared" si="38"/>
        <v>0.16711189076780264</v>
      </c>
      <c r="AU21" s="5" t="s">
        <v>39</v>
      </c>
      <c r="AV21" s="9">
        <f>NPV(AV20,AI17:IK17)</f>
        <v>513035.49472201249</v>
      </c>
    </row>
    <row r="22" spans="2:245" outlineLevel="1" x14ac:dyDescent="0.2">
      <c r="B22" s="1" t="s">
        <v>17</v>
      </c>
      <c r="E22" s="5"/>
      <c r="G22" s="5">
        <f t="shared" si="37"/>
        <v>0.1749860285878726</v>
      </c>
      <c r="H22" s="5">
        <f t="shared" si="37"/>
        <v>0.17391586038397144</v>
      </c>
      <c r="I22" s="5">
        <f t="shared" si="37"/>
        <v>0.16349652042629681</v>
      </c>
      <c r="J22" s="5">
        <f t="shared" si="37"/>
        <v>0.18109163544132834</v>
      </c>
      <c r="K22" s="5">
        <f t="shared" si="37"/>
        <v>0.15093099064192228</v>
      </c>
      <c r="L22" s="5">
        <f t="shared" si="37"/>
        <v>0.17634415108592005</v>
      </c>
      <c r="M22" s="5">
        <f t="shared" si="37"/>
        <v>0.16999999999999993</v>
      </c>
      <c r="N22" s="5">
        <f t="shared" si="37"/>
        <v>0.16999999999999993</v>
      </c>
      <c r="AG22" s="5">
        <f t="shared" si="38"/>
        <v>8.3270472133701201E-2</v>
      </c>
      <c r="AH22" s="5">
        <f t="shared" si="38"/>
        <v>0.17340503521673467</v>
      </c>
      <c r="AU22" s="5" t="s">
        <v>40</v>
      </c>
      <c r="AV22" s="2">
        <f>+Main!K6</f>
        <v>424.92634600000002</v>
      </c>
    </row>
    <row r="23" spans="2:245" outlineLevel="1" x14ac:dyDescent="0.2">
      <c r="B23" s="1" t="s">
        <v>18</v>
      </c>
      <c r="E23" s="5"/>
      <c r="G23" s="5">
        <f t="shared" si="37"/>
        <v>8.8597186299280928E-2</v>
      </c>
      <c r="H23" s="5">
        <f t="shared" si="37"/>
        <v>0.11760338210657717</v>
      </c>
      <c r="I23" s="5">
        <f t="shared" si="37"/>
        <v>8.582434015773388E-2</v>
      </c>
      <c r="J23" s="5">
        <f t="shared" si="37"/>
        <v>6.3795010998915824E-2</v>
      </c>
      <c r="K23" s="5">
        <f t="shared" si="37"/>
        <v>8.3197711947042396E-2</v>
      </c>
      <c r="L23" s="5">
        <f t="shared" si="37"/>
        <v>8.5197380714116644E-2</v>
      </c>
      <c r="M23" s="5">
        <f t="shared" si="37"/>
        <v>9.000000000000008E-2</v>
      </c>
      <c r="N23" s="5">
        <f t="shared" si="37"/>
        <v>9.000000000000008E-2</v>
      </c>
      <c r="AG23" s="5">
        <f t="shared" si="38"/>
        <v>9.2503807764818147E-2</v>
      </c>
      <c r="AH23" s="5">
        <f t="shared" si="38"/>
        <v>8.8464848786484307E-2</v>
      </c>
      <c r="AU23" s="1" t="s">
        <v>41</v>
      </c>
      <c r="AV23" s="1">
        <f>+AV21/AV22</f>
        <v>1207.3515788122313</v>
      </c>
    </row>
    <row r="24" spans="2:245" outlineLevel="1" x14ac:dyDescent="0.2">
      <c r="B24" s="1" t="s">
        <v>19</v>
      </c>
      <c r="E24" s="5"/>
      <c r="G24" s="5">
        <f t="shared" si="37"/>
        <v>9.5767324425857669E-2</v>
      </c>
      <c r="H24" s="5">
        <f t="shared" si="37"/>
        <v>0.14420090658596529</v>
      </c>
      <c r="I24" s="5">
        <f t="shared" si="37"/>
        <v>0.18946421490462084</v>
      </c>
      <c r="J24" s="5">
        <f t="shared" si="37"/>
        <v>0.25906420903382643</v>
      </c>
      <c r="K24" s="5">
        <f t="shared" si="37"/>
        <v>0.23087638964380552</v>
      </c>
      <c r="L24" s="5">
        <f t="shared" si="37"/>
        <v>0.24093178289709472</v>
      </c>
      <c r="M24" s="5">
        <f t="shared" si="37"/>
        <v>0.19999999999999996</v>
      </c>
      <c r="N24" s="5">
        <f t="shared" si="37"/>
        <v>0.19999999999999996</v>
      </c>
      <c r="AG24" s="5">
        <f t="shared" si="38"/>
        <v>5.4200006106064569E-2</v>
      </c>
      <c r="AH24" s="5">
        <f t="shared" si="38"/>
        <v>0.17297189727097639</v>
      </c>
      <c r="AU24" s="1" t="s">
        <v>42</v>
      </c>
      <c r="AV24" s="1">
        <f>+Main!K5</f>
        <v>1260.27</v>
      </c>
    </row>
    <row r="25" spans="2:245" outlineLevel="1" x14ac:dyDescent="0.2">
      <c r="B25" s="3" t="s">
        <v>20</v>
      </c>
      <c r="E25" s="5"/>
      <c r="G25" s="5">
        <f t="shared" si="37"/>
        <v>0.14812676047536799</v>
      </c>
      <c r="H25" s="5">
        <f t="shared" si="37"/>
        <v>0.16757769135396394</v>
      </c>
      <c r="I25" s="5">
        <f t="shared" si="37"/>
        <v>0.15020895216250496</v>
      </c>
      <c r="J25" s="5">
        <f t="shared" si="37"/>
        <v>0.16004941793820193</v>
      </c>
      <c r="K25" s="5">
        <f t="shared" si="37"/>
        <v>0.12511269481475806</v>
      </c>
      <c r="L25" s="5">
        <f t="shared" si="37"/>
        <v>0.15899222851858541</v>
      </c>
      <c r="M25" s="5">
        <f t="shared" si="37"/>
        <v>0.15454051893477083</v>
      </c>
      <c r="N25" s="5">
        <f t="shared" si="37"/>
        <v>0.15513070031089127</v>
      </c>
      <c r="R25" s="5">
        <f t="shared" ref="R25:AF25" si="39">+R7/Q7-1</f>
        <v>0.13224923255621013</v>
      </c>
      <c r="S25" s="5">
        <f t="shared" si="39"/>
        <v>0.58467062358027388</v>
      </c>
      <c r="T25" s="5">
        <f t="shared" si="39"/>
        <v>0.48182742994543615</v>
      </c>
      <c r="U25" s="5">
        <f t="shared" si="39"/>
        <v>0</v>
      </c>
      <c r="V25" s="5">
        <f t="shared" si="39"/>
        <v>0.12628721213255956</v>
      </c>
      <c r="W25" s="5">
        <f t="shared" si="39"/>
        <v>0.21203557476518986</v>
      </c>
      <c r="X25" s="5">
        <f t="shared" si="39"/>
        <v>0.25833219037169108</v>
      </c>
      <c r="Y25" s="5">
        <f t="shared" si="39"/>
        <v>0.23158391919632315</v>
      </c>
      <c r="Z25" s="5">
        <f t="shared" si="39"/>
        <v>0.30255918578066243</v>
      </c>
      <c r="AA25" s="5">
        <f t="shared" si="39"/>
        <v>0.32409661748219287</v>
      </c>
      <c r="AB25" s="5">
        <f t="shared" si="39"/>
        <v>0.3507829671504441</v>
      </c>
      <c r="AC25" s="5">
        <f t="shared" si="39"/>
        <v>0.27618191372837053</v>
      </c>
      <c r="AD25" s="5">
        <f t="shared" si="39"/>
        <v>0.24010736044134839</v>
      </c>
      <c r="AE25" s="5">
        <f t="shared" si="39"/>
        <v>0.18809734318553706</v>
      </c>
      <c r="AF25" s="5">
        <f t="shared" si="39"/>
        <v>6.4575490440369476E-2</v>
      </c>
      <c r="AG25" s="5">
        <f t="shared" si="38"/>
        <v>6.6668047843545297E-2</v>
      </c>
      <c r="AH25" s="5">
        <f t="shared" si="38"/>
        <v>0.15649921477131956</v>
      </c>
      <c r="AI25" s="5">
        <f t="shared" ref="AI25:AR25" si="40">+AI7/AH7-1</f>
        <v>0.14871632770946874</v>
      </c>
      <c r="AJ25" s="5">
        <f t="shared" si="40"/>
        <v>0.15540222118065561</v>
      </c>
      <c r="AK25" s="5">
        <f t="shared" si="40"/>
        <v>0.1561140711213822</v>
      </c>
      <c r="AL25" s="5">
        <f t="shared" si="40"/>
        <v>0.15680911006479925</v>
      </c>
      <c r="AM25" s="5">
        <f t="shared" si="40"/>
        <v>0.15748782279758422</v>
      </c>
      <c r="AN25" s="5">
        <f t="shared" si="40"/>
        <v>0.15815071822789784</v>
      </c>
      <c r="AO25" s="5">
        <f t="shared" si="40"/>
        <v>0.15879832434919128</v>
      </c>
      <c r="AP25" s="5">
        <f t="shared" si="40"/>
        <v>0.15943118351607222</v>
      </c>
      <c r="AQ25" s="5">
        <f t="shared" si="40"/>
        <v>0.16004984804556366</v>
      </c>
      <c r="AR25" s="5">
        <f t="shared" si="40"/>
        <v>0.16065487615115059</v>
      </c>
      <c r="AU25" s="5"/>
      <c r="AV25" s="5">
        <f>+AV23/AV24-1</f>
        <v>-4.1989749171025825E-2</v>
      </c>
    </row>
    <row r="26" spans="2:245" ht="5" customHeight="1" outlineLevel="1" x14ac:dyDescent="0.2"/>
    <row r="28" spans="2:245" x14ac:dyDescent="0.2">
      <c r="B28" s="1" t="s">
        <v>151</v>
      </c>
      <c r="C28" s="5">
        <f t="shared" ref="C28:N28" si="41">(C7-C8)/C7</f>
        <v>0.41142887529417072</v>
      </c>
      <c r="D28" s="5">
        <f t="shared" si="41"/>
        <v>0.42918062985591954</v>
      </c>
      <c r="E28" s="5">
        <f t="shared" si="41"/>
        <v>0.42273710474347637</v>
      </c>
      <c r="F28" s="5">
        <f t="shared" si="41"/>
        <v>0.39911806245453774</v>
      </c>
      <c r="G28" s="5">
        <f t="shared" si="41"/>
        <v>0.46885386385271116</v>
      </c>
      <c r="H28" s="5">
        <f t="shared" si="41"/>
        <v>0.45873258634775949</v>
      </c>
      <c r="I28" s="5">
        <f t="shared" si="41"/>
        <v>0.47887646069301021</v>
      </c>
      <c r="J28" s="5">
        <f t="shared" si="41"/>
        <v>0.43713888631484249</v>
      </c>
      <c r="K28" s="5">
        <f t="shared" si="41"/>
        <v>0.50078285647239285</v>
      </c>
      <c r="L28" s="5">
        <f t="shared" si="41"/>
        <v>0.51934008390162223</v>
      </c>
      <c r="M28" s="5">
        <f t="shared" si="41"/>
        <v>0.4499999999999999</v>
      </c>
      <c r="N28" s="5">
        <f t="shared" si="41"/>
        <v>0.45</v>
      </c>
      <c r="AF28" s="5">
        <f t="shared" ref="AF28:AR28" si="42">(AF7-AF8)/AF7</f>
        <v>0.39370705238403259</v>
      </c>
      <c r="AG28" s="5">
        <f t="shared" si="42"/>
        <v>0.41537839553469524</v>
      </c>
      <c r="AH28" s="5">
        <f t="shared" si="42"/>
        <v>0.4605655734198279</v>
      </c>
      <c r="AI28" s="5">
        <f t="shared" si="42"/>
        <v>0.47909806660463833</v>
      </c>
      <c r="AJ28" s="5">
        <f t="shared" si="42"/>
        <v>0.47909806660463838</v>
      </c>
      <c r="AK28" s="5">
        <f t="shared" si="42"/>
        <v>0.47909806660463838</v>
      </c>
      <c r="AL28" s="5">
        <f t="shared" si="42"/>
        <v>0.47909806660463838</v>
      </c>
      <c r="AM28" s="5">
        <f t="shared" si="42"/>
        <v>0.47909806660463838</v>
      </c>
      <c r="AN28" s="5">
        <f t="shared" si="42"/>
        <v>0.47909806660463844</v>
      </c>
      <c r="AO28" s="5">
        <f t="shared" si="42"/>
        <v>0.47909806660463838</v>
      </c>
      <c r="AP28" s="5">
        <f t="shared" si="42"/>
        <v>0.47909806660463838</v>
      </c>
      <c r="AQ28" s="5">
        <f t="shared" si="42"/>
        <v>0.47909806660463833</v>
      </c>
      <c r="AR28" s="5">
        <f t="shared" si="42"/>
        <v>0.47909806660463844</v>
      </c>
    </row>
    <row r="29" spans="2:245" s="5" customFormat="1" x14ac:dyDescent="0.2">
      <c r="B29" s="5" t="s">
        <v>43</v>
      </c>
      <c r="C29" s="15">
        <f t="shared" ref="C29:N29" si="43">+C12/C7</f>
        <v>0.21004917844176504</v>
      </c>
      <c r="D29" s="15">
        <f t="shared" si="43"/>
        <v>0.22317281360487418</v>
      </c>
      <c r="E29" s="15">
        <f t="shared" si="43"/>
        <v>0.22435828692943818</v>
      </c>
      <c r="F29" s="15">
        <f t="shared" si="43"/>
        <v>0.16938057756153888</v>
      </c>
      <c r="G29" s="15">
        <f t="shared" si="43"/>
        <v>0.28094027601692112</v>
      </c>
      <c r="H29" s="15">
        <f t="shared" si="43"/>
        <v>0.27228293673915804</v>
      </c>
      <c r="I29" s="15">
        <f t="shared" si="43"/>
        <v>0.29613892654057827</v>
      </c>
      <c r="J29" s="15">
        <f t="shared" si="43"/>
        <v>0.22180876451292383</v>
      </c>
      <c r="K29" s="15">
        <f t="shared" si="43"/>
        <v>0.31746772039043514</v>
      </c>
      <c r="L29" s="15">
        <f t="shared" si="43"/>
        <v>0.34070242290800595</v>
      </c>
      <c r="M29" s="15">
        <f t="shared" si="43"/>
        <v>0.27136233900638373</v>
      </c>
      <c r="N29" s="15">
        <f t="shared" si="43"/>
        <v>0.27136233900638362</v>
      </c>
      <c r="AG29" s="5">
        <f t="shared" ref="AG29:AR29" si="44">+AG12/AG7</f>
        <v>0.20620768485358951</v>
      </c>
      <c r="AH29" s="5">
        <f t="shared" si="44"/>
        <v>0.26711170093694969</v>
      </c>
      <c r="AI29" s="8">
        <f t="shared" si="44"/>
        <v>0.2993596793484789</v>
      </c>
      <c r="AJ29" s="8">
        <f t="shared" si="44"/>
        <v>0.29935967934847885</v>
      </c>
      <c r="AK29" s="8">
        <f t="shared" si="44"/>
        <v>0.2993596793484789</v>
      </c>
      <c r="AL29" s="8">
        <f t="shared" si="44"/>
        <v>0.29935967934847896</v>
      </c>
      <c r="AM29" s="8">
        <f t="shared" si="44"/>
        <v>0.29935967934847901</v>
      </c>
      <c r="AN29" s="8">
        <f t="shared" si="44"/>
        <v>0.2993596793484789</v>
      </c>
      <c r="AO29" s="8">
        <f t="shared" si="44"/>
        <v>0.29935967934847907</v>
      </c>
      <c r="AP29" s="8">
        <f t="shared" si="44"/>
        <v>0.2993596793484789</v>
      </c>
      <c r="AQ29" s="8">
        <f t="shared" si="44"/>
        <v>0.29935967934847896</v>
      </c>
      <c r="AR29" s="8">
        <f t="shared" si="44"/>
        <v>0.29935967934847901</v>
      </c>
    </row>
    <row r="30" spans="2:245" s="5" customFormat="1" x14ac:dyDescent="0.2">
      <c r="B30" s="21" t="s">
        <v>153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2:245" s="5" customFormat="1" x14ac:dyDescent="0.2">
      <c r="B31" s="5" t="s">
        <v>3</v>
      </c>
      <c r="C31" s="8">
        <f t="shared" ref="C31:L31" si="45">+C8/C$7</f>
        <v>0.58857112470582928</v>
      </c>
      <c r="D31" s="8">
        <f t="shared" si="45"/>
        <v>0.57081937014408046</v>
      </c>
      <c r="E31" s="8">
        <f t="shared" si="45"/>
        <v>0.57726289525652363</v>
      </c>
      <c r="F31" s="8">
        <f t="shared" si="45"/>
        <v>0.60088193754546226</v>
      </c>
      <c r="G31" s="8">
        <f t="shared" si="45"/>
        <v>0.53114613614728878</v>
      </c>
      <c r="H31" s="8">
        <f t="shared" si="45"/>
        <v>0.54126741365224051</v>
      </c>
      <c r="I31" s="8">
        <f t="shared" si="45"/>
        <v>0.52112353930698974</v>
      </c>
      <c r="J31" s="8">
        <f t="shared" si="45"/>
        <v>0.56286111368515745</v>
      </c>
      <c r="K31" s="8">
        <f t="shared" si="45"/>
        <v>0.49921714352760715</v>
      </c>
      <c r="L31" s="8">
        <f t="shared" si="45"/>
        <v>0.48065991609837772</v>
      </c>
      <c r="AG31" s="8">
        <f t="shared" ref="AG31:AR31" si="46">+AG8/AG$7</f>
        <v>0.58462160446530476</v>
      </c>
      <c r="AH31" s="8">
        <f t="shared" si="46"/>
        <v>0.53943442658017215</v>
      </c>
      <c r="AI31" s="8">
        <f t="shared" si="46"/>
        <v>0.52090193339536162</v>
      </c>
      <c r="AJ31" s="8">
        <f t="shared" si="46"/>
        <v>0.52090193339536162</v>
      </c>
      <c r="AK31" s="8">
        <f t="shared" si="46"/>
        <v>0.52090193339536162</v>
      </c>
      <c r="AL31" s="8">
        <f t="shared" si="46"/>
        <v>0.52090193339536162</v>
      </c>
      <c r="AM31" s="8">
        <f t="shared" si="46"/>
        <v>0.52090193339536162</v>
      </c>
      <c r="AN31" s="8">
        <f t="shared" si="46"/>
        <v>0.52090193339536162</v>
      </c>
      <c r="AO31" s="8">
        <f t="shared" si="46"/>
        <v>0.52090193339536162</v>
      </c>
      <c r="AP31" s="8">
        <f t="shared" si="46"/>
        <v>0.52090193339536162</v>
      </c>
      <c r="AQ31" s="8">
        <f t="shared" si="46"/>
        <v>0.52090193339536162</v>
      </c>
      <c r="AR31" s="8">
        <f t="shared" si="46"/>
        <v>0.52090193339536162</v>
      </c>
    </row>
    <row r="32" spans="2:245" s="5" customFormat="1" x14ac:dyDescent="0.2">
      <c r="B32" s="5" t="s">
        <v>26</v>
      </c>
      <c r="C32" s="8">
        <f t="shared" ref="C32:L32" si="47">+C9/C$7</f>
        <v>6.8046535056104238E-2</v>
      </c>
      <c r="D32" s="8">
        <f t="shared" si="47"/>
        <v>7.6602533606618339E-2</v>
      </c>
      <c r="E32" s="8">
        <f t="shared" si="47"/>
        <v>6.5412984911143821E-2</v>
      </c>
      <c r="F32" s="8">
        <f t="shared" si="47"/>
        <v>0.10377393416036204</v>
      </c>
      <c r="G32" s="8">
        <f t="shared" si="47"/>
        <v>6.9830232091556019E-2</v>
      </c>
      <c r="H32" s="8">
        <f t="shared" si="47"/>
        <v>6.7377666379686382E-2</v>
      </c>
      <c r="I32" s="8">
        <f t="shared" si="47"/>
        <v>6.5439738992618915E-2</v>
      </c>
      <c r="J32" s="8">
        <f t="shared" si="47"/>
        <v>9.5271820995502562E-2</v>
      </c>
      <c r="K32" s="8">
        <f t="shared" si="47"/>
        <v>6.5292895123411701E-2</v>
      </c>
      <c r="L32" s="8">
        <f t="shared" si="47"/>
        <v>6.4378943324795379E-2</v>
      </c>
      <c r="AG32" s="8">
        <f t="shared" ref="AG32:AR32" si="48">+AG9/AG$7</f>
        <v>7.8814446879259759E-2</v>
      </c>
      <c r="AH32" s="8">
        <f t="shared" si="48"/>
        <v>7.4807223046639129E-2</v>
      </c>
      <c r="AI32" s="8">
        <f t="shared" si="48"/>
        <v>6.4594018921871874E-2</v>
      </c>
      <c r="AJ32" s="8">
        <f t="shared" si="48"/>
        <v>6.4594018921871874E-2</v>
      </c>
      <c r="AK32" s="8">
        <f t="shared" si="48"/>
        <v>6.4594018921871874E-2</v>
      </c>
      <c r="AL32" s="8">
        <f t="shared" si="48"/>
        <v>6.4594018921871874E-2</v>
      </c>
      <c r="AM32" s="8">
        <f t="shared" si="48"/>
        <v>6.4594018921871874E-2</v>
      </c>
      <c r="AN32" s="8">
        <f t="shared" si="48"/>
        <v>6.4594018921871874E-2</v>
      </c>
      <c r="AO32" s="8">
        <f t="shared" si="48"/>
        <v>6.4594018921871874E-2</v>
      </c>
      <c r="AP32" s="8">
        <f t="shared" si="48"/>
        <v>6.4594018921871874E-2</v>
      </c>
      <c r="AQ32" s="8">
        <f t="shared" si="48"/>
        <v>6.4594018921871874E-2</v>
      </c>
      <c r="AR32" s="8">
        <f t="shared" si="48"/>
        <v>6.4594018921871874E-2</v>
      </c>
    </row>
    <row r="33" spans="2:44" s="5" customFormat="1" x14ac:dyDescent="0.2">
      <c r="B33" s="5" t="s">
        <v>27</v>
      </c>
      <c r="C33" s="8">
        <f t="shared" ref="C33:L33" si="49">+C10/C$7</f>
        <v>8.4209366828634377E-2</v>
      </c>
      <c r="D33" s="8">
        <f t="shared" si="49"/>
        <v>8.0366289208128536E-2</v>
      </c>
      <c r="E33" s="8">
        <f t="shared" si="49"/>
        <v>7.6935675795406708E-2</v>
      </c>
      <c r="F33" s="8">
        <f t="shared" si="49"/>
        <v>7.623166993572271E-2</v>
      </c>
      <c r="G33" s="8">
        <f t="shared" si="49"/>
        <v>7.4966917241879788E-2</v>
      </c>
      <c r="H33" s="8">
        <f t="shared" si="49"/>
        <v>7.4404324161471899E-2</v>
      </c>
      <c r="I33" s="8">
        <f t="shared" si="49"/>
        <v>7.4817834187964768E-2</v>
      </c>
      <c r="J33" s="8">
        <f t="shared" si="49"/>
        <v>7.5782362459191635E-2</v>
      </c>
      <c r="K33" s="8">
        <f t="shared" si="49"/>
        <v>7.8045957616007355E-2</v>
      </c>
      <c r="L33" s="8">
        <f t="shared" si="49"/>
        <v>7.4435052241296859E-2</v>
      </c>
      <c r="AF33" s="8">
        <f>+AF10/AF$7</f>
        <v>8.5750239992661834E-2</v>
      </c>
      <c r="AG33" s="8">
        <f t="shared" ref="AG33:AR33" si="50">+AG10/AG$7</f>
        <v>7.9344495883661673E-2</v>
      </c>
      <c r="AH33" s="8">
        <f t="shared" si="50"/>
        <v>7.5005705307328738E-2</v>
      </c>
      <c r="AI33" s="8">
        <f t="shared" si="50"/>
        <v>7.5284788114270015E-2</v>
      </c>
      <c r="AJ33" s="8">
        <f t="shared" si="50"/>
        <v>7.5284788114270015E-2</v>
      </c>
      <c r="AK33" s="8">
        <f t="shared" si="50"/>
        <v>7.5284788114270015E-2</v>
      </c>
      <c r="AL33" s="8">
        <f t="shared" si="50"/>
        <v>7.5284788114270015E-2</v>
      </c>
      <c r="AM33" s="8">
        <f t="shared" si="50"/>
        <v>7.5284788114270015E-2</v>
      </c>
      <c r="AN33" s="8">
        <f t="shared" si="50"/>
        <v>7.5284788114270015E-2</v>
      </c>
      <c r="AO33" s="8">
        <f t="shared" si="50"/>
        <v>7.5284788114270015E-2</v>
      </c>
      <c r="AP33" s="8">
        <f t="shared" si="50"/>
        <v>7.5284788114270015E-2</v>
      </c>
      <c r="AQ33" s="8">
        <f t="shared" si="50"/>
        <v>7.5284788114270015E-2</v>
      </c>
      <c r="AR33" s="8">
        <f t="shared" si="50"/>
        <v>7.5284788114270015E-2</v>
      </c>
    </row>
    <row r="34" spans="2:44" s="5" customFormat="1" x14ac:dyDescent="0.2">
      <c r="B34" s="5" t="s">
        <v>28</v>
      </c>
      <c r="C34" s="8">
        <f t="shared" ref="C34:L34" si="51">+C11/C$7</f>
        <v>4.9123794967667098E-2</v>
      </c>
      <c r="D34" s="8">
        <f t="shared" si="51"/>
        <v>4.9038993436298479E-2</v>
      </c>
      <c r="E34" s="8">
        <f t="shared" si="51"/>
        <v>5.6030157107487676E-2</v>
      </c>
      <c r="F34" s="8">
        <f t="shared" si="51"/>
        <v>4.9731880796913784E-2</v>
      </c>
      <c r="G34" s="8">
        <f t="shared" si="51"/>
        <v>4.3116438502354214E-2</v>
      </c>
      <c r="H34" s="8">
        <f t="shared" si="51"/>
        <v>4.4667659067443147E-2</v>
      </c>
      <c r="I34" s="8">
        <f t="shared" si="51"/>
        <v>4.247996097184821E-2</v>
      </c>
      <c r="J34" s="8">
        <f t="shared" si="51"/>
        <v>4.4275938347224167E-2</v>
      </c>
      <c r="K34" s="8">
        <f t="shared" si="51"/>
        <v>3.9976283342538665E-2</v>
      </c>
      <c r="L34" s="8">
        <f t="shared" si="51"/>
        <v>3.9823665427524052E-2</v>
      </c>
      <c r="AG34" s="8">
        <f t="shared" ref="AG34:AR34" si="52">+AG11/AG$7</f>
        <v>5.1011767918184278E-2</v>
      </c>
      <c r="AH34" s="8">
        <f t="shared" si="52"/>
        <v>4.3640944128910245E-2</v>
      </c>
      <c r="AI34" s="8">
        <f t="shared" si="52"/>
        <v>3.9859580220017524E-2</v>
      </c>
      <c r="AJ34" s="8">
        <f t="shared" si="52"/>
        <v>3.9859580220017524E-2</v>
      </c>
      <c r="AK34" s="8">
        <f t="shared" si="52"/>
        <v>3.9859580220017524E-2</v>
      </c>
      <c r="AL34" s="8">
        <f t="shared" si="52"/>
        <v>3.9859580220017524E-2</v>
      </c>
      <c r="AM34" s="8">
        <f t="shared" si="52"/>
        <v>3.9859580220017524E-2</v>
      </c>
      <c r="AN34" s="8">
        <f t="shared" si="52"/>
        <v>3.9859580220017524E-2</v>
      </c>
      <c r="AO34" s="8">
        <f t="shared" si="52"/>
        <v>3.9859580220017524E-2</v>
      </c>
      <c r="AP34" s="8">
        <f t="shared" si="52"/>
        <v>3.9859580220017517E-2</v>
      </c>
      <c r="AQ34" s="8">
        <f t="shared" si="52"/>
        <v>3.9859580220017517E-2</v>
      </c>
      <c r="AR34" s="8">
        <f t="shared" si="52"/>
        <v>3.9859580220017517E-2</v>
      </c>
    </row>
    <row r="35" spans="2:44" s="5" customFormat="1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2:44" s="3" customFormat="1" x14ac:dyDescent="0.2">
      <c r="B36" s="3" t="s">
        <v>91</v>
      </c>
      <c r="L36" s="3">
        <f>SUM(L37:L38)-L51</f>
        <v>-6062.6859999999997</v>
      </c>
      <c r="AH36" s="3">
        <f>L36</f>
        <v>-6062.6859999999997</v>
      </c>
      <c r="AI36" s="3">
        <f>+AH36*0.95</f>
        <v>-5759.5516999999991</v>
      </c>
      <c r="AJ36" s="3">
        <f t="shared" ref="AJ36:AR36" si="53">+AI36*0.95</f>
        <v>-5471.5741149999985</v>
      </c>
      <c r="AK36" s="3">
        <f t="shared" si="53"/>
        <v>-5197.9954092499984</v>
      </c>
      <c r="AL36" s="3">
        <f t="shared" si="53"/>
        <v>-4938.0956387874985</v>
      </c>
      <c r="AM36" s="3">
        <f t="shared" si="53"/>
        <v>-4691.1908568481231</v>
      </c>
      <c r="AN36" s="3">
        <f t="shared" si="53"/>
        <v>-4456.6313140057164</v>
      </c>
      <c r="AO36" s="3">
        <f t="shared" si="53"/>
        <v>-4233.7997483054305</v>
      </c>
      <c r="AP36" s="3">
        <f t="shared" si="53"/>
        <v>-4022.1097608901587</v>
      </c>
      <c r="AQ36" s="3">
        <f t="shared" si="53"/>
        <v>-3821.0042728456506</v>
      </c>
      <c r="AR36" s="3">
        <f t="shared" si="53"/>
        <v>-3629.9540592033677</v>
      </c>
    </row>
    <row r="37" spans="2:44" x14ac:dyDescent="0.2">
      <c r="B37" s="1" t="s">
        <v>46</v>
      </c>
      <c r="C37" s="1">
        <v>6714.5940000000001</v>
      </c>
      <c r="D37" s="1">
        <v>7662.7879999999996</v>
      </c>
      <c r="E37" s="1">
        <v>7353.2449999999999</v>
      </c>
      <c r="F37" s="1">
        <v>7116.9129999999996</v>
      </c>
      <c r="G37" s="1">
        <v>7024.7659999999996</v>
      </c>
      <c r="H37" s="1">
        <v>6624.9390000000003</v>
      </c>
      <c r="I37" s="1">
        <v>7457.0249999999996</v>
      </c>
      <c r="J37" s="1">
        <v>7804.7330000000002</v>
      </c>
      <c r="K37" s="1">
        <v>7199.848</v>
      </c>
      <c r="L37" s="1">
        <v>8177.4049999999997</v>
      </c>
      <c r="R37" s="1">
        <v>139.9</v>
      </c>
      <c r="S37" s="1">
        <v>134.19999999999999</v>
      </c>
      <c r="T37" s="1">
        <v>508.1</v>
      </c>
      <c r="U37" s="1">
        <v>290.3</v>
      </c>
      <c r="V37" s="1">
        <v>290.3</v>
      </c>
      <c r="W37" s="1">
        <v>605</v>
      </c>
      <c r="X37" s="1">
        <v>1113.5999999999999</v>
      </c>
      <c r="Y37" s="1">
        <v>1809.3</v>
      </c>
      <c r="Z37" s="1">
        <v>1467.6</v>
      </c>
      <c r="AA37" s="1">
        <v>2822.8</v>
      </c>
      <c r="AB37" s="1">
        <v>3794.5</v>
      </c>
      <c r="AC37" s="1">
        <v>5018.3999999999996</v>
      </c>
      <c r="AD37" s="1">
        <v>8205.6</v>
      </c>
      <c r="AE37" s="1">
        <v>6027.8</v>
      </c>
      <c r="AF37" s="1">
        <v>5147.2</v>
      </c>
      <c r="AG37" s="1">
        <v>7116.9</v>
      </c>
    </row>
    <row r="38" spans="2:44" x14ac:dyDescent="0.2">
      <c r="B38" s="1" t="s">
        <v>47</v>
      </c>
      <c r="C38" s="1">
        <v>1112.9100000000001</v>
      </c>
      <c r="D38" s="1">
        <v>914.20399999999995</v>
      </c>
      <c r="E38" s="1">
        <v>514.20100000000002</v>
      </c>
      <c r="F38" s="1">
        <v>20.972999999999999</v>
      </c>
      <c r="G38" s="1">
        <v>20.972999999999999</v>
      </c>
      <c r="H38" s="1">
        <v>30.972999999999999</v>
      </c>
      <c r="I38" s="1">
        <v>1766.902</v>
      </c>
      <c r="J38" s="1">
        <v>1779.0060000000001</v>
      </c>
      <c r="K38" s="1">
        <v>1171.1420000000001</v>
      </c>
      <c r="L38" s="1">
        <v>213.11500000000001</v>
      </c>
      <c r="R38" s="1">
        <v>157.4</v>
      </c>
      <c r="S38" s="1">
        <v>186</v>
      </c>
      <c r="T38" s="1">
        <v>289.8</v>
      </c>
      <c r="U38" s="1">
        <v>457.8</v>
      </c>
      <c r="V38" s="1">
        <v>457.8</v>
      </c>
      <c r="W38" s="1">
        <v>595.4</v>
      </c>
      <c r="X38" s="1">
        <v>494.9</v>
      </c>
      <c r="Y38" s="1">
        <v>501.4</v>
      </c>
      <c r="Z38" s="1">
        <v>266.2</v>
      </c>
      <c r="AF38" s="1">
        <v>911.3</v>
      </c>
      <c r="AG38" s="1">
        <v>21</v>
      </c>
    </row>
    <row r="39" spans="2:44" x14ac:dyDescent="0.2">
      <c r="B39" s="1" t="s">
        <v>48</v>
      </c>
      <c r="C39" s="1">
        <v>2655.1190000000001</v>
      </c>
      <c r="D39" s="1">
        <v>2929.3470000000002</v>
      </c>
      <c r="E39" s="1">
        <v>2912.0279999999998</v>
      </c>
      <c r="F39" s="1">
        <v>2780.2469999999998</v>
      </c>
      <c r="G39" s="1">
        <v>2875.5740000000001</v>
      </c>
      <c r="H39" s="1">
        <v>2959.6410000000001</v>
      </c>
      <c r="I39" s="1">
        <v>2905.172</v>
      </c>
      <c r="J39" s="1">
        <v>3516.64</v>
      </c>
      <c r="K39" s="1">
        <v>3326.6419999999998</v>
      </c>
      <c r="L39" s="1">
        <v>3602.5859999999998</v>
      </c>
    </row>
    <row r="40" spans="2:44" x14ac:dyDescent="0.2">
      <c r="B40" s="1" t="s">
        <v>49</v>
      </c>
      <c r="C40" s="1">
        <v>32349.184000000001</v>
      </c>
      <c r="D40" s="1">
        <v>32520.774000000001</v>
      </c>
      <c r="E40" s="1">
        <v>31749.861000000001</v>
      </c>
      <c r="F40" s="1">
        <v>31658.056</v>
      </c>
      <c r="G40" s="1">
        <v>31662.1</v>
      </c>
      <c r="H40" s="1">
        <v>31927.355</v>
      </c>
      <c r="I40" s="1">
        <v>32175.382000000001</v>
      </c>
      <c r="J40" s="1">
        <v>32452.462</v>
      </c>
      <c r="K40" s="1">
        <v>32040.839</v>
      </c>
      <c r="L40" s="1">
        <v>32089.394</v>
      </c>
    </row>
    <row r="41" spans="2:44" x14ac:dyDescent="0.2">
      <c r="B41" s="1" t="s">
        <v>50</v>
      </c>
      <c r="C41" s="1">
        <v>1413.0940000000001</v>
      </c>
      <c r="D41" s="1">
        <v>1471.9680000000001</v>
      </c>
      <c r="E41" s="1">
        <v>1498.3910000000001</v>
      </c>
      <c r="F41" s="1">
        <v>1491.444</v>
      </c>
      <c r="G41" s="1">
        <v>1501.1679999999999</v>
      </c>
      <c r="H41" s="1">
        <v>1510.9580000000001</v>
      </c>
      <c r="I41" s="1">
        <v>1568.212</v>
      </c>
      <c r="J41" s="1">
        <v>1593.7560000000001</v>
      </c>
      <c r="K41" s="1">
        <v>1644.346</v>
      </c>
      <c r="L41" s="1">
        <v>1743.566</v>
      </c>
    </row>
    <row r="42" spans="2:44" x14ac:dyDescent="0.2">
      <c r="B42" s="1" t="s">
        <v>51</v>
      </c>
      <c r="C42" s="1">
        <v>5245.4440000000004</v>
      </c>
      <c r="D42" s="1">
        <v>5318.3980000000001</v>
      </c>
      <c r="E42" s="1">
        <v>5474.06</v>
      </c>
      <c r="F42" s="1">
        <v>5664.3590000000004</v>
      </c>
      <c r="G42" s="1">
        <v>5743.14</v>
      </c>
      <c r="H42" s="1">
        <v>6045.0290000000005</v>
      </c>
      <c r="I42" s="1">
        <v>6409.1509999999998</v>
      </c>
      <c r="J42" s="1">
        <v>6483.777</v>
      </c>
      <c r="K42" s="1">
        <v>6704.8239999999996</v>
      </c>
      <c r="L42" s="1">
        <v>7273.598</v>
      </c>
    </row>
    <row r="43" spans="2:44" x14ac:dyDescent="0.2">
      <c r="B43" s="1" t="s">
        <v>52</v>
      </c>
      <c r="C43" s="1">
        <f t="shared" ref="C43:L43" si="54">+SUM(C37:C42)</f>
        <v>49490.345000000001</v>
      </c>
      <c r="D43" s="1">
        <f t="shared" si="54"/>
        <v>50817.478999999999</v>
      </c>
      <c r="E43" s="1">
        <f t="shared" si="54"/>
        <v>49501.786</v>
      </c>
      <c r="F43" s="1">
        <f t="shared" si="54"/>
        <v>48731.991999999998</v>
      </c>
      <c r="G43" s="1">
        <f t="shared" si="54"/>
        <v>48827.720999999998</v>
      </c>
      <c r="H43" s="1">
        <f t="shared" si="54"/>
        <v>49098.894999999997</v>
      </c>
      <c r="I43" s="1">
        <f t="shared" si="54"/>
        <v>52281.843999999997</v>
      </c>
      <c r="J43" s="1">
        <f t="shared" si="54"/>
        <v>53630.374000000003</v>
      </c>
      <c r="K43" s="1">
        <f t="shared" si="54"/>
        <v>52087.640999999996</v>
      </c>
      <c r="L43" s="1">
        <f t="shared" si="54"/>
        <v>53099.663999999997</v>
      </c>
    </row>
    <row r="45" spans="2:44" x14ac:dyDescent="0.2">
      <c r="B45" s="1" t="s">
        <v>53</v>
      </c>
      <c r="C45" s="1">
        <v>4344.58</v>
      </c>
      <c r="D45" s="1">
        <v>4440.4120000000003</v>
      </c>
      <c r="E45" s="1">
        <v>4259.5820000000003</v>
      </c>
      <c r="F45" s="1">
        <v>4466.47</v>
      </c>
      <c r="G45" s="1">
        <v>4436.0209999999997</v>
      </c>
      <c r="H45" s="1">
        <v>4391.4369999999999</v>
      </c>
      <c r="I45" s="1">
        <v>4489.9709999999995</v>
      </c>
      <c r="J45" s="1">
        <v>4393.6809999999996</v>
      </c>
      <c r="K45" s="1">
        <v>4128.9049999999997</v>
      </c>
      <c r="L45" s="1">
        <v>4091.77</v>
      </c>
    </row>
    <row r="46" spans="2:44" x14ac:dyDescent="0.2">
      <c r="B46" s="1" t="s">
        <v>54</v>
      </c>
      <c r="C46" s="1">
        <v>591.98699999999997</v>
      </c>
      <c r="D46" s="1">
        <v>615.37400000000002</v>
      </c>
      <c r="E46" s="1">
        <v>534.42899999999997</v>
      </c>
      <c r="F46" s="1">
        <v>747.41200000000003</v>
      </c>
      <c r="G46" s="1">
        <v>607.34799999999996</v>
      </c>
      <c r="H46" s="1">
        <v>598.55700000000002</v>
      </c>
      <c r="I46" s="1">
        <v>641.95299999999997</v>
      </c>
      <c r="J46" s="1">
        <v>899.90899999999999</v>
      </c>
      <c r="K46" s="1">
        <v>614.48900000000003</v>
      </c>
      <c r="L46" s="1">
        <v>632.71799999999996</v>
      </c>
    </row>
    <row r="47" spans="2:44" x14ac:dyDescent="0.2">
      <c r="B47" s="1" t="s">
        <v>55</v>
      </c>
      <c r="C47" s="1">
        <v>1718.069</v>
      </c>
      <c r="D47" s="1">
        <v>1908.7139999999999</v>
      </c>
      <c r="E47" s="1">
        <v>1838.9079999999999</v>
      </c>
      <c r="F47" s="1">
        <v>1803.96</v>
      </c>
      <c r="G47" s="1">
        <v>1977.4280000000001</v>
      </c>
      <c r="H47" s="1">
        <v>1876.2439999999999</v>
      </c>
      <c r="I47" s="1">
        <v>2241.7579999999998</v>
      </c>
      <c r="J47" s="1">
        <v>2156.5439999999999</v>
      </c>
      <c r="K47" s="1">
        <v>2359.518</v>
      </c>
      <c r="L47" s="1">
        <v>2489.4859999999999</v>
      </c>
    </row>
    <row r="48" spans="2:44" x14ac:dyDescent="0.2">
      <c r="B48" s="1" t="s">
        <v>56</v>
      </c>
      <c r="C48" s="1">
        <v>1262.271</v>
      </c>
      <c r="D48" s="1">
        <v>1311.9179999999999</v>
      </c>
      <c r="E48" s="1">
        <v>1306.1849999999999</v>
      </c>
      <c r="F48" s="1">
        <v>1442.9690000000001</v>
      </c>
      <c r="G48" s="1">
        <v>1469.4839999999999</v>
      </c>
      <c r="H48" s="1">
        <v>1473.72</v>
      </c>
      <c r="I48" s="1">
        <v>1513.1479999999999</v>
      </c>
      <c r="J48" s="1">
        <v>1520.8130000000001</v>
      </c>
      <c r="K48" s="1">
        <v>1609.7260000000001</v>
      </c>
      <c r="L48" s="1">
        <v>1728.3610000000001</v>
      </c>
    </row>
    <row r="49" spans="2:12" x14ac:dyDescent="0.2">
      <c r="B49" s="1" t="s">
        <v>57</v>
      </c>
      <c r="C49" s="1">
        <v>399.16300000000001</v>
      </c>
      <c r="D49" s="1">
        <v>399.387</v>
      </c>
      <c r="E49" s="1">
        <v>399.61399999999998</v>
      </c>
      <c r="F49" s="1">
        <v>399.84399999999999</v>
      </c>
      <c r="G49" s="1">
        <v>798.93600000000004</v>
      </c>
      <c r="H49" s="1">
        <v>1800.0409999999999</v>
      </c>
      <c r="I49" s="1">
        <v>1820.396</v>
      </c>
      <c r="J49" s="1">
        <v>1784.453</v>
      </c>
      <c r="K49" s="1">
        <v>1005.881</v>
      </c>
      <c r="L49" s="1">
        <v>0</v>
      </c>
    </row>
    <row r="50" spans="2:12" x14ac:dyDescent="0.2">
      <c r="B50" s="1" t="s">
        <v>58</v>
      </c>
      <c r="C50" s="1">
        <v>2908.029</v>
      </c>
      <c r="D50" s="1">
        <v>2849.3870000000002</v>
      </c>
      <c r="E50" s="1">
        <v>2668.4720000000002</v>
      </c>
      <c r="F50" s="1">
        <v>2578.1729999999998</v>
      </c>
      <c r="G50" s="1">
        <v>2370.692</v>
      </c>
      <c r="H50" s="1">
        <v>2028.7819999999999</v>
      </c>
      <c r="I50" s="1">
        <v>1918.0889999999999</v>
      </c>
      <c r="J50" s="1">
        <v>1780.806</v>
      </c>
      <c r="K50" s="1">
        <v>1696.662</v>
      </c>
      <c r="L50" s="1">
        <v>1606.404</v>
      </c>
    </row>
    <row r="51" spans="2:12" x14ac:dyDescent="0.2">
      <c r="B51" s="1" t="s">
        <v>59</v>
      </c>
      <c r="C51" s="1">
        <v>14037.965</v>
      </c>
      <c r="D51" s="1">
        <v>14070.151</v>
      </c>
      <c r="E51" s="1">
        <v>13900.754000000001</v>
      </c>
      <c r="F51" s="1">
        <v>14143.416999999999</v>
      </c>
      <c r="G51" s="1">
        <v>13217.038</v>
      </c>
      <c r="H51" s="1">
        <v>12180.023999999999</v>
      </c>
      <c r="I51" s="1">
        <v>14160.932000000001</v>
      </c>
      <c r="J51" s="1">
        <v>13798.351000000001</v>
      </c>
      <c r="K51" s="1">
        <v>14011.037</v>
      </c>
      <c r="L51" s="1">
        <v>14453.206</v>
      </c>
    </row>
    <row r="52" spans="2:12" x14ac:dyDescent="0.2">
      <c r="B52" s="1" t="s">
        <v>60</v>
      </c>
      <c r="C52" s="1">
        <v>2400.085</v>
      </c>
      <c r="D52" s="1">
        <v>2389.915</v>
      </c>
      <c r="E52" s="1">
        <v>2486.2150000000001</v>
      </c>
      <c r="F52" s="1">
        <v>2561.4340000000002</v>
      </c>
      <c r="G52" s="1">
        <v>2585.364</v>
      </c>
      <c r="H52" s="1">
        <v>2637.3969999999999</v>
      </c>
      <c r="I52" s="1">
        <v>2774.9609999999998</v>
      </c>
      <c r="J52" s="1">
        <v>2552.25</v>
      </c>
      <c r="K52" s="1">
        <v>2633.3530000000001</v>
      </c>
      <c r="L52" s="1">
        <v>3145.82</v>
      </c>
    </row>
    <row r="53" spans="2:12" x14ac:dyDescent="0.2">
      <c r="B53" s="1" t="s">
        <v>61</v>
      </c>
      <c r="C53" s="1">
        <f t="shared" ref="C53:L53" si="55">+SUM(C45:C52)</f>
        <v>27662.148999999998</v>
      </c>
      <c r="D53" s="1">
        <f t="shared" si="55"/>
        <v>27985.258000000002</v>
      </c>
      <c r="E53" s="1">
        <f t="shared" si="55"/>
        <v>27394.159</v>
      </c>
      <c r="F53" s="1">
        <f t="shared" si="55"/>
        <v>28143.679000000004</v>
      </c>
      <c r="G53" s="1">
        <f t="shared" si="55"/>
        <v>27462.311000000002</v>
      </c>
      <c r="H53" s="1">
        <f t="shared" si="55"/>
        <v>26986.201999999997</v>
      </c>
      <c r="I53" s="1">
        <f t="shared" si="55"/>
        <v>29561.207999999999</v>
      </c>
      <c r="J53" s="1">
        <f t="shared" si="55"/>
        <v>28886.807000000001</v>
      </c>
      <c r="K53" s="1">
        <f t="shared" si="55"/>
        <v>28059.571</v>
      </c>
      <c r="L53" s="1">
        <f t="shared" si="55"/>
        <v>28147.764999999999</v>
      </c>
    </row>
    <row r="54" spans="2:12" x14ac:dyDescent="0.2">
      <c r="B54" s="1" t="s">
        <v>62</v>
      </c>
      <c r="C54" s="1">
        <v>21828.196</v>
      </c>
      <c r="D54" s="1">
        <v>22832.215</v>
      </c>
      <c r="E54" s="1">
        <v>22107.627</v>
      </c>
      <c r="F54" s="1">
        <v>20588.312999999998</v>
      </c>
      <c r="G54" s="1">
        <v>21365.41</v>
      </c>
      <c r="H54" s="1">
        <v>22112.692999999999</v>
      </c>
      <c r="I54" s="1">
        <v>22720.736000000001</v>
      </c>
      <c r="J54" s="1">
        <v>24743.566999999999</v>
      </c>
      <c r="K54" s="1">
        <v>24028.073</v>
      </c>
      <c r="L54" s="1">
        <v>24951.899000000001</v>
      </c>
    </row>
    <row r="55" spans="2:12" x14ac:dyDescent="0.2">
      <c r="B55" s="1" t="s">
        <v>63</v>
      </c>
      <c r="C55" s="1">
        <f t="shared" ref="C55:L55" si="56">+SUM(C53:C54)</f>
        <v>49490.345000000001</v>
      </c>
      <c r="D55" s="1">
        <f t="shared" si="56"/>
        <v>50817.472999999998</v>
      </c>
      <c r="E55" s="1">
        <f t="shared" si="56"/>
        <v>49501.786</v>
      </c>
      <c r="F55" s="1">
        <f t="shared" si="56"/>
        <v>48731.991999999998</v>
      </c>
      <c r="G55" s="1">
        <f t="shared" si="56"/>
        <v>48827.721000000005</v>
      </c>
      <c r="H55" s="1">
        <f t="shared" si="56"/>
        <v>49098.894999999997</v>
      </c>
      <c r="I55" s="1">
        <f t="shared" si="56"/>
        <v>52281.944000000003</v>
      </c>
      <c r="J55" s="1">
        <f t="shared" si="56"/>
        <v>53630.373999999996</v>
      </c>
      <c r="K55" s="1">
        <f t="shared" si="56"/>
        <v>52087.644</v>
      </c>
      <c r="L55" s="1">
        <f t="shared" si="56"/>
        <v>53099.664000000004</v>
      </c>
    </row>
    <row r="57" spans="2:12" x14ac:dyDescent="0.2">
      <c r="B57" s="1" t="s">
        <v>89</v>
      </c>
      <c r="C57" s="1">
        <f t="shared" ref="C57" si="57">SUM(C37:C38)</f>
        <v>7827.5039999999999</v>
      </c>
      <c r="D57" s="1">
        <f t="shared" ref="D57:E57" si="58">SUM(D37:D38)</f>
        <v>8576.9920000000002</v>
      </c>
      <c r="E57" s="1">
        <f t="shared" si="58"/>
        <v>7867.4459999999999</v>
      </c>
      <c r="F57" s="1">
        <f t="shared" ref="F57:J57" si="59">SUM(F37:F38)</f>
        <v>7137.8859999999995</v>
      </c>
      <c r="G57" s="1">
        <f t="shared" si="59"/>
        <v>7045.7389999999996</v>
      </c>
      <c r="H57" s="1">
        <f t="shared" si="59"/>
        <v>6655.9120000000003</v>
      </c>
      <c r="I57" s="1">
        <f t="shared" si="59"/>
        <v>9223.9269999999997</v>
      </c>
      <c r="J57" s="1">
        <f t="shared" si="59"/>
        <v>9583.7389999999996</v>
      </c>
      <c r="K57" s="1">
        <f>SUM(K37:K38)</f>
        <v>8370.99</v>
      </c>
      <c r="L57" s="1">
        <f>SUM(L37:L38)</f>
        <v>8390.52</v>
      </c>
    </row>
    <row r="58" spans="2:12" s="14" customFormat="1" x14ac:dyDescent="0.2">
      <c r="B58" s="14" t="s">
        <v>90</v>
      </c>
      <c r="C58" s="14">
        <f t="shared" ref="C58" si="60">SUM(C49,C51)</f>
        <v>14437.128000000001</v>
      </c>
      <c r="D58" s="14">
        <f t="shared" ref="D58:E58" si="61">SUM(D49,D51)</f>
        <v>14469.538</v>
      </c>
      <c r="E58" s="14">
        <f t="shared" si="61"/>
        <v>14300.368</v>
      </c>
      <c r="F58" s="14">
        <f t="shared" ref="F58:J58" si="62">SUM(F49,F51)</f>
        <v>14543.260999999999</v>
      </c>
      <c r="G58" s="14">
        <f t="shared" si="62"/>
        <v>14015.974</v>
      </c>
      <c r="H58" s="14">
        <f t="shared" si="62"/>
        <v>13980.064999999999</v>
      </c>
      <c r="I58" s="14">
        <f t="shared" si="62"/>
        <v>15981.328000000001</v>
      </c>
      <c r="J58" s="14">
        <f t="shared" si="62"/>
        <v>15582.804</v>
      </c>
      <c r="K58" s="14">
        <f>SUM(K49,K51)</f>
        <v>15016.918</v>
      </c>
      <c r="L58" s="14">
        <f>SUM(L49,L51)</f>
        <v>14453.206</v>
      </c>
    </row>
    <row r="59" spans="2:12" x14ac:dyDescent="0.2">
      <c r="B59" s="1" t="s">
        <v>91</v>
      </c>
      <c r="C59" s="1">
        <f>+C57-C58</f>
        <v>-6609.6240000000007</v>
      </c>
      <c r="D59" s="1">
        <f>+D57-D58</f>
        <v>-5892.5460000000003</v>
      </c>
      <c r="E59" s="1">
        <f>+E57-E58</f>
        <v>-6432.9220000000005</v>
      </c>
      <c r="F59" s="1">
        <f>+F57-F58</f>
        <v>-7405.3749999999991</v>
      </c>
      <c r="G59" s="1">
        <f t="shared" ref="G59:L59" si="63">+G57-G58</f>
        <v>-6970.2350000000006</v>
      </c>
      <c r="H59" s="1">
        <f t="shared" si="63"/>
        <v>-7324.1529999999984</v>
      </c>
      <c r="I59" s="1">
        <f t="shared" si="63"/>
        <v>-6757.4010000000017</v>
      </c>
      <c r="J59" s="1">
        <f t="shared" si="63"/>
        <v>-5999.0650000000005</v>
      </c>
      <c r="K59" s="1">
        <f t="shared" si="63"/>
        <v>-6645.9279999999999</v>
      </c>
      <c r="L59" s="1">
        <f t="shared" si="63"/>
        <v>-6062.6859999999997</v>
      </c>
    </row>
    <row r="60" spans="2:12" x14ac:dyDescent="0.2">
      <c r="B60" s="1" t="s">
        <v>92</v>
      </c>
      <c r="D60" s="1">
        <f t="shared" ref="D60:J60" si="64">+D40-C40</f>
        <v>171.59000000000015</v>
      </c>
      <c r="E60" s="1">
        <f t="shared" si="64"/>
        <v>-770.91300000000047</v>
      </c>
      <c r="F60" s="1">
        <f t="shared" si="64"/>
        <v>-91.805000000000291</v>
      </c>
      <c r="G60" s="1">
        <f t="shared" si="64"/>
        <v>4.04399999999805</v>
      </c>
      <c r="H60" s="1">
        <f t="shared" si="64"/>
        <v>265.25500000000102</v>
      </c>
      <c r="I60" s="1">
        <f t="shared" si="64"/>
        <v>248.02700000000186</v>
      </c>
      <c r="J60" s="1">
        <f t="shared" si="64"/>
        <v>277.07999999999811</v>
      </c>
      <c r="K60" s="1">
        <f>+K40-J40</f>
        <v>-411.62299999999959</v>
      </c>
      <c r="L60" s="1">
        <f>+L40-K40</f>
        <v>48.555000000000291</v>
      </c>
    </row>
    <row r="62" spans="2:12" x14ac:dyDescent="0.2">
      <c r="B62" s="1" t="s">
        <v>96</v>
      </c>
      <c r="C62" s="1">
        <v>12533.388000000001</v>
      </c>
      <c r="D62" s="1">
        <v>12622.409</v>
      </c>
      <c r="E62" s="1">
        <v>12459.413</v>
      </c>
      <c r="F62" s="1">
        <v>12722.700999999999</v>
      </c>
      <c r="G62" s="1">
        <v>12549.546</v>
      </c>
      <c r="H62" s="1">
        <v>12358.54</v>
      </c>
      <c r="I62" s="1">
        <v>12307.674000000001</v>
      </c>
      <c r="J62" s="1">
        <v>12422.308999999999</v>
      </c>
      <c r="K62" s="1">
        <v>12393.12</v>
      </c>
      <c r="L62" s="1">
        <v>12273.050999999999</v>
      </c>
    </row>
    <row r="63" spans="2:12" x14ac:dyDescent="0.2">
      <c r="B63" s="3" t="s">
        <v>100</v>
      </c>
    </row>
    <row r="64" spans="2:12" x14ac:dyDescent="0.2">
      <c r="B64" s="1" t="s">
        <v>97</v>
      </c>
      <c r="C64" s="1">
        <v>9306.3369999999995</v>
      </c>
      <c r="D64" s="1">
        <v>9286.3989999999994</v>
      </c>
      <c r="E64" s="1">
        <v>9433.8780000000006</v>
      </c>
      <c r="F64" s="1">
        <v>9843.15</v>
      </c>
      <c r="G64" s="1">
        <v>9917.8320000000003</v>
      </c>
      <c r="H64" s="1">
        <v>10033.753000000001</v>
      </c>
      <c r="I64" s="1">
        <v>10025.304</v>
      </c>
      <c r="J64" s="1">
        <v>10151.543</v>
      </c>
      <c r="K64" s="1">
        <v>10366.701999999999</v>
      </c>
      <c r="L64" s="1">
        <v>10090.174000000001</v>
      </c>
    </row>
    <row r="65" spans="2:12" x14ac:dyDescent="0.2">
      <c r="B65" s="1" t="s">
        <v>98</v>
      </c>
      <c r="C65" s="1">
        <v>9872.1380000000008</v>
      </c>
      <c r="D65" s="1">
        <v>9796.7039999999997</v>
      </c>
      <c r="E65" s="1">
        <v>9052.14</v>
      </c>
      <c r="F65" s="1">
        <v>8247.5779999999995</v>
      </c>
      <c r="G65" s="1">
        <v>8242.56</v>
      </c>
      <c r="H65" s="1">
        <v>8810.5439999999999</v>
      </c>
      <c r="I65" s="1">
        <v>9197.7150000000001</v>
      </c>
      <c r="J65" s="1">
        <v>9317.3670000000002</v>
      </c>
      <c r="K65" s="1">
        <v>8652.2780000000002</v>
      </c>
      <c r="L65" s="1">
        <v>8930.1959999999999</v>
      </c>
    </row>
    <row r="66" spans="2:12" x14ac:dyDescent="0.2">
      <c r="B66" s="1" t="s">
        <v>105</v>
      </c>
      <c r="C66" s="1">
        <v>637.32100000000003</v>
      </c>
      <c r="D66" s="1">
        <v>815.26199999999994</v>
      </c>
      <c r="E66" s="1">
        <v>804.43</v>
      </c>
      <c r="F66" s="1">
        <v>844.62699999999995</v>
      </c>
      <c r="G66" s="1">
        <v>952.16200000000003</v>
      </c>
      <c r="H66" s="1">
        <v>724.51800000000003</v>
      </c>
      <c r="I66" s="1">
        <v>644.68899999999996</v>
      </c>
      <c r="J66" s="1">
        <v>561.24300000000005</v>
      </c>
      <c r="K66" s="1">
        <v>628.73900000000003</v>
      </c>
      <c r="L66" s="1">
        <v>795.97299999999996</v>
      </c>
    </row>
    <row r="67" spans="2:12" x14ac:dyDescent="0.2">
      <c r="B67" s="16" t="s">
        <v>99</v>
      </c>
      <c r="C67" s="16">
        <f t="shared" ref="C67:J67" si="65">SUM(C62,C64:C66)</f>
        <v>32349.183999999997</v>
      </c>
      <c r="D67" s="16">
        <f t="shared" si="65"/>
        <v>32520.773999999994</v>
      </c>
      <c r="E67" s="16">
        <f t="shared" si="65"/>
        <v>31749.861000000001</v>
      </c>
      <c r="F67" s="16">
        <f t="shared" si="65"/>
        <v>31658.055999999997</v>
      </c>
      <c r="G67" s="16">
        <f t="shared" si="65"/>
        <v>31662.100000000002</v>
      </c>
      <c r="H67" s="16">
        <f t="shared" si="65"/>
        <v>31927.355</v>
      </c>
      <c r="I67" s="16">
        <f t="shared" si="65"/>
        <v>32175.382000000001</v>
      </c>
      <c r="J67" s="16">
        <f t="shared" si="65"/>
        <v>32452.461999999996</v>
      </c>
      <c r="K67" s="16">
        <f>SUM(K62,K64:K66)</f>
        <v>32040.839</v>
      </c>
      <c r="L67" s="16">
        <f>SUM(L62,L64:L66)</f>
        <v>32089.394</v>
      </c>
    </row>
    <row r="68" spans="2:12" x14ac:dyDescent="0.2">
      <c r="B68" s="1" t="s">
        <v>106</v>
      </c>
      <c r="C68" s="5">
        <f>+C62/C67</f>
        <v>0.3874406229226679</v>
      </c>
      <c r="D68" s="5">
        <f t="shared" ref="D68:L68" si="66">+D62/D67</f>
        <v>0.3881337203105929</v>
      </c>
      <c r="E68" s="5">
        <f t="shared" si="66"/>
        <v>0.39242417470741053</v>
      </c>
      <c r="F68" s="5">
        <f t="shared" si="66"/>
        <v>0.40187878244956038</v>
      </c>
      <c r="G68" s="5">
        <f t="shared" si="66"/>
        <v>0.39635861171558423</v>
      </c>
      <c r="H68" s="5">
        <f t="shared" si="66"/>
        <v>0.38708311415085905</v>
      </c>
      <c r="I68" s="5">
        <f t="shared" si="66"/>
        <v>0.38251834896629977</v>
      </c>
      <c r="J68" s="5">
        <f t="shared" si="66"/>
        <v>0.38278479457121006</v>
      </c>
      <c r="K68" s="5">
        <f t="shared" si="66"/>
        <v>0.38679136960177607</v>
      </c>
      <c r="L68" s="5">
        <f t="shared" si="66"/>
        <v>0.38246440552912903</v>
      </c>
    </row>
    <row r="69" spans="2:12" x14ac:dyDescent="0.2">
      <c r="B69" s="1" t="s">
        <v>101</v>
      </c>
      <c r="C69" s="1">
        <v>1723.6780000000001</v>
      </c>
      <c r="D69" s="1">
        <v>1779.3209999999999</v>
      </c>
      <c r="E69" s="1">
        <v>1777.701</v>
      </c>
      <c r="F69" s="1">
        <f>7145.446-SUM(C69:E69)</f>
        <v>1864.7460000000001</v>
      </c>
      <c r="G69" s="1">
        <v>1835.117</v>
      </c>
      <c r="H69" s="1">
        <v>1884.491</v>
      </c>
      <c r="I69" s="1">
        <v>1814.04</v>
      </c>
      <c r="J69" s="1">
        <f>7689.014-SUM(G69:I69)</f>
        <v>2155.366</v>
      </c>
      <c r="K69" s="1">
        <v>1998.5250000000001</v>
      </c>
      <c r="L69" s="1">
        <v>2010.2070000000001</v>
      </c>
    </row>
    <row r="70" spans="2:12" x14ac:dyDescent="0.2">
      <c r="B70" s="1" t="s">
        <v>100</v>
      </c>
      <c r="C70" s="1">
        <v>1736.306</v>
      </c>
      <c r="D70" s="1">
        <v>1630.7</v>
      </c>
      <c r="E70" s="1">
        <v>1795.652</v>
      </c>
      <c r="F70" s="1">
        <f>7051.991-SUM(C70:E70)</f>
        <v>1889.3329999999996</v>
      </c>
      <c r="G70" s="1">
        <v>1835.6880000000001</v>
      </c>
      <c r="H70" s="1">
        <v>1885.1990000000001</v>
      </c>
      <c r="I70" s="1">
        <v>1885.481</v>
      </c>
      <c r="J70" s="1">
        <f>7612.503-SUM(G70:I70)</f>
        <v>2006.1349999999993</v>
      </c>
      <c r="K70" s="1">
        <v>1824.587</v>
      </c>
      <c r="L70" s="1">
        <v>1821.867</v>
      </c>
    </row>
    <row r="71" spans="2:12" x14ac:dyDescent="0.2">
      <c r="B71" s="16" t="s">
        <v>104</v>
      </c>
      <c r="C71" s="16">
        <f t="shared" ref="C71:I71" si="67">SUM(C69:C70)</f>
        <v>3459.9840000000004</v>
      </c>
      <c r="D71" s="16">
        <f t="shared" si="67"/>
        <v>3410.0209999999997</v>
      </c>
      <c r="E71" s="16">
        <f t="shared" si="67"/>
        <v>3573.3530000000001</v>
      </c>
      <c r="F71" s="16">
        <f t="shared" si="67"/>
        <v>3754.0789999999997</v>
      </c>
      <c r="G71" s="16">
        <f t="shared" si="67"/>
        <v>3670.8050000000003</v>
      </c>
      <c r="H71" s="16">
        <f t="shared" si="67"/>
        <v>3769.69</v>
      </c>
      <c r="I71" s="16">
        <f t="shared" si="67"/>
        <v>3699.5209999999997</v>
      </c>
      <c r="J71" s="16">
        <f>SUM(J69:J70)</f>
        <v>4161.5009999999993</v>
      </c>
      <c r="K71" s="16">
        <f>SUM(K69:K70)</f>
        <v>3823.1120000000001</v>
      </c>
      <c r="L71" s="16">
        <f>SUM(L69:L70)</f>
        <v>3832.0740000000001</v>
      </c>
    </row>
    <row r="73" spans="2:12" x14ac:dyDescent="0.2">
      <c r="B73" s="1" t="s">
        <v>34</v>
      </c>
      <c r="H73" s="1">
        <v>2147.306</v>
      </c>
      <c r="K73" s="1">
        <v>2890.3510000000001</v>
      </c>
      <c r="L73" s="1">
        <v>3125.413</v>
      </c>
    </row>
    <row r="74" spans="2:12" x14ac:dyDescent="0.2">
      <c r="B74" s="1" t="s">
        <v>64</v>
      </c>
      <c r="H74" s="1">
        <v>-4048.8519999999999</v>
      </c>
      <c r="K74" s="1">
        <v>-3549.6570000000002</v>
      </c>
      <c r="L74" s="1">
        <v>-3835.8130000000001</v>
      </c>
    </row>
    <row r="75" spans="2:12" x14ac:dyDescent="0.2">
      <c r="B75" s="1" t="s">
        <v>65</v>
      </c>
      <c r="H75" s="1">
        <v>-366.572</v>
      </c>
      <c r="K75" s="1">
        <v>-411.25299999999999</v>
      </c>
      <c r="L75" s="1">
        <v>-214.05199999999999</v>
      </c>
    </row>
    <row r="76" spans="2:12" x14ac:dyDescent="0.2">
      <c r="B76" s="1" t="s">
        <v>66</v>
      </c>
      <c r="H76" s="1">
        <v>3769.69</v>
      </c>
      <c r="K76" s="1">
        <v>3823.1120000000001</v>
      </c>
      <c r="L76" s="1">
        <v>3832.0740000000001</v>
      </c>
    </row>
    <row r="77" spans="2:12" x14ac:dyDescent="0.2">
      <c r="B77" s="1" t="s">
        <v>67</v>
      </c>
      <c r="H77" s="1">
        <v>81.227000000000004</v>
      </c>
      <c r="K77" s="1">
        <v>80.066999999999993</v>
      </c>
      <c r="L77" s="1">
        <v>80.013000000000005</v>
      </c>
    </row>
    <row r="78" spans="2:12" x14ac:dyDescent="0.2">
      <c r="B78" s="1" t="s">
        <v>68</v>
      </c>
      <c r="H78" s="1">
        <v>68.766000000000005</v>
      </c>
      <c r="K78" s="1">
        <v>71.977000000000004</v>
      </c>
      <c r="L78" s="1">
        <v>80.861999999999995</v>
      </c>
    </row>
    <row r="79" spans="2:12" x14ac:dyDescent="0.2">
      <c r="B79" s="1" t="s">
        <v>69</v>
      </c>
      <c r="H79" s="1">
        <v>-42.692</v>
      </c>
      <c r="K79" s="1">
        <v>28.547000000000001</v>
      </c>
      <c r="L79" s="1">
        <v>55.238</v>
      </c>
    </row>
    <row r="80" spans="2:12" x14ac:dyDescent="0.2">
      <c r="B80" s="1" t="s">
        <v>70</v>
      </c>
      <c r="H80" s="1">
        <v>138.58799999999999</v>
      </c>
      <c r="K80" s="1">
        <v>114.73</v>
      </c>
      <c r="L80" s="1">
        <v>120.139</v>
      </c>
    </row>
    <row r="81" spans="2:12" x14ac:dyDescent="0.2">
      <c r="B81" s="1" t="s">
        <v>71</v>
      </c>
      <c r="H81" s="1">
        <v>-209.387</v>
      </c>
      <c r="K81" s="1">
        <v>-163.928</v>
      </c>
      <c r="L81" s="1">
        <v>-135.755</v>
      </c>
    </row>
    <row r="82" spans="2:12" x14ac:dyDescent="0.2">
      <c r="B82" s="1" t="s">
        <v>48</v>
      </c>
      <c r="H82" s="1">
        <v>-28.959</v>
      </c>
      <c r="K82" s="1">
        <v>-131.36699999999999</v>
      </c>
      <c r="L82" s="1">
        <v>-176.68299999999999</v>
      </c>
    </row>
    <row r="83" spans="2:12" x14ac:dyDescent="0.2">
      <c r="B83" s="1" t="s">
        <v>54</v>
      </c>
      <c r="H83" s="1">
        <v>-19.358000000000001</v>
      </c>
      <c r="K83" s="1">
        <v>-276.42599999999999</v>
      </c>
      <c r="L83" s="1">
        <v>11.045999999999999</v>
      </c>
    </row>
    <row r="84" spans="2:12" x14ac:dyDescent="0.2">
      <c r="B84" s="1" t="s">
        <v>55</v>
      </c>
      <c r="H84" s="1">
        <v>-114.303</v>
      </c>
      <c r="K84" s="1">
        <v>306.41300000000001</v>
      </c>
      <c r="L84" s="1">
        <v>-267.23500000000001</v>
      </c>
    </row>
    <row r="85" spans="2:12" x14ac:dyDescent="0.2">
      <c r="B85" s="1" t="s">
        <v>56</v>
      </c>
      <c r="H85" s="1">
        <v>4.2359999999999998</v>
      </c>
      <c r="K85" s="1">
        <v>88.912999999999997</v>
      </c>
      <c r="L85" s="1">
        <v>118.63500000000001</v>
      </c>
    </row>
    <row r="86" spans="2:12" x14ac:dyDescent="0.2">
      <c r="B86" s="1" t="s">
        <v>72</v>
      </c>
      <c r="H86" s="1">
        <v>-88.843000000000004</v>
      </c>
      <c r="K86" s="1">
        <v>-82.28</v>
      </c>
      <c r="L86" s="1">
        <v>-370.62400000000002</v>
      </c>
    </row>
    <row r="87" spans="2:12" s="3" customFormat="1" x14ac:dyDescent="0.2">
      <c r="B87" s="3" t="s">
        <v>73</v>
      </c>
      <c r="H87" s="3">
        <f>+SUM(H73:H86)</f>
        <v>1290.8470000000002</v>
      </c>
      <c r="K87" s="3">
        <f>+SUM(K73:K86)</f>
        <v>2789.1989999999996</v>
      </c>
      <c r="L87" s="3">
        <f>+SUM(L73:L86)</f>
        <v>2423.2579999999998</v>
      </c>
    </row>
    <row r="89" spans="2:12" x14ac:dyDescent="0.2">
      <c r="B89" s="1" t="s">
        <v>50</v>
      </c>
      <c r="H89" s="1">
        <v>-78.287000000000006</v>
      </c>
      <c r="K89" s="1">
        <v>-128.27699999999999</v>
      </c>
      <c r="L89" s="1">
        <v>-155.88900000000001</v>
      </c>
    </row>
    <row r="90" spans="2:12" x14ac:dyDescent="0.2">
      <c r="B90" s="1" t="s">
        <v>74</v>
      </c>
      <c r="H90" s="1">
        <v>0</v>
      </c>
      <c r="K90" s="1">
        <v>-156.01499999999999</v>
      </c>
      <c r="L90" s="1">
        <v>-1.65</v>
      </c>
    </row>
    <row r="91" spans="2:12" x14ac:dyDescent="0.2">
      <c r="B91" s="1" t="s">
        <v>75</v>
      </c>
      <c r="H91" s="1">
        <v>0</v>
      </c>
      <c r="K91" s="1">
        <v>769.95399999999995</v>
      </c>
      <c r="L91" s="1">
        <v>962.41300000000001</v>
      </c>
    </row>
    <row r="92" spans="2:12" x14ac:dyDescent="0.2">
      <c r="B92" s="1" t="s">
        <v>107</v>
      </c>
      <c r="H92" s="1">
        <v>0</v>
      </c>
      <c r="L92" s="1">
        <v>-36.19</v>
      </c>
    </row>
    <row r="93" spans="2:12" s="3" customFormat="1" x14ac:dyDescent="0.2">
      <c r="B93" s="3" t="s">
        <v>76</v>
      </c>
      <c r="H93" s="3">
        <f>+SUM(H89:H92)</f>
        <v>-78.287000000000006</v>
      </c>
      <c r="K93" s="3">
        <f>+SUM(K89:K92)</f>
        <v>485.66199999999998</v>
      </c>
      <c r="L93" s="3">
        <f>+SUM(L89:L92)</f>
        <v>768.68399999999997</v>
      </c>
    </row>
    <row r="95" spans="2:12" x14ac:dyDescent="0.2">
      <c r="B95" s="1" t="s">
        <v>77</v>
      </c>
      <c r="H95" s="1">
        <v>0</v>
      </c>
      <c r="K95" s="1">
        <v>-800</v>
      </c>
      <c r="L95" s="1">
        <v>-1033.45</v>
      </c>
    </row>
    <row r="96" spans="2:12" x14ac:dyDescent="0.2">
      <c r="B96" s="1" t="s">
        <v>78</v>
      </c>
      <c r="H96" s="1">
        <v>118.75</v>
      </c>
      <c r="K96" s="1">
        <v>351.60199999999998</v>
      </c>
      <c r="L96" s="1">
        <v>169.066</v>
      </c>
    </row>
    <row r="97" spans="2:12" x14ac:dyDescent="0.2">
      <c r="B97" s="1" t="s">
        <v>79</v>
      </c>
      <c r="H97" s="1">
        <v>-1599.998</v>
      </c>
      <c r="K97" s="1">
        <v>-3536.3960000000002</v>
      </c>
      <c r="L97" s="1">
        <v>-1654.327</v>
      </c>
    </row>
    <row r="98" spans="2:12" x14ac:dyDescent="0.2">
      <c r="B98" s="1" t="s">
        <v>80</v>
      </c>
      <c r="H98" s="1">
        <v>-1.883</v>
      </c>
      <c r="K98" s="1">
        <v>-27.87</v>
      </c>
      <c r="L98" s="1">
        <v>-6.1139999999999999</v>
      </c>
    </row>
    <row r="99" spans="2:12" x14ac:dyDescent="0.2">
      <c r="B99" s="1" t="s">
        <v>81</v>
      </c>
      <c r="H99" s="1">
        <v>-6.25</v>
      </c>
      <c r="K99" s="1">
        <v>-15.651999999999999</v>
      </c>
      <c r="L99" s="1">
        <v>21.957000000000001</v>
      </c>
    </row>
    <row r="100" spans="2:12" s="3" customFormat="1" x14ac:dyDescent="0.2">
      <c r="B100" s="3" t="s">
        <v>82</v>
      </c>
      <c r="H100" s="3">
        <f>+SUM(H95:H99)</f>
        <v>-1489.3810000000001</v>
      </c>
      <c r="K100" s="3">
        <f>+SUM(K95:K99)</f>
        <v>-4028.3160000000003</v>
      </c>
      <c r="L100" s="3">
        <f>+SUM(L95:L99)</f>
        <v>-2502.8680000000004</v>
      </c>
    </row>
    <row r="101" spans="2:12" s="3" customFormat="1" x14ac:dyDescent="0.2"/>
    <row r="102" spans="2:12" x14ac:dyDescent="0.2">
      <c r="B102" s="1" t="s">
        <v>69</v>
      </c>
      <c r="H102" s="1">
        <v>-122.723</v>
      </c>
      <c r="K102" s="1">
        <v>150.14599999999999</v>
      </c>
      <c r="L102" s="1">
        <v>287.471</v>
      </c>
    </row>
    <row r="103" spans="2:12" x14ac:dyDescent="0.2">
      <c r="B103" s="1" t="s">
        <v>108</v>
      </c>
      <c r="H103" s="1">
        <f>SUM(H102,H100,H93,H87)</f>
        <v>-399.54399999999987</v>
      </c>
      <c r="K103" s="1">
        <f>SUM(K102,K100,K93,K87)</f>
        <v>-603.30900000000065</v>
      </c>
      <c r="L103" s="1">
        <f>SUM(L102,L100,L93,L87)</f>
        <v>976.54499999999939</v>
      </c>
    </row>
    <row r="104" spans="2:12" x14ac:dyDescent="0.2">
      <c r="B104" s="1" t="s">
        <v>109</v>
      </c>
      <c r="G104" s="1">
        <v>7118.5150000000003</v>
      </c>
      <c r="H104" s="1">
        <v>7204.0280000000002</v>
      </c>
      <c r="K104" s="1">
        <v>7807.3370000000004</v>
      </c>
      <c r="L104" s="1">
        <v>7204.0280000000002</v>
      </c>
    </row>
    <row r="105" spans="2:12" x14ac:dyDescent="0.2">
      <c r="B105" s="1" t="s">
        <v>110</v>
      </c>
      <c r="G105" s="1">
        <f>+SUM(G103:G104)</f>
        <v>7118.5150000000003</v>
      </c>
      <c r="H105" s="1">
        <f>+SUM(H103:H104)</f>
        <v>6804.4840000000004</v>
      </c>
      <c r="K105" s="1">
        <f>+SUM(K103:K104)</f>
        <v>7204.0280000000002</v>
      </c>
      <c r="L105" s="1">
        <f>+SUM(L103:L104)</f>
        <v>8180.5729999999994</v>
      </c>
    </row>
    <row r="109" spans="2:12" x14ac:dyDescent="0.2">
      <c r="B109" s="1" t="s">
        <v>83</v>
      </c>
      <c r="C109" s="1">
        <f t="shared" ref="C109:J109" si="68">+C87+C89</f>
        <v>0</v>
      </c>
      <c r="D109" s="1">
        <f t="shared" si="68"/>
        <v>0</v>
      </c>
      <c r="E109" s="1">
        <f t="shared" si="68"/>
        <v>0</v>
      </c>
      <c r="F109" s="1">
        <f t="shared" si="68"/>
        <v>0</v>
      </c>
      <c r="G109" s="1">
        <f t="shared" si="68"/>
        <v>0</v>
      </c>
      <c r="H109" s="1">
        <f t="shared" si="68"/>
        <v>1212.5600000000002</v>
      </c>
      <c r="I109" s="1">
        <f t="shared" si="68"/>
        <v>0</v>
      </c>
      <c r="J109" s="1">
        <f t="shared" si="68"/>
        <v>0</v>
      </c>
      <c r="K109" s="1">
        <f>+K87+K89</f>
        <v>2660.9219999999996</v>
      </c>
      <c r="L109" s="1">
        <f>+L87+L89</f>
        <v>2267.3689999999997</v>
      </c>
    </row>
  </sheetData>
  <pageMargins left="0.7" right="0.7" top="0.75" bottom="0.75" header="0.3" footer="0.3"/>
  <ignoredErrors>
    <ignoredError sqref="F57:L57 B68:L73 K58:L67" formulaRange="1"/>
    <ignoredError sqref="B37:J56 B31:J34 B7:J27 B29:J29" formula="1"/>
    <ignoredError sqref="B57:E57 B58:J67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D7CF-58BF-9941-9FAB-2F4804EA7F06}">
  <dimension ref="B6:I18"/>
  <sheetViews>
    <sheetView workbookViewId="0">
      <selection activeCell="B7" sqref="B7:I18"/>
    </sheetView>
  </sheetViews>
  <sheetFormatPr baseColWidth="10" defaultRowHeight="16" x14ac:dyDescent="0.2"/>
  <sheetData>
    <row r="6" spans="2:9" x14ac:dyDescent="0.2">
      <c r="B6" t="s">
        <v>152</v>
      </c>
    </row>
    <row r="7" spans="2:9" x14ac:dyDescent="0.2">
      <c r="B7" s="22" t="s">
        <v>21</v>
      </c>
      <c r="C7" s="22" t="s">
        <v>22</v>
      </c>
      <c r="D7" s="22" t="s">
        <v>23</v>
      </c>
      <c r="E7" s="22" t="s">
        <v>24</v>
      </c>
      <c r="F7" s="22" t="s">
        <v>9</v>
      </c>
      <c r="G7" s="22" t="s">
        <v>10</v>
      </c>
      <c r="H7" s="22" t="s">
        <v>11</v>
      </c>
      <c r="I7" s="22" t="s">
        <v>12</v>
      </c>
    </row>
    <row r="8" spans="2:9" x14ac:dyDescent="0.2">
      <c r="B8" s="19">
        <v>231623</v>
      </c>
      <c r="C8" s="19">
        <v>235444</v>
      </c>
      <c r="D8" s="19">
        <v>242773</v>
      </c>
      <c r="E8" s="19">
        <v>240889</v>
      </c>
      <c r="F8" s="19">
        <v>264939</v>
      </c>
      <c r="G8" s="19">
        <v>273625</v>
      </c>
      <c r="H8" s="19">
        <v>280184</v>
      </c>
      <c r="I8" s="19">
        <v>277732</v>
      </c>
    </row>
    <row r="9" spans="2:9" x14ac:dyDescent="0.2">
      <c r="B9" s="19">
        <v>74347</v>
      </c>
      <c r="C9" s="19">
        <v>74985</v>
      </c>
      <c r="D9" s="19">
        <v>76446</v>
      </c>
      <c r="E9" s="19">
        <v>76126</v>
      </c>
      <c r="F9" s="19">
        <v>81393</v>
      </c>
      <c r="G9" s="19">
        <v>83384</v>
      </c>
      <c r="H9" s="19">
        <v>84456</v>
      </c>
      <c r="I9" s="19">
        <v>84112</v>
      </c>
    </row>
    <row r="10" spans="2:9" x14ac:dyDescent="0.2">
      <c r="B10" s="19">
        <v>77051</v>
      </c>
      <c r="C10" s="19">
        <v>74666</v>
      </c>
      <c r="D10" s="19">
        <v>81784</v>
      </c>
      <c r="E10" s="19">
        <v>80928</v>
      </c>
      <c r="F10" s="19">
        <v>90271</v>
      </c>
      <c r="G10" s="19">
        <v>82389</v>
      </c>
      <c r="H10" s="19">
        <v>95048</v>
      </c>
      <c r="I10" s="19">
        <v>94200</v>
      </c>
    </row>
    <row r="11" spans="2:9" x14ac:dyDescent="0.2">
      <c r="B11" s="19">
        <v>41474</v>
      </c>
      <c r="C11" s="19">
        <v>78590</v>
      </c>
      <c r="D11" s="19">
        <v>43056</v>
      </c>
      <c r="E11" s="19">
        <v>42802</v>
      </c>
      <c r="F11" s="19">
        <v>46859</v>
      </c>
      <c r="G11" s="19">
        <v>92847</v>
      </c>
      <c r="H11" s="19">
        <v>49216</v>
      </c>
      <c r="I11" s="19">
        <v>48954</v>
      </c>
    </row>
    <row r="12" spans="2:9" x14ac:dyDescent="0.2">
      <c r="B12" s="19">
        <v>38751</v>
      </c>
      <c r="C12" s="19">
        <v>77821</v>
      </c>
      <c r="D12" s="19">
        <v>41487</v>
      </c>
      <c r="E12" s="19">
        <v>41033</v>
      </c>
      <c r="F12" s="19">
        <v>46417</v>
      </c>
      <c r="G12" s="19">
        <v>91559</v>
      </c>
      <c r="H12" s="19">
        <v>51464</v>
      </c>
      <c r="I12" s="19">
        <v>50466</v>
      </c>
    </row>
    <row r="13" spans="2:9" x14ac:dyDescent="0.2">
      <c r="B13" s="22"/>
      <c r="C13" s="22"/>
      <c r="D13" s="22"/>
      <c r="E13" s="22"/>
      <c r="F13" s="22"/>
      <c r="G13" s="22"/>
      <c r="H13" s="22"/>
      <c r="I13" s="22"/>
    </row>
    <row r="14" spans="2:9" x14ac:dyDescent="0.2">
      <c r="B14" s="22"/>
      <c r="C14" s="22"/>
      <c r="D14" s="22"/>
      <c r="E14" s="22"/>
      <c r="F14" s="22"/>
      <c r="G14" s="22"/>
      <c r="H14" s="23"/>
      <c r="I14" s="22"/>
    </row>
    <row r="15" spans="2:9" x14ac:dyDescent="0.2">
      <c r="B15" s="23">
        <v>4</v>
      </c>
      <c r="C15" s="23">
        <v>4</v>
      </c>
      <c r="D15" s="23">
        <v>4.0999999999999996</v>
      </c>
      <c r="E15" s="23">
        <v>4.3</v>
      </c>
      <c r="F15" s="23">
        <v>4.3</v>
      </c>
      <c r="G15" s="23">
        <v>4.3</v>
      </c>
      <c r="H15" s="23">
        <v>4.3</v>
      </c>
      <c r="I15" s="23">
        <v>4.5</v>
      </c>
    </row>
    <row r="16" spans="2:9" x14ac:dyDescent="0.2">
      <c r="B16" s="23">
        <v>2.7</v>
      </c>
      <c r="C16" s="23">
        <v>2.9</v>
      </c>
      <c r="D16" s="23">
        <v>2.7</v>
      </c>
      <c r="E16" s="23">
        <v>2.9</v>
      </c>
      <c r="F16" s="23">
        <v>2.7</v>
      </c>
      <c r="G16" s="23">
        <v>3</v>
      </c>
      <c r="H16" s="23">
        <v>2.7</v>
      </c>
      <c r="I16" s="23">
        <v>2.9</v>
      </c>
    </row>
    <row r="17" spans="2:9" x14ac:dyDescent="0.2">
      <c r="B17" s="23">
        <v>2.2000000000000002</v>
      </c>
      <c r="C17" s="23">
        <v>1.1000000000000001</v>
      </c>
      <c r="D17" s="23">
        <v>2.2000000000000002</v>
      </c>
      <c r="E17" s="23">
        <v>2.2999999999999998</v>
      </c>
      <c r="F17" s="23">
        <v>2.1</v>
      </c>
      <c r="G17" s="23">
        <v>1.1000000000000001</v>
      </c>
      <c r="H17" s="23">
        <v>2.1</v>
      </c>
      <c r="I17" s="23">
        <v>2.1</v>
      </c>
    </row>
    <row r="18" spans="2:9" x14ac:dyDescent="0.2">
      <c r="B18" s="23">
        <v>2</v>
      </c>
      <c r="C18" s="23">
        <v>1</v>
      </c>
      <c r="D18" s="23">
        <v>1.9</v>
      </c>
      <c r="E18" s="23">
        <v>2</v>
      </c>
      <c r="F18" s="23">
        <v>1.8</v>
      </c>
      <c r="G18" s="23">
        <v>1</v>
      </c>
      <c r="H18" s="23">
        <v>1.8</v>
      </c>
      <c r="I18" s="2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2025-06-23T00:52:37Z</dcterms:created>
  <dcterms:modified xsi:type="dcterms:W3CDTF">2025-09-04T03:38:44Z</dcterms:modified>
</cp:coreProperties>
</file>