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13_ncr:1_{8D5A9D2A-48BF-2846-B010-7F074D9A8681}" xr6:coauthVersionLast="47" xr6:coauthVersionMax="47" xr10:uidLastSave="{00000000-0000-0000-0000-000000000000}"/>
  <bookViews>
    <workbookView xWindow="6180" yWindow="8660" windowWidth="30580" windowHeight="13120" xr2:uid="{5E11661E-A77E-1640-8F75-A4797723CAFF}"/>
  </bookViews>
  <sheets>
    <sheet name="Main" sheetId="1" r:id="rId1"/>
    <sheet name="Model" sheetId="2" r:id="rId2"/>
    <sheet name="Managemen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31" i="2" l="1"/>
  <c r="AL31" i="2" s="1"/>
  <c r="AM31" i="2" s="1"/>
  <c r="AN31" i="2" s="1"/>
  <c r="AO31" i="2" s="1"/>
  <c r="AP31" i="2" s="1"/>
  <c r="AQ31" i="2" s="1"/>
  <c r="AR31" i="2" s="1"/>
  <c r="AJ31" i="2"/>
  <c r="L127" i="2"/>
  <c r="J122" i="2"/>
  <c r="J119" i="2"/>
  <c r="J111" i="2"/>
  <c r="J105" i="2"/>
  <c r="J91" i="2"/>
  <c r="I119" i="2"/>
  <c r="I122" i="2"/>
  <c r="I124" i="2" s="1"/>
  <c r="J123" i="2" s="1"/>
  <c r="J124" i="2" s="1"/>
  <c r="I111" i="2"/>
  <c r="G119" i="2"/>
  <c r="G111" i="2"/>
  <c r="I18" i="2"/>
  <c r="F119" i="2"/>
  <c r="F111" i="2"/>
  <c r="E119" i="2"/>
  <c r="E111" i="2"/>
  <c r="C119" i="2"/>
  <c r="C111" i="2"/>
  <c r="D119" i="2"/>
  <c r="D111" i="2"/>
  <c r="AE47" i="2"/>
  <c r="L4" i="2"/>
  <c r="K4" i="2"/>
  <c r="I4" i="2"/>
  <c r="H4" i="2"/>
  <c r="G4" i="2"/>
  <c r="G6" i="2" s="1"/>
  <c r="E4" i="2"/>
  <c r="E6" i="2" s="1"/>
  <c r="D4" i="2"/>
  <c r="L8" i="2"/>
  <c r="K8" i="2"/>
  <c r="I8" i="2"/>
  <c r="I10" i="2" s="1"/>
  <c r="H8" i="2"/>
  <c r="H10" i="2" s="1"/>
  <c r="G8" i="2"/>
  <c r="G10" i="2" s="1"/>
  <c r="E8" i="2"/>
  <c r="E10" i="2" s="1"/>
  <c r="D8" i="2"/>
  <c r="D10" i="2" s="1"/>
  <c r="L12" i="2"/>
  <c r="K12" i="2"/>
  <c r="I12" i="2"/>
  <c r="I14" i="2" s="1"/>
  <c r="H12" i="2"/>
  <c r="H14" i="2" s="1"/>
  <c r="G12" i="2"/>
  <c r="G14" i="2" s="1"/>
  <c r="E12" i="2"/>
  <c r="E14" i="2" s="1"/>
  <c r="D12" i="2"/>
  <c r="L16" i="2"/>
  <c r="K16" i="2"/>
  <c r="I16" i="2"/>
  <c r="H16" i="2"/>
  <c r="H18" i="2" s="1"/>
  <c r="G16" i="2"/>
  <c r="G18" i="2" s="1"/>
  <c r="E16" i="2"/>
  <c r="E18" i="2" s="1"/>
  <c r="D16" i="2"/>
  <c r="D18" i="2" s="1"/>
  <c r="C16" i="2"/>
  <c r="C12" i="2"/>
  <c r="C14" i="2" s="1"/>
  <c r="C8" i="2"/>
  <c r="C10" i="2" s="1"/>
  <c r="C4" i="2"/>
  <c r="C6" i="2" s="1"/>
  <c r="D14" i="2"/>
  <c r="I6" i="2"/>
  <c r="H6" i="2"/>
  <c r="D6" i="2"/>
  <c r="C18" i="2"/>
  <c r="K20" i="1" l="1"/>
  <c r="K19" i="1"/>
  <c r="K18" i="1"/>
  <c r="L54" i="2"/>
  <c r="AH54" i="2" s="1"/>
  <c r="AI54" i="2" s="1"/>
  <c r="AJ54" i="2" s="1"/>
  <c r="AK54" i="2" s="1"/>
  <c r="AL54" i="2" s="1"/>
  <c r="AM54" i="2" s="1"/>
  <c r="AN54" i="2" s="1"/>
  <c r="AO54" i="2" s="1"/>
  <c r="AP54" i="2" s="1"/>
  <c r="AQ54" i="2" s="1"/>
  <c r="AR54" i="2" s="1"/>
  <c r="K9" i="1"/>
  <c r="K8" i="1"/>
  <c r="M35" i="2"/>
  <c r="N35" i="2" s="1"/>
  <c r="M23" i="2"/>
  <c r="M22" i="2"/>
  <c r="M21" i="2"/>
  <c r="M20" i="2"/>
  <c r="J126" i="2"/>
  <c r="H119" i="2"/>
  <c r="H111" i="2"/>
  <c r="H105" i="2"/>
  <c r="H126" i="2" s="1"/>
  <c r="L105" i="2"/>
  <c r="L126" i="2" s="1"/>
  <c r="L119" i="2"/>
  <c r="K111" i="2"/>
  <c r="L111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F88" i="2"/>
  <c r="F87" i="2"/>
  <c r="J88" i="2"/>
  <c r="J87" i="2"/>
  <c r="E85" i="2"/>
  <c r="E86" i="2" s="1"/>
  <c r="E89" i="2"/>
  <c r="F85" i="2"/>
  <c r="F86" i="2" s="1"/>
  <c r="C85" i="2"/>
  <c r="C86" i="2" s="1"/>
  <c r="D85" i="2"/>
  <c r="D86" i="2" s="1"/>
  <c r="G85" i="2"/>
  <c r="G86" i="2" s="1"/>
  <c r="H85" i="2"/>
  <c r="H86" i="2" s="1"/>
  <c r="I85" i="2"/>
  <c r="I86" i="2" s="1"/>
  <c r="J85" i="2"/>
  <c r="J86" i="2" s="1"/>
  <c r="C89" i="2"/>
  <c r="D89" i="2"/>
  <c r="G89" i="2"/>
  <c r="H89" i="2"/>
  <c r="I89" i="2"/>
  <c r="L89" i="2"/>
  <c r="L85" i="2"/>
  <c r="L86" i="2" s="1"/>
  <c r="D78" i="2"/>
  <c r="C76" i="2"/>
  <c r="C75" i="2"/>
  <c r="C71" i="2"/>
  <c r="C73" i="2" s="1"/>
  <c r="C61" i="2"/>
  <c r="E78" i="2"/>
  <c r="D76" i="2"/>
  <c r="D75" i="2"/>
  <c r="D71" i="2"/>
  <c r="D73" i="2" s="1"/>
  <c r="D61" i="2"/>
  <c r="F78" i="2"/>
  <c r="E76" i="2"/>
  <c r="E75" i="2"/>
  <c r="E71" i="2"/>
  <c r="E73" i="2" s="1"/>
  <c r="E61" i="2"/>
  <c r="L78" i="2"/>
  <c r="L76" i="2"/>
  <c r="L75" i="2"/>
  <c r="L71" i="2"/>
  <c r="L73" i="2" s="1"/>
  <c r="L61" i="2"/>
  <c r="K89" i="2"/>
  <c r="K85" i="2"/>
  <c r="K86" i="2" s="1"/>
  <c r="L41" i="2"/>
  <c r="L40" i="2"/>
  <c r="L39" i="2"/>
  <c r="L38" i="2"/>
  <c r="L24" i="2"/>
  <c r="L29" i="2" s="1"/>
  <c r="L32" i="2" s="1"/>
  <c r="L34" i="2" s="1"/>
  <c r="L36" i="2" s="1"/>
  <c r="J78" i="2"/>
  <c r="I78" i="2"/>
  <c r="H78" i="2"/>
  <c r="G78" i="2"/>
  <c r="K78" i="2"/>
  <c r="J76" i="2"/>
  <c r="I76" i="2"/>
  <c r="H76" i="2"/>
  <c r="G76" i="2"/>
  <c r="F76" i="2"/>
  <c r="K76" i="2"/>
  <c r="J75" i="2"/>
  <c r="I75" i="2"/>
  <c r="H75" i="2"/>
  <c r="G75" i="2"/>
  <c r="F75" i="2"/>
  <c r="K75" i="2"/>
  <c r="G71" i="2"/>
  <c r="G73" i="2" s="1"/>
  <c r="G61" i="2"/>
  <c r="H71" i="2"/>
  <c r="H73" i="2" s="1"/>
  <c r="H61" i="2"/>
  <c r="F71" i="2"/>
  <c r="F73" i="2" s="1"/>
  <c r="F61" i="2"/>
  <c r="I71" i="2"/>
  <c r="I73" i="2" s="1"/>
  <c r="I61" i="2"/>
  <c r="K119" i="2"/>
  <c r="K105" i="2"/>
  <c r="K126" i="2" s="1"/>
  <c r="J71" i="2"/>
  <c r="J73" i="2" s="1"/>
  <c r="J61" i="2"/>
  <c r="K71" i="2"/>
  <c r="K73" i="2" s="1"/>
  <c r="K61" i="2"/>
  <c r="AV41" i="2"/>
  <c r="AV39" i="2"/>
  <c r="AV44" i="2" s="1"/>
  <c r="C24" i="2"/>
  <c r="C29" i="2" s="1"/>
  <c r="C32" i="2" s="1"/>
  <c r="C34" i="2" s="1"/>
  <c r="C91" i="2" s="1"/>
  <c r="C105" i="2" s="1"/>
  <c r="C122" i="2" s="1"/>
  <c r="C124" i="2" s="1"/>
  <c r="D123" i="2" s="1"/>
  <c r="F35" i="2"/>
  <c r="F33" i="2"/>
  <c r="F31" i="2"/>
  <c r="F30" i="2"/>
  <c r="F28" i="2"/>
  <c r="F27" i="2"/>
  <c r="F26" i="2"/>
  <c r="F25" i="2"/>
  <c r="F23" i="2"/>
  <c r="F16" i="2" s="1"/>
  <c r="F18" i="2" s="1"/>
  <c r="F22" i="2"/>
  <c r="F12" i="2" s="1"/>
  <c r="F14" i="2" s="1"/>
  <c r="F21" i="2"/>
  <c r="F8" i="2" s="1"/>
  <c r="F10" i="2" s="1"/>
  <c r="F20" i="2"/>
  <c r="F4" i="2" s="1"/>
  <c r="F6" i="2" s="1"/>
  <c r="J35" i="2"/>
  <c r="J33" i="2"/>
  <c r="J31" i="2"/>
  <c r="J30" i="2"/>
  <c r="J28" i="2"/>
  <c r="J27" i="2"/>
  <c r="J26" i="2"/>
  <c r="J25" i="2"/>
  <c r="D24" i="2"/>
  <c r="D29" i="2" s="1"/>
  <c r="D32" i="2" s="1"/>
  <c r="D34" i="2" s="1"/>
  <c r="H41" i="2"/>
  <c r="H40" i="2"/>
  <c r="H39" i="2"/>
  <c r="H38" i="2"/>
  <c r="G41" i="2"/>
  <c r="G40" i="2"/>
  <c r="G39" i="2"/>
  <c r="G38" i="2"/>
  <c r="I41" i="2"/>
  <c r="I40" i="2"/>
  <c r="I39" i="2"/>
  <c r="I38" i="2"/>
  <c r="E24" i="2"/>
  <c r="E29" i="2" s="1"/>
  <c r="E32" i="2" s="1"/>
  <c r="E34" i="2" s="1"/>
  <c r="J23" i="2"/>
  <c r="J21" i="2"/>
  <c r="J22" i="2"/>
  <c r="J20" i="2"/>
  <c r="AG41" i="2"/>
  <c r="AG40" i="2"/>
  <c r="AG39" i="2"/>
  <c r="AG38" i="2"/>
  <c r="AH39" i="2"/>
  <c r="AH40" i="2"/>
  <c r="AH41" i="2"/>
  <c r="AH38" i="2"/>
  <c r="AG24" i="2"/>
  <c r="AG49" i="2" s="1"/>
  <c r="AF24" i="2"/>
  <c r="AF29" i="2" s="1"/>
  <c r="AH24" i="2"/>
  <c r="AH52" i="2" s="1"/>
  <c r="K41" i="2"/>
  <c r="K40" i="2"/>
  <c r="K39" i="2"/>
  <c r="K38" i="2"/>
  <c r="G24" i="2"/>
  <c r="G29" i="2" s="1"/>
  <c r="G32" i="2" s="1"/>
  <c r="G34" i="2" s="1"/>
  <c r="I24" i="2"/>
  <c r="I29" i="2" s="1"/>
  <c r="I32" i="2" s="1"/>
  <c r="I34" i="2" s="1"/>
  <c r="H24" i="2"/>
  <c r="H29" i="2" s="1"/>
  <c r="H32" i="2" s="1"/>
  <c r="H34" i="2" s="1"/>
  <c r="H36" i="2" s="1"/>
  <c r="K24" i="2"/>
  <c r="K52" i="2" s="1"/>
  <c r="Z2" i="2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CV2" i="2" s="1"/>
  <c r="CW2" i="2" s="1"/>
  <c r="CX2" i="2" s="1"/>
  <c r="CY2" i="2" s="1"/>
  <c r="CZ2" i="2" s="1"/>
  <c r="DA2" i="2" s="1"/>
  <c r="DB2" i="2" s="1"/>
  <c r="DC2" i="2" s="1"/>
  <c r="DD2" i="2" s="1"/>
  <c r="DE2" i="2" s="1"/>
  <c r="DF2" i="2" s="1"/>
  <c r="DG2" i="2" s="1"/>
  <c r="DH2" i="2" s="1"/>
  <c r="DI2" i="2" s="1"/>
  <c r="DJ2" i="2" s="1"/>
  <c r="DK2" i="2" s="1"/>
  <c r="DL2" i="2" s="1"/>
  <c r="DM2" i="2" s="1"/>
  <c r="DN2" i="2" s="1"/>
  <c r="DO2" i="2" s="1"/>
  <c r="DP2" i="2" s="1"/>
  <c r="DQ2" i="2" s="1"/>
  <c r="DR2" i="2" s="1"/>
  <c r="DS2" i="2" s="1"/>
  <c r="DT2" i="2" s="1"/>
  <c r="DU2" i="2" s="1"/>
  <c r="DV2" i="2" s="1"/>
  <c r="DW2" i="2" s="1"/>
  <c r="DX2" i="2" s="1"/>
  <c r="DY2" i="2" s="1"/>
  <c r="DZ2" i="2" s="1"/>
  <c r="EA2" i="2" s="1"/>
  <c r="EB2" i="2" s="1"/>
  <c r="EC2" i="2" s="1"/>
  <c r="ED2" i="2" s="1"/>
  <c r="EE2" i="2" s="1"/>
  <c r="EF2" i="2" s="1"/>
  <c r="EG2" i="2" s="1"/>
  <c r="EH2" i="2" s="1"/>
  <c r="EI2" i="2" s="1"/>
  <c r="EJ2" i="2" s="1"/>
  <c r="EK2" i="2" s="1"/>
  <c r="EL2" i="2" s="1"/>
  <c r="EM2" i="2" s="1"/>
  <c r="EN2" i="2" s="1"/>
  <c r="EO2" i="2" s="1"/>
  <c r="EP2" i="2" s="1"/>
  <c r="EQ2" i="2" s="1"/>
  <c r="ER2" i="2" s="1"/>
  <c r="ES2" i="2" s="1"/>
  <c r="ET2" i="2" s="1"/>
  <c r="EU2" i="2" s="1"/>
  <c r="EV2" i="2" s="1"/>
  <c r="EW2" i="2" s="1"/>
  <c r="EX2" i="2" s="1"/>
  <c r="EY2" i="2" s="1"/>
  <c r="EZ2" i="2" s="1"/>
  <c r="FA2" i="2" s="1"/>
  <c r="FB2" i="2" s="1"/>
  <c r="FC2" i="2" s="1"/>
  <c r="FD2" i="2" s="1"/>
  <c r="FE2" i="2" s="1"/>
  <c r="FF2" i="2" s="1"/>
  <c r="FG2" i="2" s="1"/>
  <c r="FH2" i="2" s="1"/>
  <c r="FI2" i="2" s="1"/>
  <c r="FJ2" i="2" s="1"/>
  <c r="FK2" i="2" s="1"/>
  <c r="FL2" i="2" s="1"/>
  <c r="FM2" i="2" s="1"/>
  <c r="FN2" i="2" s="1"/>
  <c r="FO2" i="2" s="1"/>
  <c r="FP2" i="2" s="1"/>
  <c r="FQ2" i="2" s="1"/>
  <c r="FR2" i="2" s="1"/>
  <c r="FS2" i="2" s="1"/>
  <c r="FT2" i="2" s="1"/>
  <c r="FU2" i="2" s="1"/>
  <c r="FV2" i="2" s="1"/>
  <c r="FW2" i="2" s="1"/>
  <c r="FX2" i="2" s="1"/>
  <c r="FY2" i="2" s="1"/>
  <c r="FZ2" i="2" s="1"/>
  <c r="GA2" i="2" s="1"/>
  <c r="GB2" i="2" s="1"/>
  <c r="GC2" i="2" s="1"/>
  <c r="GD2" i="2" s="1"/>
  <c r="GE2" i="2" s="1"/>
  <c r="GF2" i="2" s="1"/>
  <c r="GG2" i="2" s="1"/>
  <c r="GH2" i="2" s="1"/>
  <c r="GI2" i="2" s="1"/>
  <c r="GJ2" i="2" s="1"/>
  <c r="GK2" i="2" s="1"/>
  <c r="GL2" i="2" s="1"/>
  <c r="GM2" i="2" s="1"/>
  <c r="GN2" i="2" s="1"/>
  <c r="GO2" i="2" s="1"/>
  <c r="GP2" i="2" s="1"/>
  <c r="GQ2" i="2" s="1"/>
  <c r="GR2" i="2" s="1"/>
  <c r="GS2" i="2" s="1"/>
  <c r="GT2" i="2" s="1"/>
  <c r="GU2" i="2" s="1"/>
  <c r="GV2" i="2" s="1"/>
  <c r="GW2" i="2" s="1"/>
  <c r="GX2" i="2" s="1"/>
  <c r="GY2" i="2" s="1"/>
  <c r="GZ2" i="2" s="1"/>
  <c r="HA2" i="2" s="1"/>
  <c r="HB2" i="2" s="1"/>
  <c r="HC2" i="2" s="1"/>
  <c r="HD2" i="2" s="1"/>
  <c r="HE2" i="2" s="1"/>
  <c r="HF2" i="2" s="1"/>
  <c r="HG2" i="2" s="1"/>
  <c r="HH2" i="2" s="1"/>
  <c r="HI2" i="2" s="1"/>
  <c r="HJ2" i="2" s="1"/>
  <c r="HK2" i="2" s="1"/>
  <c r="HL2" i="2" s="1"/>
  <c r="HM2" i="2" s="1"/>
  <c r="HN2" i="2" s="1"/>
  <c r="HO2" i="2" s="1"/>
  <c r="HP2" i="2" s="1"/>
  <c r="HQ2" i="2" s="1"/>
  <c r="HR2" i="2" s="1"/>
  <c r="HS2" i="2" s="1"/>
  <c r="HT2" i="2" s="1"/>
  <c r="HU2" i="2" s="1"/>
  <c r="HV2" i="2" s="1"/>
  <c r="HW2" i="2" s="1"/>
  <c r="HX2" i="2" s="1"/>
  <c r="HY2" i="2" s="1"/>
  <c r="HZ2" i="2" s="1"/>
  <c r="IA2" i="2" s="1"/>
  <c r="IB2" i="2" s="1"/>
  <c r="IC2" i="2" s="1"/>
  <c r="ID2" i="2" s="1"/>
  <c r="IE2" i="2" s="1"/>
  <c r="IF2" i="2" s="1"/>
  <c r="IG2" i="2" s="1"/>
  <c r="IH2" i="2" s="1"/>
  <c r="II2" i="2" s="1"/>
  <c r="IJ2" i="2" s="1"/>
  <c r="IK2" i="2" s="1"/>
  <c r="K7" i="1"/>
  <c r="C126" i="2" l="1"/>
  <c r="I36" i="2"/>
  <c r="I91" i="2"/>
  <c r="I105" i="2" s="1"/>
  <c r="I126" i="2" s="1"/>
  <c r="G36" i="2"/>
  <c r="G91" i="2"/>
  <c r="G105" i="2" s="1"/>
  <c r="M38" i="2"/>
  <c r="M4" i="2"/>
  <c r="E36" i="2"/>
  <c r="E91" i="2"/>
  <c r="E105" i="2" s="1"/>
  <c r="N20" i="2"/>
  <c r="N4" i="2" s="1"/>
  <c r="J4" i="2"/>
  <c r="J6" i="2" s="1"/>
  <c r="N22" i="2"/>
  <c r="AI22" i="2" s="1"/>
  <c r="AJ22" i="2" s="1"/>
  <c r="AK22" i="2" s="1"/>
  <c r="AL22" i="2" s="1"/>
  <c r="AM22" i="2" s="1"/>
  <c r="AN22" i="2" s="1"/>
  <c r="AO22" i="2" s="1"/>
  <c r="AP22" i="2" s="1"/>
  <c r="AQ22" i="2" s="1"/>
  <c r="AR22" i="2" s="1"/>
  <c r="J12" i="2"/>
  <c r="J14" i="2" s="1"/>
  <c r="D36" i="2"/>
  <c r="D91" i="2"/>
  <c r="D105" i="2" s="1"/>
  <c r="AF32" i="2"/>
  <c r="AF34" i="2" s="1"/>
  <c r="AF36" i="2" s="1"/>
  <c r="AF47" i="2"/>
  <c r="M40" i="2"/>
  <c r="M12" i="2"/>
  <c r="M41" i="2"/>
  <c r="M16" i="2"/>
  <c r="N21" i="2"/>
  <c r="N8" i="2" s="1"/>
  <c r="J8" i="2"/>
  <c r="J10" i="2" s="1"/>
  <c r="M39" i="2"/>
  <c r="M8" i="2"/>
  <c r="N23" i="2"/>
  <c r="J16" i="2"/>
  <c r="J18" i="2" s="1"/>
  <c r="AF51" i="2"/>
  <c r="C45" i="2"/>
  <c r="H45" i="2"/>
  <c r="G45" i="2"/>
  <c r="AH45" i="2"/>
  <c r="K45" i="2"/>
  <c r="AI20" i="2"/>
  <c r="AJ20" i="2" s="1"/>
  <c r="AK20" i="2" s="1"/>
  <c r="AL20" i="2" s="1"/>
  <c r="AM20" i="2" s="1"/>
  <c r="AN20" i="2" s="1"/>
  <c r="AO20" i="2" s="1"/>
  <c r="AP20" i="2" s="1"/>
  <c r="AQ20" i="2" s="1"/>
  <c r="AR20" i="2" s="1"/>
  <c r="E45" i="2"/>
  <c r="AF45" i="2"/>
  <c r="M24" i="2"/>
  <c r="AG45" i="2"/>
  <c r="I45" i="2"/>
  <c r="AI23" i="2"/>
  <c r="AJ23" i="2" s="1"/>
  <c r="AK23" i="2" s="1"/>
  <c r="AL23" i="2" s="1"/>
  <c r="AM23" i="2" s="1"/>
  <c r="AN23" i="2" s="1"/>
  <c r="AO23" i="2" s="1"/>
  <c r="AP23" i="2" s="1"/>
  <c r="AQ23" i="2" s="1"/>
  <c r="AR23" i="2" s="1"/>
  <c r="D45" i="2"/>
  <c r="L45" i="2"/>
  <c r="K122" i="2"/>
  <c r="K124" i="2" s="1"/>
  <c r="K10" i="1"/>
  <c r="H122" i="2"/>
  <c r="H124" i="2" s="1"/>
  <c r="L122" i="2"/>
  <c r="L124" i="2" s="1"/>
  <c r="AF42" i="2"/>
  <c r="AH42" i="2"/>
  <c r="AG42" i="2"/>
  <c r="D77" i="2"/>
  <c r="J89" i="2"/>
  <c r="F89" i="2"/>
  <c r="I77" i="2"/>
  <c r="E77" i="2"/>
  <c r="C77" i="2"/>
  <c r="L77" i="2"/>
  <c r="K77" i="2"/>
  <c r="F77" i="2"/>
  <c r="H77" i="2"/>
  <c r="G77" i="2"/>
  <c r="J77" i="2"/>
  <c r="L42" i="2"/>
  <c r="L49" i="2"/>
  <c r="L50" i="2"/>
  <c r="L51" i="2"/>
  <c r="L52" i="2"/>
  <c r="L47" i="2"/>
  <c r="E49" i="2"/>
  <c r="E50" i="2"/>
  <c r="E51" i="2"/>
  <c r="E52" i="2"/>
  <c r="AG50" i="2"/>
  <c r="C47" i="2"/>
  <c r="AG51" i="2"/>
  <c r="D47" i="2"/>
  <c r="G49" i="2"/>
  <c r="G50" i="2"/>
  <c r="G51" i="2"/>
  <c r="G52" i="2"/>
  <c r="AG52" i="2"/>
  <c r="E47" i="2"/>
  <c r="C49" i="2"/>
  <c r="H49" i="2"/>
  <c r="H50" i="2"/>
  <c r="H51" i="2"/>
  <c r="H52" i="2"/>
  <c r="AH49" i="2"/>
  <c r="K42" i="2"/>
  <c r="C50" i="2"/>
  <c r="I49" i="2"/>
  <c r="I50" i="2"/>
  <c r="I51" i="2"/>
  <c r="I52" i="2"/>
  <c r="AH50" i="2"/>
  <c r="G47" i="2"/>
  <c r="C51" i="2"/>
  <c r="AH51" i="2"/>
  <c r="H47" i="2"/>
  <c r="C52" i="2"/>
  <c r="K49" i="2"/>
  <c r="K50" i="2"/>
  <c r="K51" i="2"/>
  <c r="I47" i="2"/>
  <c r="D49" i="2"/>
  <c r="D50" i="2"/>
  <c r="D51" i="2"/>
  <c r="D52" i="2"/>
  <c r="J38" i="2"/>
  <c r="I42" i="2"/>
  <c r="G42" i="2"/>
  <c r="C36" i="2"/>
  <c r="J40" i="2"/>
  <c r="J41" i="2"/>
  <c r="J39" i="2"/>
  <c r="F24" i="2"/>
  <c r="I46" i="2" s="1"/>
  <c r="H42" i="2"/>
  <c r="J24" i="2"/>
  <c r="J44" i="2" s="1"/>
  <c r="AH29" i="2"/>
  <c r="AH47" i="2" s="1"/>
  <c r="AG29" i="2"/>
  <c r="AG47" i="2" s="1"/>
  <c r="K29" i="2"/>
  <c r="N39" i="2" l="1"/>
  <c r="N24" i="2"/>
  <c r="AI21" i="2"/>
  <c r="AJ21" i="2" s="1"/>
  <c r="AK21" i="2" s="1"/>
  <c r="AL21" i="2" s="1"/>
  <c r="AM21" i="2" s="1"/>
  <c r="AN21" i="2" s="1"/>
  <c r="AO21" i="2" s="1"/>
  <c r="AP21" i="2" s="1"/>
  <c r="AQ21" i="2" s="1"/>
  <c r="AR21" i="2" s="1"/>
  <c r="G122" i="2"/>
  <c r="G124" i="2" s="1"/>
  <c r="G126" i="2"/>
  <c r="N40" i="2"/>
  <c r="N12" i="2"/>
  <c r="N41" i="2"/>
  <c r="N16" i="2"/>
  <c r="E122" i="2"/>
  <c r="E126" i="2"/>
  <c r="D122" i="2"/>
  <c r="D124" i="2" s="1"/>
  <c r="E123" i="2" s="1"/>
  <c r="D126" i="2"/>
  <c r="N38" i="2"/>
  <c r="F46" i="2"/>
  <c r="L46" i="2"/>
  <c r="K46" i="2"/>
  <c r="J46" i="2"/>
  <c r="G46" i="2"/>
  <c r="H46" i="2"/>
  <c r="M25" i="2"/>
  <c r="M45" i="2" s="1"/>
  <c r="M27" i="2"/>
  <c r="M42" i="2"/>
  <c r="M26" i="2"/>
  <c r="M28" i="2"/>
  <c r="N42" i="2"/>
  <c r="J51" i="2"/>
  <c r="J45" i="2"/>
  <c r="F49" i="2"/>
  <c r="F45" i="2"/>
  <c r="F52" i="2"/>
  <c r="F51" i="2"/>
  <c r="J50" i="2"/>
  <c r="F50" i="2"/>
  <c r="K32" i="2"/>
  <c r="K47" i="2"/>
  <c r="J52" i="2"/>
  <c r="J49" i="2"/>
  <c r="AJ24" i="2"/>
  <c r="AG32" i="2"/>
  <c r="F29" i="2"/>
  <c r="F47" i="2" s="1"/>
  <c r="AH32" i="2"/>
  <c r="J29" i="2"/>
  <c r="J47" i="2" s="1"/>
  <c r="J42" i="2"/>
  <c r="AI24" i="2" l="1"/>
  <c r="E124" i="2"/>
  <c r="F123" i="2" s="1"/>
  <c r="N28" i="2"/>
  <c r="AI28" i="2"/>
  <c r="AJ28" i="2" s="1"/>
  <c r="AJ52" i="2" s="1"/>
  <c r="N26" i="2"/>
  <c r="AI26" i="2"/>
  <c r="AI50" i="2" s="1"/>
  <c r="AJ26" i="2"/>
  <c r="AJ50" i="2" s="1"/>
  <c r="N27" i="2"/>
  <c r="AI27" i="2" s="1"/>
  <c r="AJ27" i="2" s="1"/>
  <c r="AJ51" i="2" s="1"/>
  <c r="K34" i="2"/>
  <c r="K36" i="2" s="1"/>
  <c r="N25" i="2"/>
  <c r="M29" i="2"/>
  <c r="AI42" i="2"/>
  <c r="AK24" i="2"/>
  <c r="AJ42" i="2"/>
  <c r="AL24" i="2"/>
  <c r="AH34" i="2"/>
  <c r="J32" i="2"/>
  <c r="AG34" i="2"/>
  <c r="F32" i="2"/>
  <c r="AI52" i="2" l="1"/>
  <c r="N29" i="2"/>
  <c r="N45" i="2"/>
  <c r="AI51" i="2"/>
  <c r="M31" i="2"/>
  <c r="M30" i="2"/>
  <c r="M47" i="2"/>
  <c r="AK26" i="2"/>
  <c r="AK50" i="2" s="1"/>
  <c r="AK28" i="2"/>
  <c r="AK52" i="2" s="1"/>
  <c r="AK27" i="2"/>
  <c r="AK51" i="2" s="1"/>
  <c r="AI25" i="2"/>
  <c r="AI45" i="2" s="1"/>
  <c r="AK42" i="2"/>
  <c r="AM24" i="2"/>
  <c r="AG36" i="2"/>
  <c r="F36" i="2" s="1"/>
  <c r="F34" i="2"/>
  <c r="F91" i="2" s="1"/>
  <c r="F105" i="2" s="1"/>
  <c r="AH36" i="2"/>
  <c r="J36" i="2" s="1"/>
  <c r="J34" i="2"/>
  <c r="F122" i="2" l="1"/>
  <c r="F124" i="2" s="1"/>
  <c r="F126" i="2"/>
  <c r="N31" i="2"/>
  <c r="AI31" i="2" s="1"/>
  <c r="AL28" i="2"/>
  <c r="AM28" i="2" s="1"/>
  <c r="AL52" i="2"/>
  <c r="AI29" i="2"/>
  <c r="AI47" i="2" s="1"/>
  <c r="AI49" i="2"/>
  <c r="AJ25" i="2"/>
  <c r="AL27" i="2"/>
  <c r="M32" i="2"/>
  <c r="AL26" i="2"/>
  <c r="N47" i="2"/>
  <c r="N30" i="2"/>
  <c r="AI30" i="2" s="1"/>
  <c r="AL42" i="2"/>
  <c r="AN24" i="2"/>
  <c r="N32" i="2" l="1"/>
  <c r="AJ49" i="2"/>
  <c r="AJ45" i="2"/>
  <c r="AJ29" i="2"/>
  <c r="AK25" i="2"/>
  <c r="AM26" i="2"/>
  <c r="AL50" i="2"/>
  <c r="M33" i="2"/>
  <c r="AI32" i="2"/>
  <c r="AM27" i="2"/>
  <c r="AL51" i="2"/>
  <c r="AN28" i="2"/>
  <c r="AM52" i="2"/>
  <c r="AM42" i="2"/>
  <c r="AO24" i="2"/>
  <c r="AN27" i="2" l="1"/>
  <c r="AM51" i="2"/>
  <c r="AN26" i="2"/>
  <c r="AM50" i="2"/>
  <c r="AK49" i="2"/>
  <c r="AK29" i="2"/>
  <c r="AK47" i="2" s="1"/>
  <c r="AL25" i="2"/>
  <c r="AK45" i="2"/>
  <c r="AJ47" i="2"/>
  <c r="N33" i="2"/>
  <c r="N34" i="2" s="1"/>
  <c r="N36" i="2" s="1"/>
  <c r="M34" i="2"/>
  <c r="M36" i="2" s="1"/>
  <c r="AO28" i="2"/>
  <c r="AN52" i="2"/>
  <c r="AJ30" i="2"/>
  <c r="AN42" i="2"/>
  <c r="AP24" i="2"/>
  <c r="AK30" i="2" l="1"/>
  <c r="AI36" i="2"/>
  <c r="AO26" i="2"/>
  <c r="AN50" i="2"/>
  <c r="AK32" i="2"/>
  <c r="AO27" i="2"/>
  <c r="AN51" i="2"/>
  <c r="AM25" i="2"/>
  <c r="AL49" i="2"/>
  <c r="AL45" i="2"/>
  <c r="AL29" i="2"/>
  <c r="AL47" i="2" s="1"/>
  <c r="AP28" i="2"/>
  <c r="AO52" i="2"/>
  <c r="AI33" i="2"/>
  <c r="AI34" i="2" s="1"/>
  <c r="AI35" i="2" s="1"/>
  <c r="AJ35" i="2" s="1"/>
  <c r="AK35" i="2" s="1"/>
  <c r="AL35" i="2" s="1"/>
  <c r="AM35" i="2" s="1"/>
  <c r="AN35" i="2" s="1"/>
  <c r="AO35" i="2" s="1"/>
  <c r="AP35" i="2" s="1"/>
  <c r="AQ35" i="2" s="1"/>
  <c r="AR35" i="2" s="1"/>
  <c r="AJ32" i="2"/>
  <c r="AO42" i="2"/>
  <c r="AR24" i="2"/>
  <c r="AQ24" i="2"/>
  <c r="AJ33" i="2" l="1"/>
  <c r="AJ34" i="2" s="1"/>
  <c r="AJ36" i="2" s="1"/>
  <c r="AL30" i="2"/>
  <c r="AM49" i="2"/>
  <c r="AM45" i="2"/>
  <c r="AM29" i="2"/>
  <c r="AM47" i="2" s="1"/>
  <c r="AN25" i="2"/>
  <c r="AQ28" i="2"/>
  <c r="AP52" i="2"/>
  <c r="AP27" i="2"/>
  <c r="AO51" i="2"/>
  <c r="AP26" i="2"/>
  <c r="AO50" i="2"/>
  <c r="AP42" i="2"/>
  <c r="AK33" i="2" l="1"/>
  <c r="AK34" i="2" s="1"/>
  <c r="AK36" i="2" s="1"/>
  <c r="AM30" i="2"/>
  <c r="AN49" i="2"/>
  <c r="AN45" i="2"/>
  <c r="AN29" i="2"/>
  <c r="AN47" i="2" s="1"/>
  <c r="AO25" i="2"/>
  <c r="AQ27" i="2"/>
  <c r="AP51" i="2"/>
  <c r="AR28" i="2"/>
  <c r="AR52" i="2" s="1"/>
  <c r="AQ52" i="2"/>
  <c r="AQ26" i="2"/>
  <c r="AP50" i="2"/>
  <c r="AL32" i="2"/>
  <c r="AQ42" i="2"/>
  <c r="AL33" i="2" l="1"/>
  <c r="AL34" i="2" s="1"/>
  <c r="AL36" i="2" s="1"/>
  <c r="AM32" i="2"/>
  <c r="AM33" i="2" s="1"/>
  <c r="AM34" i="2" s="1"/>
  <c r="AM36" i="2" s="1"/>
  <c r="AR26" i="2"/>
  <c r="AR50" i="2" s="1"/>
  <c r="AQ50" i="2"/>
  <c r="AR27" i="2"/>
  <c r="AR51" i="2" s="1"/>
  <c r="AQ51" i="2"/>
  <c r="AO49" i="2"/>
  <c r="AO45" i="2"/>
  <c r="AO29" i="2"/>
  <c r="AO47" i="2" s="1"/>
  <c r="AP25" i="2"/>
  <c r="AN30" i="2"/>
  <c r="AR42" i="2"/>
  <c r="AP49" i="2" l="1"/>
  <c r="AP45" i="2"/>
  <c r="AP29" i="2"/>
  <c r="AP47" i="2" s="1"/>
  <c r="AQ25" i="2"/>
  <c r="AO30" i="2"/>
  <c r="AN32" i="2"/>
  <c r="AN33" i="2" s="1"/>
  <c r="AP30" i="2" l="1"/>
  <c r="AO32" i="2"/>
  <c r="AO33" i="2" s="1"/>
  <c r="AQ49" i="2"/>
  <c r="AQ45" i="2"/>
  <c r="AR25" i="2"/>
  <c r="AQ29" i="2"/>
  <c r="AQ47" i="2" s="1"/>
  <c r="AN34" i="2"/>
  <c r="AN36" i="2" s="1"/>
  <c r="AP32" i="2" l="1"/>
  <c r="AP33" i="2" s="1"/>
  <c r="AP34" i="2" s="1"/>
  <c r="AP36" i="2" s="1"/>
  <c r="AO34" i="2"/>
  <c r="AO36" i="2" s="1"/>
  <c r="AQ30" i="2"/>
  <c r="AR29" i="2"/>
  <c r="AR49" i="2"/>
  <c r="AR45" i="2"/>
  <c r="AR47" i="2" l="1"/>
  <c r="AR30" i="2"/>
  <c r="AQ32" i="2"/>
  <c r="AQ33" i="2" s="1"/>
  <c r="AR32" i="2" l="1"/>
  <c r="AR33" i="2" s="1"/>
  <c r="AR34" i="2" s="1"/>
  <c r="AQ34" i="2"/>
  <c r="AQ36" i="2" s="1"/>
  <c r="AS34" i="2" l="1"/>
  <c r="AR36" i="2"/>
  <c r="AT34" i="2" l="1"/>
  <c r="AU34" i="2" s="1"/>
  <c r="AV34" i="2" s="1"/>
  <c r="AW34" i="2" s="1"/>
  <c r="AX34" i="2" s="1"/>
  <c r="AY34" i="2" s="1"/>
  <c r="AZ34" i="2" s="1"/>
  <c r="BA34" i="2" s="1"/>
  <c r="BB34" i="2" s="1"/>
  <c r="BC34" i="2" s="1"/>
  <c r="BD34" i="2" s="1"/>
  <c r="BE34" i="2" s="1"/>
  <c r="BF34" i="2" s="1"/>
  <c r="BG34" i="2" s="1"/>
  <c r="BH34" i="2" s="1"/>
  <c r="BI34" i="2" s="1"/>
  <c r="BJ34" i="2" s="1"/>
  <c r="BK34" i="2" s="1"/>
  <c r="BL34" i="2" s="1"/>
  <c r="BM34" i="2" s="1"/>
  <c r="BN34" i="2" s="1"/>
  <c r="BO34" i="2" s="1"/>
  <c r="BP34" i="2" s="1"/>
  <c r="BQ34" i="2" s="1"/>
  <c r="BR34" i="2" s="1"/>
  <c r="BS34" i="2" s="1"/>
  <c r="BT34" i="2" s="1"/>
  <c r="BU34" i="2" s="1"/>
  <c r="BV34" i="2" s="1"/>
  <c r="BW34" i="2" s="1"/>
  <c r="BX34" i="2" s="1"/>
  <c r="BY34" i="2" s="1"/>
  <c r="BZ34" i="2" s="1"/>
  <c r="CA34" i="2" s="1"/>
  <c r="CB34" i="2" s="1"/>
  <c r="CC34" i="2" s="1"/>
  <c r="CD34" i="2" s="1"/>
  <c r="CE34" i="2" s="1"/>
  <c r="CF34" i="2" s="1"/>
  <c r="CG34" i="2" s="1"/>
  <c r="CH34" i="2" s="1"/>
  <c r="CI34" i="2" s="1"/>
  <c r="CJ34" i="2" s="1"/>
  <c r="CK34" i="2" s="1"/>
  <c r="CL34" i="2" s="1"/>
  <c r="CM34" i="2" s="1"/>
  <c r="CN34" i="2" s="1"/>
  <c r="CO34" i="2" s="1"/>
  <c r="CP34" i="2" s="1"/>
  <c r="CQ34" i="2" s="1"/>
  <c r="CR34" i="2" s="1"/>
  <c r="CS34" i="2" s="1"/>
  <c r="CT34" i="2" s="1"/>
  <c r="CU34" i="2" s="1"/>
  <c r="CV34" i="2" s="1"/>
  <c r="CW34" i="2" s="1"/>
  <c r="CX34" i="2" s="1"/>
  <c r="CY34" i="2" s="1"/>
  <c r="CZ34" i="2" s="1"/>
  <c r="DA34" i="2" s="1"/>
  <c r="DB34" i="2" s="1"/>
  <c r="DC34" i="2" s="1"/>
  <c r="DD34" i="2" s="1"/>
  <c r="DE34" i="2" s="1"/>
  <c r="DF34" i="2" s="1"/>
  <c r="DG34" i="2" s="1"/>
  <c r="DH34" i="2" s="1"/>
  <c r="DI34" i="2" s="1"/>
  <c r="DJ34" i="2" s="1"/>
  <c r="DK34" i="2" s="1"/>
  <c r="DL34" i="2" s="1"/>
  <c r="DM34" i="2" s="1"/>
  <c r="DN34" i="2" s="1"/>
  <c r="DO34" i="2" s="1"/>
  <c r="DP34" i="2" s="1"/>
  <c r="DQ34" i="2" s="1"/>
  <c r="DR34" i="2" s="1"/>
  <c r="DS34" i="2" s="1"/>
  <c r="DT34" i="2" s="1"/>
  <c r="DU34" i="2" s="1"/>
  <c r="DV34" i="2" s="1"/>
  <c r="DW34" i="2" s="1"/>
  <c r="DX34" i="2" s="1"/>
  <c r="DY34" i="2" s="1"/>
  <c r="DZ34" i="2" s="1"/>
  <c r="EA34" i="2" s="1"/>
  <c r="EB34" i="2" s="1"/>
  <c r="EC34" i="2" s="1"/>
  <c r="ED34" i="2" s="1"/>
  <c r="EE34" i="2" s="1"/>
  <c r="EF34" i="2" s="1"/>
  <c r="EG34" i="2" s="1"/>
  <c r="EH34" i="2" s="1"/>
  <c r="EI34" i="2" s="1"/>
  <c r="EJ34" i="2" s="1"/>
  <c r="EK34" i="2" s="1"/>
  <c r="EL34" i="2" s="1"/>
  <c r="EM34" i="2" s="1"/>
  <c r="EN34" i="2" s="1"/>
  <c r="EO34" i="2" s="1"/>
  <c r="EP34" i="2" s="1"/>
  <c r="EQ34" i="2" s="1"/>
  <c r="ER34" i="2" s="1"/>
  <c r="ES34" i="2" s="1"/>
  <c r="ET34" i="2" s="1"/>
  <c r="EU34" i="2" s="1"/>
  <c r="EV34" i="2" s="1"/>
  <c r="EW34" i="2" s="1"/>
  <c r="EX34" i="2" s="1"/>
  <c r="EY34" i="2" s="1"/>
  <c r="EZ34" i="2" s="1"/>
  <c r="FA34" i="2" s="1"/>
  <c r="FB34" i="2" s="1"/>
  <c r="FC34" i="2" s="1"/>
  <c r="FD34" i="2" s="1"/>
  <c r="FE34" i="2" s="1"/>
  <c r="FF34" i="2" s="1"/>
  <c r="FG34" i="2" s="1"/>
  <c r="FH34" i="2" s="1"/>
  <c r="FI34" i="2" s="1"/>
  <c r="FJ34" i="2" s="1"/>
  <c r="FK34" i="2" s="1"/>
  <c r="FL34" i="2" s="1"/>
  <c r="FM34" i="2" s="1"/>
  <c r="FN34" i="2" s="1"/>
  <c r="FO34" i="2" s="1"/>
  <c r="FP34" i="2" s="1"/>
  <c r="FQ34" i="2" s="1"/>
  <c r="FR34" i="2" s="1"/>
  <c r="FS34" i="2" s="1"/>
  <c r="FT34" i="2" s="1"/>
  <c r="FU34" i="2" s="1"/>
  <c r="FV34" i="2" s="1"/>
  <c r="FW34" i="2" s="1"/>
  <c r="FX34" i="2" s="1"/>
  <c r="FY34" i="2" s="1"/>
  <c r="FZ34" i="2" s="1"/>
  <c r="GA34" i="2" s="1"/>
  <c r="GB34" i="2" s="1"/>
  <c r="GC34" i="2" s="1"/>
  <c r="GD34" i="2" s="1"/>
  <c r="GE34" i="2" s="1"/>
  <c r="GF34" i="2" s="1"/>
  <c r="GG34" i="2" s="1"/>
  <c r="GH34" i="2" s="1"/>
  <c r="GI34" i="2" s="1"/>
  <c r="GJ34" i="2" s="1"/>
  <c r="GK34" i="2" s="1"/>
  <c r="GL34" i="2" s="1"/>
  <c r="GM34" i="2" s="1"/>
  <c r="GN34" i="2" s="1"/>
  <c r="GO34" i="2" s="1"/>
  <c r="GP34" i="2" s="1"/>
  <c r="GQ34" i="2" s="1"/>
  <c r="GR34" i="2" s="1"/>
  <c r="GS34" i="2" s="1"/>
  <c r="GT34" i="2" s="1"/>
  <c r="GU34" i="2" s="1"/>
  <c r="GV34" i="2" s="1"/>
  <c r="GW34" i="2" s="1"/>
  <c r="GX34" i="2" s="1"/>
  <c r="GY34" i="2" s="1"/>
  <c r="GZ34" i="2" s="1"/>
  <c r="HA34" i="2" s="1"/>
  <c r="HB34" i="2" s="1"/>
  <c r="HC34" i="2" s="1"/>
  <c r="HD34" i="2" s="1"/>
  <c r="HE34" i="2" s="1"/>
  <c r="HF34" i="2" s="1"/>
  <c r="HG34" i="2" s="1"/>
  <c r="HH34" i="2" s="1"/>
  <c r="HI34" i="2" s="1"/>
  <c r="HJ34" i="2" s="1"/>
  <c r="HK34" i="2" s="1"/>
  <c r="HL34" i="2" s="1"/>
  <c r="HM34" i="2" s="1"/>
  <c r="HN34" i="2" s="1"/>
  <c r="HO34" i="2" s="1"/>
  <c r="HP34" i="2" s="1"/>
  <c r="HQ34" i="2" s="1"/>
  <c r="HR34" i="2" s="1"/>
  <c r="HS34" i="2" s="1"/>
  <c r="HT34" i="2" s="1"/>
  <c r="HU34" i="2" s="1"/>
  <c r="HV34" i="2" s="1"/>
  <c r="HW34" i="2" s="1"/>
  <c r="HX34" i="2" s="1"/>
  <c r="HY34" i="2" s="1"/>
  <c r="HZ34" i="2" s="1"/>
  <c r="IA34" i="2" s="1"/>
  <c r="IB34" i="2" s="1"/>
  <c r="IC34" i="2" s="1"/>
  <c r="ID34" i="2" s="1"/>
  <c r="IE34" i="2" s="1"/>
  <c r="IF34" i="2" s="1"/>
  <c r="IG34" i="2" s="1"/>
  <c r="IH34" i="2" s="1"/>
  <c r="II34" i="2" s="1"/>
  <c r="IJ34" i="2" s="1"/>
  <c r="IK34" i="2" s="1"/>
  <c r="AV38" i="2" l="1"/>
  <c r="AV40" i="2" s="1"/>
  <c r="AV4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Jameel</author>
  </authors>
  <commentList>
    <comment ref="M45" authorId="0" shapeId="0" xr:uid="{4F100122-5F2B-294A-9C52-7570AE658315}">
      <text>
        <r>
          <rPr>
            <b/>
            <sz val="10"/>
            <color rgb="FF000000"/>
            <rFont val="Tahoma"/>
            <family val="2"/>
          </rPr>
          <t>Jameel: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expecting higher content </t>
        </r>
      </text>
    </comment>
    <comment ref="N45" authorId="0" shapeId="0" xr:uid="{DC98FA6E-A516-9A49-9235-C1094CE00189}">
      <text>
        <r>
          <rPr>
            <b/>
            <sz val="10"/>
            <color rgb="FF000000"/>
            <rFont val="Tahoma"/>
            <family val="2"/>
          </rPr>
          <t>Jameel: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exepcting higher content amortization</t>
        </r>
      </text>
    </comment>
  </commentList>
</comments>
</file>

<file path=xl/sharedStrings.xml><?xml version="1.0" encoding="utf-8"?>
<sst xmlns="http://schemas.openxmlformats.org/spreadsheetml/2006/main" count="236" uniqueCount="177">
  <si>
    <t>P</t>
  </si>
  <si>
    <t>S</t>
  </si>
  <si>
    <t>MC</t>
  </si>
  <si>
    <t>C</t>
  </si>
  <si>
    <t>D</t>
  </si>
  <si>
    <t>EV</t>
  </si>
  <si>
    <t>Q125</t>
  </si>
  <si>
    <t xml:space="preserve">Founded </t>
  </si>
  <si>
    <t>Q124</t>
  </si>
  <si>
    <t>Q224</t>
  </si>
  <si>
    <t>Q324</t>
  </si>
  <si>
    <t>Q424</t>
  </si>
  <si>
    <t>Q225</t>
  </si>
  <si>
    <t>Q325</t>
  </si>
  <si>
    <t>Q425</t>
  </si>
  <si>
    <t>UCAN</t>
  </si>
  <si>
    <t>EMEA</t>
  </si>
  <si>
    <t>LATAM</t>
  </si>
  <si>
    <t>APAC</t>
  </si>
  <si>
    <t xml:space="preserve">Total Revenue </t>
  </si>
  <si>
    <t>Q123</t>
  </si>
  <si>
    <t>Q223</t>
  </si>
  <si>
    <t>Q323</t>
  </si>
  <si>
    <t>Q423</t>
  </si>
  <si>
    <t>Growth Analysis  y/y</t>
  </si>
  <si>
    <t>S&amp;M</t>
  </si>
  <si>
    <t>T&amp;D</t>
  </si>
  <si>
    <t>G&amp;A</t>
  </si>
  <si>
    <t xml:space="preserve">Op Income </t>
  </si>
  <si>
    <t>Interest Exp</t>
  </si>
  <si>
    <t>Interest &amp; other income</t>
  </si>
  <si>
    <t>EBT</t>
  </si>
  <si>
    <t>Taxes</t>
  </si>
  <si>
    <t xml:space="preserve">Net Income </t>
  </si>
  <si>
    <t>Diluted</t>
  </si>
  <si>
    <t>EPS</t>
  </si>
  <si>
    <t>term</t>
  </si>
  <si>
    <t>disc</t>
  </si>
  <si>
    <t>NPV</t>
  </si>
  <si>
    <t>Shares</t>
  </si>
  <si>
    <t xml:space="preserve">Estimate </t>
  </si>
  <si>
    <t xml:space="preserve">Current </t>
  </si>
  <si>
    <t>OM%</t>
  </si>
  <si>
    <t xml:space="preserve">Cash </t>
  </si>
  <si>
    <t>Investments</t>
  </si>
  <si>
    <t>OCA</t>
  </si>
  <si>
    <t xml:space="preserve">Content assets </t>
  </si>
  <si>
    <t>PPE</t>
  </si>
  <si>
    <t>ONCA</t>
  </si>
  <si>
    <t xml:space="preserve">Total Assets </t>
  </si>
  <si>
    <t xml:space="preserve">Content Liabilities </t>
  </si>
  <si>
    <t>A/P</t>
  </si>
  <si>
    <t>Accrued Exp</t>
  </si>
  <si>
    <t>Deferred Rev</t>
  </si>
  <si>
    <t>Short Term Debt</t>
  </si>
  <si>
    <t>Non-Curr Content Liab</t>
  </si>
  <si>
    <t>LTD</t>
  </si>
  <si>
    <t>ONCL</t>
  </si>
  <si>
    <t xml:space="preserve">Total Liabilities </t>
  </si>
  <si>
    <t>Equity</t>
  </si>
  <si>
    <t xml:space="preserve">Total Liabilities + Equity </t>
  </si>
  <si>
    <t>Additions Content assets</t>
  </si>
  <si>
    <t>Change in content liabilities</t>
  </si>
  <si>
    <t>Amortization content liab</t>
  </si>
  <si>
    <t>D&amp;A</t>
  </si>
  <si>
    <t>SBC</t>
  </si>
  <si>
    <t>Fx</t>
  </si>
  <si>
    <t>Other Noncash items</t>
  </si>
  <si>
    <t>Deferred i/t</t>
  </si>
  <si>
    <t>Other non curr ass/liab</t>
  </si>
  <si>
    <t xml:space="preserve">CFFO </t>
  </si>
  <si>
    <t>Investment Buys</t>
  </si>
  <si>
    <t>Proceeds from Mat</t>
  </si>
  <si>
    <t>CFFI</t>
  </si>
  <si>
    <t>Debt Repayments</t>
  </si>
  <si>
    <t>Proceeds from stock issues</t>
  </si>
  <si>
    <t>Buybacks</t>
  </si>
  <si>
    <t>Taxes on equity rewards</t>
  </si>
  <si>
    <t xml:space="preserve">Other Financing activities </t>
  </si>
  <si>
    <t>CFFF</t>
  </si>
  <si>
    <t xml:space="preserve">Free Cash Flow </t>
  </si>
  <si>
    <t>News</t>
  </si>
  <si>
    <t>Contains</t>
  </si>
  <si>
    <t xml:space="preserve">Total Cash </t>
  </si>
  <si>
    <t xml:space="preserve">Total Debt </t>
  </si>
  <si>
    <t xml:space="preserve">Net cash </t>
  </si>
  <si>
    <t xml:space="preserve">Change in Content Assets </t>
  </si>
  <si>
    <t xml:space="preserve">Licensed Content </t>
  </si>
  <si>
    <t>Released, Less Amortization</t>
  </si>
  <si>
    <t>In production</t>
  </si>
  <si>
    <t xml:space="preserve">Net Content Assets </t>
  </si>
  <si>
    <t>Produced Content</t>
  </si>
  <si>
    <t>Licensed Content</t>
  </si>
  <si>
    <t xml:space="preserve">Total </t>
  </si>
  <si>
    <t>In Development/pre-production</t>
  </si>
  <si>
    <t>% Licensed</t>
  </si>
  <si>
    <t xml:space="preserve">Other investing activities </t>
  </si>
  <si>
    <t>Cash Increase</t>
  </si>
  <si>
    <t>Cash @ Begin</t>
  </si>
  <si>
    <t xml:space="preserve">Cash @ End </t>
  </si>
  <si>
    <t>Greg Peters</t>
  </si>
  <si>
    <t>Chief Content Officer</t>
  </si>
  <si>
    <t>Chief Executive Officer</t>
  </si>
  <si>
    <t>Chief Financial Officer</t>
  </si>
  <si>
    <t xml:space="preserve">Bela Bajaria </t>
  </si>
  <si>
    <t xml:space="preserve">VP, Inclusion Strategy </t>
  </si>
  <si>
    <t xml:space="preserve">Wade Davis </t>
  </si>
  <si>
    <t>Chief Talent Officer</t>
  </si>
  <si>
    <t xml:space="preserve">Sergio Ezama </t>
  </si>
  <si>
    <t>Maria Ferreras</t>
  </si>
  <si>
    <t xml:space="preserve">Head of Partnerships </t>
  </si>
  <si>
    <t>Chief Legal Officer</t>
  </si>
  <si>
    <t xml:space="preserve">David Hyman </t>
  </si>
  <si>
    <t>Eunice Kim</t>
  </si>
  <si>
    <t>Chief Product Officer</t>
  </si>
  <si>
    <t xml:space="preserve">VP, Content fort Asia </t>
  </si>
  <si>
    <t>Minyoung Kim</t>
  </si>
  <si>
    <t xml:space="preserve">Marian Lee </t>
  </si>
  <si>
    <t>Chief Marketing Officer</t>
  </si>
  <si>
    <t xml:space="preserve">Chairman Netflix Film </t>
  </si>
  <si>
    <t>Dan Lin</t>
  </si>
  <si>
    <t>VP, Finance/Stratg,commerce, studio, prod/games</t>
  </si>
  <si>
    <t xml:space="preserve">VP, Latin American Content </t>
  </si>
  <si>
    <t>Francisco Ramos</t>
  </si>
  <si>
    <t>Amy Reinhard</t>
  </si>
  <si>
    <t xml:space="preserve">Pres of Advertising </t>
  </si>
  <si>
    <t>Chief tech Officer</t>
  </si>
  <si>
    <t xml:space="preserve">Elizabeth Stone </t>
  </si>
  <si>
    <t>VP, Europe content, ME, Africa</t>
  </si>
  <si>
    <t>Larry Tanz</t>
  </si>
  <si>
    <t>President, Games</t>
  </si>
  <si>
    <t>Alain Tascan</t>
  </si>
  <si>
    <t>VP, Fin/IR/Cpr[Dev</t>
  </si>
  <si>
    <t>Chief Global Affairs</t>
  </si>
  <si>
    <t xml:space="preserve">Clete Willems </t>
  </si>
  <si>
    <t xml:space="preserve">Pablo Perez De Rosso </t>
  </si>
  <si>
    <t>Co-Founder</t>
  </si>
  <si>
    <t>Reed Hastings</t>
  </si>
  <si>
    <t>GM%</t>
  </si>
  <si>
    <t xml:space="preserve">% of Revenue </t>
  </si>
  <si>
    <t>BVPS</t>
  </si>
  <si>
    <t xml:space="preserve">Gross profit to Content Efficiency </t>
  </si>
  <si>
    <t>Prices</t>
  </si>
  <si>
    <t>Standard + Ads</t>
  </si>
  <si>
    <t>Standard</t>
  </si>
  <si>
    <t>Premium</t>
  </si>
  <si>
    <t>Per/M</t>
  </si>
  <si>
    <t>Add 1 extra member with adds $6.99 or w/o $8.99</t>
  </si>
  <si>
    <t>Add 2 extra members with adds $6.99 or w/o $8.99</t>
  </si>
  <si>
    <t xml:space="preserve">NewsRoom </t>
  </si>
  <si>
    <t>Spencer Wang</t>
  </si>
  <si>
    <t xml:space="preserve">Ted Sarandos: House of cards, Arrested Dev, Orange is the new black </t>
  </si>
  <si>
    <t>new danish series "the asset" launches 10/27/25</t>
  </si>
  <si>
    <t xml:space="preserve">collab with ab-inbev to market beers, etc during live events </t>
  </si>
  <si>
    <t>ellie mertz bod</t>
  </si>
  <si>
    <t>first two netflix houses: dallas (galleria mall), philadelphia (prussia mall)</t>
  </si>
  <si>
    <t xml:space="preserve">netflix bites </t>
  </si>
  <si>
    <t xml:space="preserve">Investor Letters </t>
  </si>
  <si>
    <t>Q422</t>
  </si>
  <si>
    <t>Q322</t>
  </si>
  <si>
    <t>Q222</t>
  </si>
  <si>
    <t>Q122</t>
  </si>
  <si>
    <t>Streaming Bwgin</t>
  </si>
  <si>
    <t>Acquisitions: Scanline + Boss Flight Ent, Next Games</t>
  </si>
  <si>
    <t>Partner with MSFT on new ad plan</t>
  </si>
  <si>
    <t>x</t>
  </si>
  <si>
    <t>co-ceo genesis. Reed ot chairman, ted/greg co-ceo</t>
  </si>
  <si>
    <t>end of dvd.com; :(</t>
  </si>
  <si>
    <t xml:space="preserve">UCAN </t>
  </si>
  <si>
    <t xml:space="preserve">Revenue </t>
  </si>
  <si>
    <t xml:space="preserve">Paid Memberships </t>
  </si>
  <si>
    <t>Avg Rev per Membership (APM)</t>
  </si>
  <si>
    <t xml:space="preserve">Agrentina Peso </t>
  </si>
  <si>
    <t xml:space="preserve">Proceeds from debt issuance </t>
  </si>
  <si>
    <t>price increase</t>
  </si>
  <si>
    <t xml:space="preserve">Ad suite fully rolled out </t>
  </si>
  <si>
    <t xml:space="preserve">4Q FCF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</si>
</sst>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164" formatCode="#,##0.0"/>
    <numFmt numFmtId="165" formatCode="[$-409]d\-mmm;@"/>
    <numFmt numFmtId="166" formatCode="#,##0.000"/>
    <numFmt numFmtId="167" formatCode="0.0"/>
    <numFmt numFmtId="168" formatCode="0.0%"/>
    <numFmt numFmtId="169" formatCode="0.0\x"/>
  </numFmts>
  <fonts count="1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u/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theme="10"/>
      <name val="Aptos Narrow"/>
      <family val="2"/>
      <scheme val="minor"/>
    </font>
    <font>
      <sz val="12"/>
      <color rgb="FF000000"/>
      <name val="Aptos Narrow"/>
      <scheme val="minor"/>
    </font>
    <font>
      <b/>
      <sz val="12"/>
      <color theme="0"/>
      <name val="Aptos Narrow"/>
      <scheme val="minor"/>
    </font>
    <font>
      <sz val="12"/>
      <color theme="0"/>
      <name val="Aptos Narrow"/>
      <scheme val="minor"/>
    </font>
    <font>
      <b/>
      <sz val="12"/>
      <name val="Aptos Narrow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3" fontId="0" fillId="0" borderId="0" xfId="0" applyNumberFormat="1"/>
    <xf numFmtId="1" fontId="0" fillId="0" borderId="0" xfId="0" applyNumberFormat="1"/>
    <xf numFmtId="3" fontId="2" fillId="0" borderId="0" xfId="0" applyNumberFormat="1" applyFont="1"/>
    <xf numFmtId="3" fontId="3" fillId="0" borderId="0" xfId="0" applyNumberFormat="1" applyFont="1"/>
    <xf numFmtId="9" fontId="0" fillId="0" borderId="0" xfId="0" applyNumberFormat="1"/>
    <xf numFmtId="165" fontId="0" fillId="0" borderId="0" xfId="0" applyNumberFormat="1"/>
    <xf numFmtId="166" fontId="0" fillId="0" borderId="0" xfId="0" applyNumberFormat="1"/>
    <xf numFmtId="168" fontId="0" fillId="0" borderId="0" xfId="0" applyNumberFormat="1"/>
    <xf numFmtId="8" fontId="0" fillId="0" borderId="0" xfId="0" applyNumberFormat="1"/>
    <xf numFmtId="9" fontId="0" fillId="0" borderId="0" xfId="1" applyFont="1"/>
    <xf numFmtId="3" fontId="4" fillId="0" borderId="0" xfId="2" applyNumberFormat="1"/>
    <xf numFmtId="3" fontId="5" fillId="0" borderId="0" xfId="0" applyNumberFormat="1" applyFont="1"/>
    <xf numFmtId="168" fontId="2" fillId="0" borderId="0" xfId="0" applyNumberFormat="1" applyFont="1"/>
    <xf numFmtId="3" fontId="0" fillId="0" borderId="1" xfId="0" applyNumberFormat="1" applyBorder="1"/>
    <xf numFmtId="164" fontId="6" fillId="0" borderId="0" xfId="0" applyNumberFormat="1" applyFont="1"/>
    <xf numFmtId="1" fontId="0" fillId="0" borderId="0" xfId="0" applyNumberFormat="1" applyAlignment="1">
      <alignment horizontal="center"/>
    </xf>
    <xf numFmtId="3" fontId="7" fillId="0" borderId="0" xfId="0" applyNumberFormat="1" applyFont="1"/>
    <xf numFmtId="3" fontId="0" fillId="0" borderId="0" xfId="1" applyNumberFormat="1" applyFont="1"/>
    <xf numFmtId="9" fontId="2" fillId="0" borderId="0" xfId="0" applyNumberFormat="1" applyFont="1"/>
    <xf numFmtId="1" fontId="7" fillId="0" borderId="0" xfId="0" applyNumberFormat="1" applyFont="1"/>
    <xf numFmtId="167" fontId="7" fillId="0" borderId="0" xfId="0" applyNumberFormat="1" applyFont="1"/>
    <xf numFmtId="169" fontId="0" fillId="0" borderId="0" xfId="0" applyNumberFormat="1"/>
    <xf numFmtId="3" fontId="2" fillId="0" borderId="0" xfId="0" applyNumberFormat="1" applyFont="1" applyAlignment="1">
      <alignment horizontal="left"/>
    </xf>
    <xf numFmtId="3" fontId="10" fillId="0" borderId="0" xfId="2" applyNumberFormat="1" applyFont="1"/>
    <xf numFmtId="14" fontId="10" fillId="0" borderId="0" xfId="2" applyNumberFormat="1" applyFont="1" applyAlignment="1">
      <alignment horizontal="left"/>
    </xf>
    <xf numFmtId="3" fontId="11" fillId="0" borderId="0" xfId="0" applyNumberFormat="1" applyFont="1"/>
    <xf numFmtId="1" fontId="0" fillId="0" borderId="0" xfId="0" applyNumberFormat="1" applyAlignment="1">
      <alignment horizontal="left"/>
    </xf>
    <xf numFmtId="1" fontId="14" fillId="0" borderId="2" xfId="0" applyNumberFormat="1" applyFont="1" applyBorder="1"/>
    <xf numFmtId="1" fontId="13" fillId="0" borderId="1" xfId="0" applyNumberFormat="1" applyFont="1" applyBorder="1"/>
    <xf numFmtId="1" fontId="12" fillId="0" borderId="1" xfId="0" applyNumberFormat="1" applyFont="1" applyBorder="1"/>
    <xf numFmtId="1" fontId="12" fillId="0" borderId="3" xfId="0" applyNumberFormat="1" applyFont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793994</xdr:colOff>
      <xdr:row>0</xdr:row>
      <xdr:rowOff>0</xdr:rowOff>
    </xdr:from>
    <xdr:to>
      <xdr:col>12</xdr:col>
      <xdr:colOff>50800</xdr:colOff>
      <xdr:row>133</xdr:row>
      <xdr:rowOff>190500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9177480-7099-C3B4-022E-A28F3DD18E76}"/>
            </a:ext>
          </a:extLst>
        </xdr:cNvPr>
        <xdr:cNvCxnSpPr/>
      </xdr:nvCxnSpPr>
      <xdr:spPr>
        <a:xfrm>
          <a:off x="8185394" y="0"/>
          <a:ext cx="82306" cy="256540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0</xdr:colOff>
      <xdr:row>0</xdr:row>
      <xdr:rowOff>12700</xdr:rowOff>
    </xdr:from>
    <xdr:to>
      <xdr:col>34</xdr:col>
      <xdr:colOff>12700</xdr:colOff>
      <xdr:row>114</xdr:row>
      <xdr:rowOff>152400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9E0BC5E5-CE93-0744-B955-04796996830B}"/>
            </a:ext>
          </a:extLst>
        </xdr:cNvPr>
        <xdr:cNvCxnSpPr/>
      </xdr:nvCxnSpPr>
      <xdr:spPr>
        <a:xfrm>
          <a:off x="19278600" y="12700"/>
          <a:ext cx="12700" cy="165862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22.q4cdn.com/959853165/files/doc_financials/2025/q1/COMBINED-Q1-25-Shareholder-Letter-V2.pdf" TargetMode="External"/><Relationship Id="rId13" Type="http://schemas.openxmlformats.org/officeDocument/2006/relationships/hyperlink" Target="https://s22.q4cdn.com/959853165/files/doc_financials/2023/q4/NEW-FINAL-Q4-23-Shareholder-Letter.pdf" TargetMode="External"/><Relationship Id="rId18" Type="http://schemas.openxmlformats.org/officeDocument/2006/relationships/hyperlink" Target="https://s22.q4cdn.com/959853165/files/doc_financials/2022/q3/FINAL-Q3-22-Shareholder-Letter.pdf" TargetMode="External"/><Relationship Id="rId3" Type="http://schemas.openxmlformats.org/officeDocument/2006/relationships/hyperlink" Target="https://ir.netflix.net/investor-news-and-events/financial-releases/press-release-details/2025/NETFLIX-BITES-IS-NOW-OPEN/default.aspx" TargetMode="External"/><Relationship Id="rId21" Type="http://schemas.openxmlformats.org/officeDocument/2006/relationships/hyperlink" Target="https://about.netflix.com/en/news/netflix-partners-with-microsoft" TargetMode="External"/><Relationship Id="rId7" Type="http://schemas.openxmlformats.org/officeDocument/2006/relationships/hyperlink" Target="https://s22.q4cdn.com/959853165/files/doc_financials/2025/q2/FINAL-Q2-25-Shareholder-Letter.pdf" TargetMode="External"/><Relationship Id="rId12" Type="http://schemas.openxmlformats.org/officeDocument/2006/relationships/hyperlink" Target="https://s22.q4cdn.com/959853165/files/doc_financials/2024/q1/FINAL-Q1-24-Shareholder-Letter.pdf" TargetMode="External"/><Relationship Id="rId17" Type="http://schemas.openxmlformats.org/officeDocument/2006/relationships/hyperlink" Target="https://s22.q4cdn.com/959853165/files/doc_financials/2022/q4/FINAL-Q4-22-Shareholder-Letter.pdf" TargetMode="External"/><Relationship Id="rId2" Type="http://schemas.openxmlformats.org/officeDocument/2006/relationships/hyperlink" Target="https://ir.netflix.net/investor-news-and-events/financial-releases/press-release-details/2025/Netflix-House-To-Open-In-Philadelphia--Dallas-Late-2025-Expands-To-Las-Vegas-Strip-In-2027/default.aspx" TargetMode="External"/><Relationship Id="rId16" Type="http://schemas.openxmlformats.org/officeDocument/2006/relationships/hyperlink" Target="https://s22.q4cdn.com/959853165/files/doc_financials/2023/q1/Final-Q1-23-Shareholder-Letter.pdf" TargetMode="External"/><Relationship Id="rId20" Type="http://schemas.openxmlformats.org/officeDocument/2006/relationships/hyperlink" Target="https://s22.q4cdn.com/959853165/files/doc_financials/2022/q1/FINAL-Q1-22-Shareholder-Letter.pdf" TargetMode="External"/><Relationship Id="rId1" Type="http://schemas.openxmlformats.org/officeDocument/2006/relationships/hyperlink" Target="https://ir.netflix.net/investor-news-and-events/financial-releases/press-release-details/2025/Ellie-Mertz-Appointed-to-Netflix-Board-of-Directors-2025-bYlhtQ6XSS/default.aspx" TargetMode="External"/><Relationship Id="rId6" Type="http://schemas.openxmlformats.org/officeDocument/2006/relationships/hyperlink" Target="https://about.netflix.com/en/newsroom" TargetMode="External"/><Relationship Id="rId11" Type="http://schemas.openxmlformats.org/officeDocument/2006/relationships/hyperlink" Target="https://s22.q4cdn.com/959853165/files/doc_financials/2024/q2/FINAL-Q2-24-Shareholder-Letter.pdf" TargetMode="External"/><Relationship Id="rId5" Type="http://schemas.openxmlformats.org/officeDocument/2006/relationships/hyperlink" Target="https://about.netflix.com/en/news/new-danish-series-the-asset-launches-on-netflix-on-october-27" TargetMode="External"/><Relationship Id="rId15" Type="http://schemas.openxmlformats.org/officeDocument/2006/relationships/hyperlink" Target="https://s22.q4cdn.com/959853165/files/doc_financials/2023/q2/FINAL-Q2-23-Shareholder-Letter.pdf" TargetMode="External"/><Relationship Id="rId10" Type="http://schemas.openxmlformats.org/officeDocument/2006/relationships/hyperlink" Target="https://s22.q4cdn.com/959853165/files/doc_financials/2024/q3/FINAL-Q3-24-Shareholder-Letter.pdf" TargetMode="External"/><Relationship Id="rId19" Type="http://schemas.openxmlformats.org/officeDocument/2006/relationships/hyperlink" Target="https://s22.q4cdn.com/959853165/files/doc_financials/2022/q2/FINAL-Q2-22-Shareholder-Letter.pdf" TargetMode="External"/><Relationship Id="rId4" Type="http://schemas.openxmlformats.org/officeDocument/2006/relationships/hyperlink" Target="https://about.netflix.com/en/news/ab-inbev-and-netflix-announce-global-brand-partnership" TargetMode="External"/><Relationship Id="rId9" Type="http://schemas.openxmlformats.org/officeDocument/2006/relationships/hyperlink" Target="https://s22.q4cdn.com/959853165/files/doc_financials/2024/q4/FINAL-Q4-24-Shareholder-Letter.pdf" TargetMode="External"/><Relationship Id="rId14" Type="http://schemas.openxmlformats.org/officeDocument/2006/relationships/hyperlink" Target="https://s22.q4cdn.com/959853165/files/doc_financials/2023/q3/FINAL-Q3-23-Shareholder-Letter.pdf" TargetMode="External"/><Relationship Id="rId22" Type="http://schemas.openxmlformats.org/officeDocument/2006/relationships/hyperlink" Target="https://about.netflix.com/en/news/netflix-partners-with-microsof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F2AC4-AD35-B948-83BC-3C712C792D57}">
  <dimension ref="B1:L44"/>
  <sheetViews>
    <sheetView tabSelected="1" zoomScale="109" workbookViewId="0">
      <selection activeCell="C1" sqref="C1"/>
    </sheetView>
  </sheetViews>
  <sheetFormatPr baseColWidth="10" defaultRowHeight="16" x14ac:dyDescent="0.2"/>
  <cols>
    <col min="1" max="1" width="2.33203125" style="1" customWidth="1"/>
    <col min="2" max="2" width="10.6640625" style="1" bestFit="1" customWidth="1"/>
    <col min="3" max="3" width="6.6640625" style="1" customWidth="1"/>
    <col min="4" max="4" width="13.6640625" style="1" bestFit="1" customWidth="1"/>
    <col min="5" max="5" width="10.83203125" style="1"/>
    <col min="6" max="6" width="2" style="1" bestFit="1" customWidth="1"/>
    <col min="7" max="7" width="14" style="1" bestFit="1" customWidth="1"/>
    <col min="8" max="9" width="10.83203125" style="1"/>
    <col min="10" max="10" width="13.1640625" style="1" bestFit="1" customWidth="1"/>
    <col min="11" max="11" width="7.6640625" style="1" bestFit="1" customWidth="1"/>
    <col min="12" max="12" width="5.5" style="1" bestFit="1" customWidth="1"/>
    <col min="13" max="16384" width="10.83203125" style="1"/>
  </cols>
  <sheetData>
    <row r="1" spans="2:12" x14ac:dyDescent="0.2">
      <c r="G1" s="1" t="s">
        <v>172</v>
      </c>
    </row>
    <row r="2" spans="2:12" x14ac:dyDescent="0.2">
      <c r="B2" s="1" t="s">
        <v>7</v>
      </c>
      <c r="C2" s="27">
        <v>1997</v>
      </c>
    </row>
    <row r="3" spans="2:12" x14ac:dyDescent="0.2">
      <c r="B3" s="1" t="s">
        <v>162</v>
      </c>
      <c r="C3" s="27">
        <v>2007</v>
      </c>
    </row>
    <row r="4" spans="2:12" x14ac:dyDescent="0.2">
      <c r="B4" s="24" t="s">
        <v>149</v>
      </c>
    </row>
    <row r="5" spans="2:12" x14ac:dyDescent="0.2">
      <c r="B5" s="23" t="s">
        <v>81</v>
      </c>
      <c r="C5" s="3" t="s">
        <v>82</v>
      </c>
      <c r="J5" s="1" t="s">
        <v>0</v>
      </c>
      <c r="K5" s="1">
        <v>1260.27</v>
      </c>
    </row>
    <row r="6" spans="2:12" x14ac:dyDescent="0.2">
      <c r="B6" s="25">
        <v>45923</v>
      </c>
      <c r="C6" s="1" t="s">
        <v>152</v>
      </c>
      <c r="J6" s="1" t="s">
        <v>1</v>
      </c>
      <c r="K6" s="1">
        <v>424.92634600000002</v>
      </c>
      <c r="L6" s="1" t="s">
        <v>12</v>
      </c>
    </row>
    <row r="7" spans="2:12" x14ac:dyDescent="0.2">
      <c r="B7" s="25">
        <v>45922</v>
      </c>
      <c r="C7" s="1" t="s">
        <v>153</v>
      </c>
      <c r="J7" s="1" t="s">
        <v>2</v>
      </c>
      <c r="K7" s="1">
        <f>+K5*K6</f>
        <v>535521.92607341998</v>
      </c>
    </row>
    <row r="8" spans="2:12" x14ac:dyDescent="0.2">
      <c r="B8" s="25">
        <v>45832</v>
      </c>
      <c r="C8" s="1" t="s">
        <v>154</v>
      </c>
      <c r="J8" s="1" t="s">
        <v>3</v>
      </c>
      <c r="K8" s="1">
        <f>8177.405+213.115</f>
        <v>8390.52</v>
      </c>
      <c r="L8" s="17" t="s">
        <v>12</v>
      </c>
    </row>
    <row r="9" spans="2:12" x14ac:dyDescent="0.2">
      <c r="B9" s="25">
        <v>45825</v>
      </c>
      <c r="C9" s="1" t="s">
        <v>155</v>
      </c>
      <c r="J9" s="1" t="s">
        <v>4</v>
      </c>
      <c r="K9" s="1">
        <f>0+14453.206</f>
        <v>14453.206</v>
      </c>
      <c r="L9" s="17" t="s">
        <v>12</v>
      </c>
    </row>
    <row r="10" spans="2:12" x14ac:dyDescent="0.2">
      <c r="B10" s="25">
        <v>45699</v>
      </c>
      <c r="C10" s="1" t="s">
        <v>156</v>
      </c>
      <c r="J10" s="1" t="s">
        <v>5</v>
      </c>
      <c r="K10" s="1">
        <f>+K7-K8+K9</f>
        <v>541584.61207341996</v>
      </c>
    </row>
    <row r="11" spans="2:12" x14ac:dyDescent="0.2">
      <c r="B11" s="25">
        <v>44945</v>
      </c>
      <c r="C11" s="1" t="s">
        <v>166</v>
      </c>
    </row>
    <row r="12" spans="2:12" x14ac:dyDescent="0.2">
      <c r="B12" s="25">
        <v>44755</v>
      </c>
      <c r="C12" s="1" t="s">
        <v>164</v>
      </c>
    </row>
    <row r="13" spans="2:12" x14ac:dyDescent="0.2">
      <c r="J13" s="1" t="s">
        <v>142</v>
      </c>
      <c r="K13" s="1" t="s">
        <v>146</v>
      </c>
    </row>
    <row r="14" spans="2:12" x14ac:dyDescent="0.2">
      <c r="J14" s="1" t="s">
        <v>143</v>
      </c>
      <c r="K14" s="9">
        <v>7.99</v>
      </c>
    </row>
    <row r="15" spans="2:12" x14ac:dyDescent="0.2">
      <c r="J15" s="1" t="s">
        <v>144</v>
      </c>
      <c r="K15" s="9">
        <v>17.989999999999998</v>
      </c>
      <c r="L15" s="1" t="s">
        <v>147</v>
      </c>
    </row>
    <row r="16" spans="2:12" x14ac:dyDescent="0.2">
      <c r="J16" s="1" t="s">
        <v>145</v>
      </c>
      <c r="K16" s="9">
        <v>24.99</v>
      </c>
      <c r="L16" s="1" t="s">
        <v>148</v>
      </c>
    </row>
    <row r="17" spans="2:11" x14ac:dyDescent="0.2">
      <c r="C17" s="1" t="s">
        <v>157</v>
      </c>
    </row>
    <row r="18" spans="2:11" x14ac:dyDescent="0.2">
      <c r="B18" s="1" t="s">
        <v>165</v>
      </c>
      <c r="C18" s="11" t="s">
        <v>12</v>
      </c>
      <c r="D18" s="1" t="s">
        <v>175</v>
      </c>
      <c r="K18" s="1">
        <f>+K14*12</f>
        <v>95.88</v>
      </c>
    </row>
    <row r="19" spans="2:11" x14ac:dyDescent="0.2">
      <c r="B19" s="1" t="s">
        <v>165</v>
      </c>
      <c r="C19" s="11" t="s">
        <v>6</v>
      </c>
      <c r="K19" s="1">
        <f>+K15*12</f>
        <v>215.88</v>
      </c>
    </row>
    <row r="20" spans="2:11" x14ac:dyDescent="0.2">
      <c r="B20" s="1" t="s">
        <v>165</v>
      </c>
      <c r="C20" s="11" t="s">
        <v>11</v>
      </c>
      <c r="D20" s="1" t="s">
        <v>174</v>
      </c>
      <c r="K20" s="1">
        <f>+K16*12</f>
        <v>299.88</v>
      </c>
    </row>
    <row r="21" spans="2:11" x14ac:dyDescent="0.2">
      <c r="B21" s="1" t="s">
        <v>165</v>
      </c>
      <c r="C21" s="11" t="s">
        <v>10</v>
      </c>
    </row>
    <row r="22" spans="2:11" x14ac:dyDescent="0.2">
      <c r="B22" s="1" t="s">
        <v>165</v>
      </c>
      <c r="C22" s="11" t="s">
        <v>9</v>
      </c>
    </row>
    <row r="23" spans="2:11" x14ac:dyDescent="0.2">
      <c r="B23" s="1" t="s">
        <v>165</v>
      </c>
      <c r="C23" s="11" t="s">
        <v>8</v>
      </c>
    </row>
    <row r="24" spans="2:11" x14ac:dyDescent="0.2">
      <c r="B24" s="1" t="s">
        <v>165</v>
      </c>
      <c r="C24" s="11" t="s">
        <v>23</v>
      </c>
    </row>
    <row r="25" spans="2:11" x14ac:dyDescent="0.2">
      <c r="B25" s="1" t="s">
        <v>165</v>
      </c>
      <c r="C25" s="11" t="s">
        <v>22</v>
      </c>
    </row>
    <row r="26" spans="2:11" x14ac:dyDescent="0.2">
      <c r="B26" s="1" t="s">
        <v>165</v>
      </c>
      <c r="C26" s="11" t="s">
        <v>21</v>
      </c>
    </row>
    <row r="27" spans="2:11" x14ac:dyDescent="0.2">
      <c r="B27" s="1" t="s">
        <v>165</v>
      </c>
      <c r="C27" s="11" t="s">
        <v>20</v>
      </c>
      <c r="D27" s="1" t="s">
        <v>167</v>
      </c>
    </row>
    <row r="28" spans="2:11" x14ac:dyDescent="0.2">
      <c r="B28" s="1" t="s">
        <v>165</v>
      </c>
      <c r="C28" s="11" t="s">
        <v>158</v>
      </c>
    </row>
    <row r="29" spans="2:11" x14ac:dyDescent="0.2">
      <c r="B29" s="1" t="s">
        <v>165</v>
      </c>
      <c r="C29" s="11" t="s">
        <v>159</v>
      </c>
    </row>
    <row r="30" spans="2:11" x14ac:dyDescent="0.2">
      <c r="B30" s="1" t="s">
        <v>165</v>
      </c>
      <c r="C30" s="11" t="s">
        <v>160</v>
      </c>
    </row>
    <row r="31" spans="2:11" x14ac:dyDescent="0.2">
      <c r="B31" s="1" t="s">
        <v>165</v>
      </c>
      <c r="C31" s="11" t="s">
        <v>161</v>
      </c>
      <c r="D31" s="1" t="s">
        <v>163</v>
      </c>
    </row>
    <row r="44" spans="3:3" x14ac:dyDescent="0.2">
      <c r="C44" s="11"/>
    </row>
  </sheetData>
  <hyperlinks>
    <hyperlink ref="B8" r:id="rId1" display="https://ir.netflix.net/investor-news-and-events/financial-releases/press-release-details/2025/Ellie-Mertz-Appointed-to-Netflix-Board-of-Directors-2025-bYlhtQ6XSS/default.aspx" xr:uid="{E4181F74-3AB0-414D-AB22-54F4C6287498}"/>
    <hyperlink ref="B9" r:id="rId2" display="https://ir.netflix.net/investor-news-and-events/financial-releases/press-release-details/2025/Netflix-House-To-Open-In-Philadelphia--Dallas-Late-2025-Expands-To-Las-Vegas-Strip-In-2027/default.aspx" xr:uid="{0E570882-1A24-D646-8BC5-E5662EBAD071}"/>
    <hyperlink ref="B10" r:id="rId3" display="https://ir.netflix.net/investor-news-and-events/financial-releases/press-release-details/2025/NETFLIX-BITES-IS-NOW-OPEN/default.aspx" xr:uid="{EB5EFDCA-1558-0446-AEE6-EBB21391340A}"/>
    <hyperlink ref="B7" r:id="rId4" display="https://about.netflix.com/en/news/ab-inbev-and-netflix-announce-global-brand-partnership" xr:uid="{6C813B0A-78D4-1B42-8FDF-9B504675D32B}"/>
    <hyperlink ref="B6" r:id="rId5" display="https://about.netflix.com/en/news/new-danish-series-the-asset-launches-on-netflix-on-october-27" xr:uid="{F17B045B-E274-CD41-A4AE-3822ADCA4709}"/>
    <hyperlink ref="B4" r:id="rId6" xr:uid="{51DB0464-3D39-CF43-8425-5A0C4A1F5C55}"/>
    <hyperlink ref="C18" r:id="rId7" xr:uid="{00523E8B-F574-9141-843F-5796CF6F8F9C}"/>
    <hyperlink ref="C19" r:id="rId8" xr:uid="{19C26E71-5C58-E749-9213-789294DEFE7C}"/>
    <hyperlink ref="C20" r:id="rId9" xr:uid="{229934E1-1FBD-084B-970E-232454C7F343}"/>
    <hyperlink ref="C21" r:id="rId10" xr:uid="{D7E95CC5-28A2-1C44-BD7C-8F4043225C5D}"/>
    <hyperlink ref="C22" r:id="rId11" xr:uid="{C216355B-D35A-C941-93C0-65ED4E6F9C9F}"/>
    <hyperlink ref="C23" r:id="rId12" xr:uid="{2B9D1256-9F9B-C849-A30B-055C9493251D}"/>
    <hyperlink ref="C24" r:id="rId13" xr:uid="{39733994-B999-7F43-9A53-5C5E73741AD7}"/>
    <hyperlink ref="C25" r:id="rId14" xr:uid="{15BFE5DF-5C08-7342-AD4D-E9C7C2AB5688}"/>
    <hyperlink ref="C26" r:id="rId15" xr:uid="{5A625421-CBCC-FD42-94D5-32FCD8B5BF54}"/>
    <hyperlink ref="C27" r:id="rId16" xr:uid="{4DA822FA-4BE7-CC49-9F0E-5401E2F81D04}"/>
    <hyperlink ref="C28" r:id="rId17" xr:uid="{AC904188-8FB2-C346-8F2F-FF8278FDA999}"/>
    <hyperlink ref="C29" r:id="rId18" xr:uid="{34A3F5E9-E0C3-7F4E-8156-FBEBF83C9CCA}"/>
    <hyperlink ref="C30" r:id="rId19" xr:uid="{221967DE-E5AB-2C42-B66B-820BD4A35FB2}"/>
    <hyperlink ref="C31" r:id="rId20" xr:uid="{195F1A5B-4F4D-9344-ACE3-B5856E0FA09E}"/>
    <hyperlink ref="B12" r:id="rId21" display="https://about.netflix.com/en/news/netflix-partners-with-microsoft" xr:uid="{63B67B63-B379-8E49-B23D-1A69CB426D97}"/>
    <hyperlink ref="B11" r:id="rId22" display="https://about.netflix.com/en/news/netflix-partners-with-microsoft" xr:uid="{F4741EFD-F940-A948-BADD-8840494BF92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050DE-6A57-5442-A64A-828AEE29071D}">
  <dimension ref="B1:IK127"/>
  <sheetViews>
    <sheetView zoomScale="85" zoomScaleNormal="100" workbookViewId="0">
      <pane xSplit="2" ySplit="2" topLeftCell="C8" activePane="bottomRight" state="frozen"/>
      <selection pane="topRight" activeCell="C1" sqref="C1"/>
      <selection pane="bottomLeft" activeCell="A2" sqref="A2"/>
      <selection pane="bottomRight" activeCell="AJ31" sqref="AJ31"/>
    </sheetView>
  </sheetViews>
  <sheetFormatPr baseColWidth="10" defaultRowHeight="16" outlineLevelRow="1" x14ac:dyDescent="0.2"/>
  <cols>
    <col min="1" max="1" width="1.83203125" style="1" customWidth="1"/>
    <col min="2" max="2" width="27.1640625" style="1" bestFit="1" customWidth="1"/>
    <col min="3" max="3" width="8.5" style="1" bestFit="1" customWidth="1"/>
    <col min="4" max="8" width="7.6640625" style="1" bestFit="1" customWidth="1"/>
    <col min="9" max="9" width="6.83203125" style="1" bestFit="1" customWidth="1"/>
    <col min="10" max="10" width="7.6640625" style="1" bestFit="1" customWidth="1"/>
    <col min="11" max="14" width="7.33203125" style="1" bestFit="1" customWidth="1"/>
    <col min="15" max="15" width="7.5" style="1" customWidth="1"/>
    <col min="16" max="16" width="5.33203125" style="1" bestFit="1" customWidth="1"/>
    <col min="17" max="23" width="6" style="1" bestFit="1" customWidth="1"/>
    <col min="24" max="26" width="5.83203125" style="1" bestFit="1" customWidth="1"/>
    <col min="27" max="31" width="7" style="1" bestFit="1" customWidth="1"/>
    <col min="32" max="33" width="8" style="1" bestFit="1" customWidth="1"/>
    <col min="34" max="34" width="7.6640625" style="1" bestFit="1" customWidth="1"/>
    <col min="35" max="39" width="7" style="1" bestFit="1" customWidth="1"/>
    <col min="40" max="40" width="6.6640625" style="1" customWidth="1"/>
    <col min="41" max="44" width="8" style="1" bestFit="1" customWidth="1"/>
    <col min="45" max="46" width="6.6640625" style="1" bestFit="1" customWidth="1"/>
    <col min="47" max="47" width="8.6640625" style="1" bestFit="1" customWidth="1"/>
    <col min="48" max="48" width="11.83203125" style="1" bestFit="1" customWidth="1"/>
    <col min="49" max="245" width="6" style="1" bestFit="1" customWidth="1"/>
    <col min="246" max="16384" width="10.83203125" style="1"/>
  </cols>
  <sheetData>
    <row r="1" spans="2:245" s="6" customFormat="1" x14ac:dyDescent="0.2">
      <c r="L1" s="6">
        <v>45855</v>
      </c>
    </row>
    <row r="2" spans="2:245" s="2" customFormat="1" x14ac:dyDescent="0.2">
      <c r="C2" s="20" t="s">
        <v>20</v>
      </c>
      <c r="D2" s="20" t="s">
        <v>21</v>
      </c>
      <c r="E2" s="20" t="s">
        <v>22</v>
      </c>
      <c r="F2" s="20" t="s">
        <v>23</v>
      </c>
      <c r="G2" s="20" t="s">
        <v>8</v>
      </c>
      <c r="H2" s="20" t="s">
        <v>9</v>
      </c>
      <c r="I2" s="20" t="s">
        <v>10</v>
      </c>
      <c r="J2" s="20" t="s">
        <v>11</v>
      </c>
      <c r="K2" s="2" t="s">
        <v>6</v>
      </c>
      <c r="L2" s="2" t="s">
        <v>12</v>
      </c>
      <c r="M2" s="2" t="s">
        <v>13</v>
      </c>
      <c r="N2" s="2" t="s">
        <v>14</v>
      </c>
      <c r="P2" s="2">
        <v>2006</v>
      </c>
      <c r="Q2" s="2">
        <v>2007</v>
      </c>
      <c r="R2" s="2">
        <v>2008</v>
      </c>
      <c r="S2" s="2">
        <v>2009</v>
      </c>
      <c r="T2" s="2">
        <v>2010</v>
      </c>
      <c r="U2" s="2">
        <v>2011</v>
      </c>
      <c r="V2" s="2">
        <v>2012</v>
      </c>
      <c r="W2" s="2">
        <v>2013</v>
      </c>
      <c r="X2" s="2">
        <v>2014</v>
      </c>
      <c r="Y2" s="2">
        <v>2015</v>
      </c>
      <c r="Z2" s="2">
        <f>+Y2+1</f>
        <v>2016</v>
      </c>
      <c r="AA2" s="2">
        <f t="shared" ref="AA2:AS2" si="0">+Z2+1</f>
        <v>2017</v>
      </c>
      <c r="AB2" s="2">
        <f t="shared" si="0"/>
        <v>2018</v>
      </c>
      <c r="AC2" s="2">
        <f t="shared" si="0"/>
        <v>2019</v>
      </c>
      <c r="AD2" s="2">
        <f t="shared" si="0"/>
        <v>2020</v>
      </c>
      <c r="AE2" s="2">
        <f t="shared" si="0"/>
        <v>2021</v>
      </c>
      <c r="AF2" s="2">
        <f t="shared" si="0"/>
        <v>2022</v>
      </c>
      <c r="AG2" s="2">
        <f t="shared" si="0"/>
        <v>2023</v>
      </c>
      <c r="AH2" s="2">
        <f t="shared" si="0"/>
        <v>2024</v>
      </c>
      <c r="AI2" s="2">
        <f t="shared" si="0"/>
        <v>2025</v>
      </c>
      <c r="AJ2" s="2">
        <f t="shared" si="0"/>
        <v>2026</v>
      </c>
      <c r="AK2" s="2">
        <f t="shared" si="0"/>
        <v>2027</v>
      </c>
      <c r="AL2" s="2">
        <f t="shared" si="0"/>
        <v>2028</v>
      </c>
      <c r="AM2" s="2">
        <f t="shared" si="0"/>
        <v>2029</v>
      </c>
      <c r="AN2" s="2">
        <f t="shared" si="0"/>
        <v>2030</v>
      </c>
      <c r="AO2" s="2">
        <f t="shared" si="0"/>
        <v>2031</v>
      </c>
      <c r="AP2" s="2">
        <f t="shared" si="0"/>
        <v>2032</v>
      </c>
      <c r="AQ2" s="2">
        <f t="shared" si="0"/>
        <v>2033</v>
      </c>
      <c r="AR2" s="2">
        <f t="shared" si="0"/>
        <v>2034</v>
      </c>
      <c r="AS2" s="2">
        <f t="shared" si="0"/>
        <v>2035</v>
      </c>
      <c r="AT2" s="2">
        <f t="shared" ref="AT2:DE2" si="1">+AS2+1</f>
        <v>2036</v>
      </c>
      <c r="AU2" s="2">
        <f t="shared" si="1"/>
        <v>2037</v>
      </c>
      <c r="AV2" s="2">
        <f t="shared" si="1"/>
        <v>2038</v>
      </c>
      <c r="AW2" s="2">
        <f t="shared" si="1"/>
        <v>2039</v>
      </c>
      <c r="AX2" s="2">
        <f t="shared" si="1"/>
        <v>2040</v>
      </c>
      <c r="AY2" s="2">
        <f t="shared" si="1"/>
        <v>2041</v>
      </c>
      <c r="AZ2" s="2">
        <f t="shared" si="1"/>
        <v>2042</v>
      </c>
      <c r="BA2" s="2">
        <f t="shared" si="1"/>
        <v>2043</v>
      </c>
      <c r="BB2" s="2">
        <f t="shared" si="1"/>
        <v>2044</v>
      </c>
      <c r="BC2" s="2">
        <f t="shared" si="1"/>
        <v>2045</v>
      </c>
      <c r="BD2" s="2">
        <f t="shared" si="1"/>
        <v>2046</v>
      </c>
      <c r="BE2" s="2">
        <f t="shared" si="1"/>
        <v>2047</v>
      </c>
      <c r="BF2" s="2">
        <f t="shared" si="1"/>
        <v>2048</v>
      </c>
      <c r="BG2" s="2">
        <f t="shared" si="1"/>
        <v>2049</v>
      </c>
      <c r="BH2" s="2">
        <f t="shared" si="1"/>
        <v>2050</v>
      </c>
      <c r="BI2" s="2">
        <f t="shared" si="1"/>
        <v>2051</v>
      </c>
      <c r="BJ2" s="2">
        <f t="shared" si="1"/>
        <v>2052</v>
      </c>
      <c r="BK2" s="2">
        <f t="shared" si="1"/>
        <v>2053</v>
      </c>
      <c r="BL2" s="2">
        <f t="shared" si="1"/>
        <v>2054</v>
      </c>
      <c r="BM2" s="2">
        <f t="shared" si="1"/>
        <v>2055</v>
      </c>
      <c r="BN2" s="2">
        <f t="shared" si="1"/>
        <v>2056</v>
      </c>
      <c r="BO2" s="2">
        <f t="shared" si="1"/>
        <v>2057</v>
      </c>
      <c r="BP2" s="2">
        <f t="shared" si="1"/>
        <v>2058</v>
      </c>
      <c r="BQ2" s="2">
        <f t="shared" si="1"/>
        <v>2059</v>
      </c>
      <c r="BR2" s="2">
        <f t="shared" si="1"/>
        <v>2060</v>
      </c>
      <c r="BS2" s="2">
        <f t="shared" si="1"/>
        <v>2061</v>
      </c>
      <c r="BT2" s="2">
        <f t="shared" si="1"/>
        <v>2062</v>
      </c>
      <c r="BU2" s="2">
        <f t="shared" si="1"/>
        <v>2063</v>
      </c>
      <c r="BV2" s="2">
        <f t="shared" si="1"/>
        <v>2064</v>
      </c>
      <c r="BW2" s="2">
        <f t="shared" si="1"/>
        <v>2065</v>
      </c>
      <c r="BX2" s="2">
        <f t="shared" si="1"/>
        <v>2066</v>
      </c>
      <c r="BY2" s="2">
        <f t="shared" si="1"/>
        <v>2067</v>
      </c>
      <c r="BZ2" s="2">
        <f t="shared" si="1"/>
        <v>2068</v>
      </c>
      <c r="CA2" s="2">
        <f t="shared" si="1"/>
        <v>2069</v>
      </c>
      <c r="CB2" s="2">
        <f t="shared" si="1"/>
        <v>2070</v>
      </c>
      <c r="CC2" s="2">
        <f t="shared" si="1"/>
        <v>2071</v>
      </c>
      <c r="CD2" s="2">
        <f t="shared" si="1"/>
        <v>2072</v>
      </c>
      <c r="CE2" s="2">
        <f t="shared" si="1"/>
        <v>2073</v>
      </c>
      <c r="CF2" s="2">
        <f t="shared" si="1"/>
        <v>2074</v>
      </c>
      <c r="CG2" s="2">
        <f t="shared" si="1"/>
        <v>2075</v>
      </c>
      <c r="CH2" s="2">
        <f t="shared" si="1"/>
        <v>2076</v>
      </c>
      <c r="CI2" s="2">
        <f t="shared" si="1"/>
        <v>2077</v>
      </c>
      <c r="CJ2" s="2">
        <f t="shared" si="1"/>
        <v>2078</v>
      </c>
      <c r="CK2" s="2">
        <f t="shared" si="1"/>
        <v>2079</v>
      </c>
      <c r="CL2" s="2">
        <f t="shared" si="1"/>
        <v>2080</v>
      </c>
      <c r="CM2" s="2">
        <f t="shared" si="1"/>
        <v>2081</v>
      </c>
      <c r="CN2" s="2">
        <f t="shared" si="1"/>
        <v>2082</v>
      </c>
      <c r="CO2" s="2">
        <f t="shared" si="1"/>
        <v>2083</v>
      </c>
      <c r="CP2" s="2">
        <f t="shared" si="1"/>
        <v>2084</v>
      </c>
      <c r="CQ2" s="2">
        <f t="shared" si="1"/>
        <v>2085</v>
      </c>
      <c r="CR2" s="2">
        <f t="shared" si="1"/>
        <v>2086</v>
      </c>
      <c r="CS2" s="2">
        <f t="shared" si="1"/>
        <v>2087</v>
      </c>
      <c r="CT2" s="2">
        <f t="shared" si="1"/>
        <v>2088</v>
      </c>
      <c r="CU2" s="2">
        <f t="shared" si="1"/>
        <v>2089</v>
      </c>
      <c r="CV2" s="2">
        <f t="shared" si="1"/>
        <v>2090</v>
      </c>
      <c r="CW2" s="2">
        <f t="shared" si="1"/>
        <v>2091</v>
      </c>
      <c r="CX2" s="2">
        <f t="shared" si="1"/>
        <v>2092</v>
      </c>
      <c r="CY2" s="2">
        <f t="shared" si="1"/>
        <v>2093</v>
      </c>
      <c r="CZ2" s="2">
        <f t="shared" si="1"/>
        <v>2094</v>
      </c>
      <c r="DA2" s="2">
        <f t="shared" si="1"/>
        <v>2095</v>
      </c>
      <c r="DB2" s="2">
        <f t="shared" si="1"/>
        <v>2096</v>
      </c>
      <c r="DC2" s="2">
        <f t="shared" si="1"/>
        <v>2097</v>
      </c>
      <c r="DD2" s="2">
        <f t="shared" si="1"/>
        <v>2098</v>
      </c>
      <c r="DE2" s="2">
        <f t="shared" si="1"/>
        <v>2099</v>
      </c>
      <c r="DF2" s="2">
        <f t="shared" ref="DF2:ET2" si="2">+DE2+1</f>
        <v>2100</v>
      </c>
      <c r="DG2" s="2">
        <f t="shared" si="2"/>
        <v>2101</v>
      </c>
      <c r="DH2" s="2">
        <f t="shared" si="2"/>
        <v>2102</v>
      </c>
      <c r="DI2" s="2">
        <f t="shared" si="2"/>
        <v>2103</v>
      </c>
      <c r="DJ2" s="2">
        <f t="shared" si="2"/>
        <v>2104</v>
      </c>
      <c r="DK2" s="2">
        <f t="shared" si="2"/>
        <v>2105</v>
      </c>
      <c r="DL2" s="2">
        <f t="shared" si="2"/>
        <v>2106</v>
      </c>
      <c r="DM2" s="2">
        <f t="shared" si="2"/>
        <v>2107</v>
      </c>
      <c r="DN2" s="2">
        <f t="shared" si="2"/>
        <v>2108</v>
      </c>
      <c r="DO2" s="2">
        <f t="shared" si="2"/>
        <v>2109</v>
      </c>
      <c r="DP2" s="2">
        <f t="shared" si="2"/>
        <v>2110</v>
      </c>
      <c r="DQ2" s="2">
        <f t="shared" si="2"/>
        <v>2111</v>
      </c>
      <c r="DR2" s="2">
        <f t="shared" si="2"/>
        <v>2112</v>
      </c>
      <c r="DS2" s="2">
        <f t="shared" si="2"/>
        <v>2113</v>
      </c>
      <c r="DT2" s="2">
        <f t="shared" si="2"/>
        <v>2114</v>
      </c>
      <c r="DU2" s="2">
        <f t="shared" si="2"/>
        <v>2115</v>
      </c>
      <c r="DV2" s="2">
        <f t="shared" si="2"/>
        <v>2116</v>
      </c>
      <c r="DW2" s="2">
        <f t="shared" si="2"/>
        <v>2117</v>
      </c>
      <c r="DX2" s="2">
        <f t="shared" si="2"/>
        <v>2118</v>
      </c>
      <c r="DY2" s="2">
        <f t="shared" si="2"/>
        <v>2119</v>
      </c>
      <c r="DZ2" s="2">
        <f t="shared" si="2"/>
        <v>2120</v>
      </c>
      <c r="EA2" s="2">
        <f t="shared" si="2"/>
        <v>2121</v>
      </c>
      <c r="EB2" s="2">
        <f t="shared" si="2"/>
        <v>2122</v>
      </c>
      <c r="EC2" s="2">
        <f t="shared" si="2"/>
        <v>2123</v>
      </c>
      <c r="ED2" s="2">
        <f t="shared" si="2"/>
        <v>2124</v>
      </c>
      <c r="EE2" s="2">
        <f t="shared" si="2"/>
        <v>2125</v>
      </c>
      <c r="EF2" s="2">
        <f t="shared" si="2"/>
        <v>2126</v>
      </c>
      <c r="EG2" s="2">
        <f t="shared" si="2"/>
        <v>2127</v>
      </c>
      <c r="EH2" s="2">
        <f t="shared" si="2"/>
        <v>2128</v>
      </c>
      <c r="EI2" s="2">
        <f t="shared" si="2"/>
        <v>2129</v>
      </c>
      <c r="EJ2" s="2">
        <f t="shared" si="2"/>
        <v>2130</v>
      </c>
      <c r="EK2" s="2">
        <f t="shared" si="2"/>
        <v>2131</v>
      </c>
      <c r="EL2" s="2">
        <f t="shared" si="2"/>
        <v>2132</v>
      </c>
      <c r="EM2" s="2">
        <f t="shared" si="2"/>
        <v>2133</v>
      </c>
      <c r="EN2" s="2">
        <f t="shared" si="2"/>
        <v>2134</v>
      </c>
      <c r="EO2" s="2">
        <f t="shared" si="2"/>
        <v>2135</v>
      </c>
      <c r="EP2" s="2">
        <f t="shared" si="2"/>
        <v>2136</v>
      </c>
      <c r="EQ2" s="2">
        <f t="shared" si="2"/>
        <v>2137</v>
      </c>
      <c r="ER2" s="2">
        <f t="shared" si="2"/>
        <v>2138</v>
      </c>
      <c r="ES2" s="2">
        <f t="shared" si="2"/>
        <v>2139</v>
      </c>
      <c r="ET2" s="2">
        <f t="shared" si="2"/>
        <v>2140</v>
      </c>
      <c r="EU2" s="2">
        <f t="shared" ref="EU2:FQ2" si="3">+ET2+1</f>
        <v>2141</v>
      </c>
      <c r="EV2" s="2">
        <f t="shared" si="3"/>
        <v>2142</v>
      </c>
      <c r="EW2" s="2">
        <f t="shared" si="3"/>
        <v>2143</v>
      </c>
      <c r="EX2" s="2">
        <f t="shared" si="3"/>
        <v>2144</v>
      </c>
      <c r="EY2" s="2">
        <f t="shared" si="3"/>
        <v>2145</v>
      </c>
      <c r="EZ2" s="2">
        <f t="shared" si="3"/>
        <v>2146</v>
      </c>
      <c r="FA2" s="2">
        <f t="shared" si="3"/>
        <v>2147</v>
      </c>
      <c r="FB2" s="2">
        <f t="shared" si="3"/>
        <v>2148</v>
      </c>
      <c r="FC2" s="2">
        <f t="shared" si="3"/>
        <v>2149</v>
      </c>
      <c r="FD2" s="2">
        <f t="shared" si="3"/>
        <v>2150</v>
      </c>
      <c r="FE2" s="2">
        <f t="shared" si="3"/>
        <v>2151</v>
      </c>
      <c r="FF2" s="2">
        <f t="shared" si="3"/>
        <v>2152</v>
      </c>
      <c r="FG2" s="2">
        <f t="shared" si="3"/>
        <v>2153</v>
      </c>
      <c r="FH2" s="2">
        <f t="shared" si="3"/>
        <v>2154</v>
      </c>
      <c r="FI2" s="2">
        <f t="shared" si="3"/>
        <v>2155</v>
      </c>
      <c r="FJ2" s="2">
        <f t="shared" si="3"/>
        <v>2156</v>
      </c>
      <c r="FK2" s="2">
        <f t="shared" si="3"/>
        <v>2157</v>
      </c>
      <c r="FL2" s="2">
        <f t="shared" si="3"/>
        <v>2158</v>
      </c>
      <c r="FM2" s="2">
        <f t="shared" si="3"/>
        <v>2159</v>
      </c>
      <c r="FN2" s="2">
        <f t="shared" si="3"/>
        <v>2160</v>
      </c>
      <c r="FO2" s="2">
        <f t="shared" si="3"/>
        <v>2161</v>
      </c>
      <c r="FP2" s="2">
        <f t="shared" si="3"/>
        <v>2162</v>
      </c>
      <c r="FQ2" s="2">
        <f t="shared" si="3"/>
        <v>2163</v>
      </c>
      <c r="FR2" s="2">
        <f t="shared" ref="FR2:GE2" si="4">+FQ2+1</f>
        <v>2164</v>
      </c>
      <c r="FS2" s="2">
        <f t="shared" si="4"/>
        <v>2165</v>
      </c>
      <c r="FT2" s="2">
        <f t="shared" si="4"/>
        <v>2166</v>
      </c>
      <c r="FU2" s="2">
        <f t="shared" si="4"/>
        <v>2167</v>
      </c>
      <c r="FV2" s="2">
        <f t="shared" si="4"/>
        <v>2168</v>
      </c>
      <c r="FW2" s="2">
        <f t="shared" si="4"/>
        <v>2169</v>
      </c>
      <c r="FX2" s="2">
        <f t="shared" si="4"/>
        <v>2170</v>
      </c>
      <c r="FY2" s="2">
        <f t="shared" si="4"/>
        <v>2171</v>
      </c>
      <c r="FZ2" s="2">
        <f t="shared" si="4"/>
        <v>2172</v>
      </c>
      <c r="GA2" s="2">
        <f t="shared" si="4"/>
        <v>2173</v>
      </c>
      <c r="GB2" s="2">
        <f t="shared" si="4"/>
        <v>2174</v>
      </c>
      <c r="GC2" s="2">
        <f t="shared" si="4"/>
        <v>2175</v>
      </c>
      <c r="GD2" s="2">
        <f t="shared" si="4"/>
        <v>2176</v>
      </c>
      <c r="GE2" s="2">
        <f t="shared" si="4"/>
        <v>2177</v>
      </c>
      <c r="GF2" s="2">
        <f t="shared" ref="GF2:HE2" si="5">+GE2+1</f>
        <v>2178</v>
      </c>
      <c r="GG2" s="2">
        <f t="shared" si="5"/>
        <v>2179</v>
      </c>
      <c r="GH2" s="2">
        <f t="shared" si="5"/>
        <v>2180</v>
      </c>
      <c r="GI2" s="2">
        <f t="shared" si="5"/>
        <v>2181</v>
      </c>
      <c r="GJ2" s="2">
        <f t="shared" si="5"/>
        <v>2182</v>
      </c>
      <c r="GK2" s="2">
        <f t="shared" si="5"/>
        <v>2183</v>
      </c>
      <c r="GL2" s="2">
        <f t="shared" si="5"/>
        <v>2184</v>
      </c>
      <c r="GM2" s="2">
        <f t="shared" si="5"/>
        <v>2185</v>
      </c>
      <c r="GN2" s="2">
        <f t="shared" si="5"/>
        <v>2186</v>
      </c>
      <c r="GO2" s="2">
        <f t="shared" si="5"/>
        <v>2187</v>
      </c>
      <c r="GP2" s="2">
        <f t="shared" si="5"/>
        <v>2188</v>
      </c>
      <c r="GQ2" s="2">
        <f t="shared" si="5"/>
        <v>2189</v>
      </c>
      <c r="GR2" s="2">
        <f t="shared" si="5"/>
        <v>2190</v>
      </c>
      <c r="GS2" s="2">
        <f t="shared" si="5"/>
        <v>2191</v>
      </c>
      <c r="GT2" s="2">
        <f t="shared" si="5"/>
        <v>2192</v>
      </c>
      <c r="GU2" s="2">
        <f t="shared" si="5"/>
        <v>2193</v>
      </c>
      <c r="GV2" s="2">
        <f t="shared" si="5"/>
        <v>2194</v>
      </c>
      <c r="GW2" s="2">
        <f t="shared" si="5"/>
        <v>2195</v>
      </c>
      <c r="GX2" s="2">
        <f t="shared" si="5"/>
        <v>2196</v>
      </c>
      <c r="GY2" s="2">
        <f t="shared" si="5"/>
        <v>2197</v>
      </c>
      <c r="GZ2" s="2">
        <f t="shared" si="5"/>
        <v>2198</v>
      </c>
      <c r="HA2" s="2">
        <f t="shared" si="5"/>
        <v>2199</v>
      </c>
      <c r="HB2" s="2">
        <f t="shared" si="5"/>
        <v>2200</v>
      </c>
      <c r="HC2" s="2">
        <f t="shared" si="5"/>
        <v>2201</v>
      </c>
      <c r="HD2" s="2">
        <f t="shared" si="5"/>
        <v>2202</v>
      </c>
      <c r="HE2" s="2">
        <f t="shared" si="5"/>
        <v>2203</v>
      </c>
      <c r="HF2" s="2">
        <f t="shared" ref="HF2:HX2" si="6">+HE2+1</f>
        <v>2204</v>
      </c>
      <c r="HG2" s="2">
        <f t="shared" si="6"/>
        <v>2205</v>
      </c>
      <c r="HH2" s="2">
        <f t="shared" si="6"/>
        <v>2206</v>
      </c>
      <c r="HI2" s="2">
        <f t="shared" si="6"/>
        <v>2207</v>
      </c>
      <c r="HJ2" s="2">
        <f t="shared" si="6"/>
        <v>2208</v>
      </c>
      <c r="HK2" s="2">
        <f t="shared" si="6"/>
        <v>2209</v>
      </c>
      <c r="HL2" s="2">
        <f t="shared" si="6"/>
        <v>2210</v>
      </c>
      <c r="HM2" s="2">
        <f t="shared" si="6"/>
        <v>2211</v>
      </c>
      <c r="HN2" s="2">
        <f t="shared" si="6"/>
        <v>2212</v>
      </c>
      <c r="HO2" s="2">
        <f t="shared" si="6"/>
        <v>2213</v>
      </c>
      <c r="HP2" s="2">
        <f t="shared" si="6"/>
        <v>2214</v>
      </c>
      <c r="HQ2" s="2">
        <f t="shared" si="6"/>
        <v>2215</v>
      </c>
      <c r="HR2" s="2">
        <f t="shared" si="6"/>
        <v>2216</v>
      </c>
      <c r="HS2" s="2">
        <f t="shared" si="6"/>
        <v>2217</v>
      </c>
      <c r="HT2" s="2">
        <f t="shared" si="6"/>
        <v>2218</v>
      </c>
      <c r="HU2" s="2">
        <f t="shared" si="6"/>
        <v>2219</v>
      </c>
      <c r="HV2" s="2">
        <f t="shared" si="6"/>
        <v>2220</v>
      </c>
      <c r="HW2" s="2">
        <f t="shared" si="6"/>
        <v>2221</v>
      </c>
      <c r="HX2" s="2">
        <f t="shared" si="6"/>
        <v>2222</v>
      </c>
      <c r="HY2" s="2">
        <f t="shared" ref="HY2:IG2" si="7">+HX2+1</f>
        <v>2223</v>
      </c>
      <c r="HZ2" s="2">
        <f t="shared" si="7"/>
        <v>2224</v>
      </c>
      <c r="IA2" s="2">
        <f t="shared" si="7"/>
        <v>2225</v>
      </c>
      <c r="IB2" s="2">
        <f t="shared" si="7"/>
        <v>2226</v>
      </c>
      <c r="IC2" s="2">
        <f t="shared" si="7"/>
        <v>2227</v>
      </c>
      <c r="ID2" s="2">
        <f t="shared" si="7"/>
        <v>2228</v>
      </c>
      <c r="IE2" s="2">
        <f t="shared" si="7"/>
        <v>2229</v>
      </c>
      <c r="IF2" s="2">
        <f t="shared" si="7"/>
        <v>2230</v>
      </c>
      <c r="IG2" s="2">
        <f t="shared" si="7"/>
        <v>2231</v>
      </c>
      <c r="IH2" s="2">
        <f t="shared" ref="IH2:IJ2" si="8">+IG2+1</f>
        <v>2232</v>
      </c>
      <c r="II2" s="2">
        <f t="shared" si="8"/>
        <v>2233</v>
      </c>
      <c r="IJ2" s="2">
        <f t="shared" si="8"/>
        <v>2234</v>
      </c>
      <c r="IK2" s="2">
        <f t="shared" ref="IK2" si="9">+IJ2+1</f>
        <v>2235</v>
      </c>
    </row>
    <row r="3" spans="2:245" s="2" customFormat="1" x14ac:dyDescent="0.2">
      <c r="B3" s="28" t="s">
        <v>168</v>
      </c>
      <c r="C3" s="29"/>
      <c r="D3" s="30"/>
      <c r="E3" s="30"/>
      <c r="F3" s="30"/>
      <c r="G3" s="30"/>
      <c r="H3" s="30"/>
      <c r="I3" s="30"/>
      <c r="J3" s="30"/>
      <c r="K3" s="30"/>
      <c r="L3" s="30"/>
      <c r="M3" s="30"/>
      <c r="N3" s="31"/>
    </row>
    <row r="4" spans="2:245" s="2" customFormat="1" x14ac:dyDescent="0.2">
      <c r="B4" s="2" t="s">
        <v>169</v>
      </c>
      <c r="C4" s="26">
        <f>+C20</f>
        <v>3608.645</v>
      </c>
      <c r="D4" s="26">
        <f t="shared" ref="D4:N4" si="10">+D20</f>
        <v>3599.4479999999999</v>
      </c>
      <c r="E4" s="26">
        <f t="shared" si="10"/>
        <v>3735.1329999999998</v>
      </c>
      <c r="F4" s="26">
        <f t="shared" si="10"/>
        <v>3930.5570000000007</v>
      </c>
      <c r="G4" s="26">
        <f t="shared" si="10"/>
        <v>4224.3149999999996</v>
      </c>
      <c r="H4" s="26">
        <f t="shared" si="10"/>
        <v>4295.5600000000004</v>
      </c>
      <c r="I4" s="26">
        <f t="shared" si="10"/>
        <v>4322.4759999999997</v>
      </c>
      <c r="J4" s="26">
        <f t="shared" si="10"/>
        <v>4517.018</v>
      </c>
      <c r="K4" s="26">
        <f t="shared" si="10"/>
        <v>4617.098</v>
      </c>
      <c r="L4" s="26">
        <f t="shared" si="10"/>
        <v>4929.0029999999997</v>
      </c>
      <c r="M4" s="26">
        <f t="shared" si="10"/>
        <v>4970.8473999999997</v>
      </c>
      <c r="N4" s="26">
        <f t="shared" si="10"/>
        <v>5194.5706999999993</v>
      </c>
    </row>
    <row r="5" spans="2:245" s="2" customFormat="1" x14ac:dyDescent="0.2">
      <c r="B5" s="2" t="s">
        <v>170</v>
      </c>
      <c r="C5" s="17">
        <v>74.400000000000006</v>
      </c>
      <c r="D5" s="17">
        <v>75.569999999999993</v>
      </c>
      <c r="E5" s="17">
        <v>77.319999999999993</v>
      </c>
      <c r="F5" s="17">
        <v>80.13</v>
      </c>
      <c r="G5" s="17">
        <v>82.66</v>
      </c>
      <c r="H5" s="17">
        <v>84.11</v>
      </c>
      <c r="I5" s="17">
        <v>84.8</v>
      </c>
      <c r="J5" s="17">
        <v>89.63</v>
      </c>
      <c r="K5" s="1"/>
      <c r="L5" s="1"/>
    </row>
    <row r="6" spans="2:245" s="2" customFormat="1" x14ac:dyDescent="0.2">
      <c r="B6" s="2" t="s">
        <v>171</v>
      </c>
      <c r="C6" s="17">
        <f>+C4/C5/3</f>
        <v>16.167764336917561</v>
      </c>
      <c r="D6" s="17">
        <f>+D4/D5/3</f>
        <v>15.876882360725157</v>
      </c>
      <c r="E6" s="17">
        <f t="shared" ref="E6:J6" si="11">+E4/E5/3</f>
        <v>16.102487497844457</v>
      </c>
      <c r="F6" s="17">
        <f t="shared" si="11"/>
        <v>16.350750863180668</v>
      </c>
      <c r="G6" s="17">
        <f t="shared" si="11"/>
        <v>17.034902008226471</v>
      </c>
      <c r="H6" s="17">
        <f t="shared" si="11"/>
        <v>17.023580232235567</v>
      </c>
      <c r="I6" s="17">
        <f t="shared" si="11"/>
        <v>16.990864779874212</v>
      </c>
      <c r="J6" s="17">
        <f t="shared" si="11"/>
        <v>16.798757856372493</v>
      </c>
      <c r="K6" s="17"/>
      <c r="L6" s="17"/>
    </row>
    <row r="7" spans="2:245" s="2" customFormat="1" x14ac:dyDescent="0.2">
      <c r="B7" s="28" t="s">
        <v>16</v>
      </c>
      <c r="C7" s="29"/>
      <c r="D7" s="30"/>
      <c r="E7" s="30"/>
      <c r="F7" s="30"/>
      <c r="G7" s="30"/>
      <c r="H7" s="30"/>
      <c r="I7" s="30"/>
      <c r="J7" s="30"/>
      <c r="K7" s="30"/>
      <c r="L7" s="30"/>
      <c r="M7" s="30"/>
      <c r="N7" s="31"/>
    </row>
    <row r="8" spans="2:245" s="2" customFormat="1" x14ac:dyDescent="0.2">
      <c r="B8" s="2" t="s">
        <v>169</v>
      </c>
      <c r="C8" s="17">
        <f>+C21</f>
        <v>2517.6410000000001</v>
      </c>
      <c r="D8" s="17">
        <f t="shared" ref="D8:N8" si="12">+D21</f>
        <v>2562.17</v>
      </c>
      <c r="E8" s="17">
        <f t="shared" si="12"/>
        <v>2693.1460000000002</v>
      </c>
      <c r="F8" s="17">
        <f t="shared" si="12"/>
        <v>2783.5299999999988</v>
      </c>
      <c r="G8" s="17">
        <f t="shared" si="12"/>
        <v>2958.1930000000002</v>
      </c>
      <c r="H8" s="17">
        <f t="shared" si="12"/>
        <v>3007.7719999999999</v>
      </c>
      <c r="I8" s="17">
        <f t="shared" si="12"/>
        <v>3133.4659999999999</v>
      </c>
      <c r="J8" s="17">
        <f t="shared" si="12"/>
        <v>3287.6039999999994</v>
      </c>
      <c r="K8" s="17">
        <f t="shared" si="12"/>
        <v>3404.6759999999999</v>
      </c>
      <c r="L8" s="17">
        <f t="shared" si="12"/>
        <v>3538.1750000000002</v>
      </c>
      <c r="M8" s="17">
        <f t="shared" si="12"/>
        <v>3666.1552199999996</v>
      </c>
      <c r="N8" s="17">
        <f t="shared" si="12"/>
        <v>3846.4966799999988</v>
      </c>
    </row>
    <row r="9" spans="2:245" s="2" customFormat="1" x14ac:dyDescent="0.2">
      <c r="B9" s="2" t="s">
        <v>170</v>
      </c>
      <c r="C9" s="17">
        <v>77.37</v>
      </c>
      <c r="D9" s="17">
        <v>79.81</v>
      </c>
      <c r="E9" s="17">
        <v>83.76</v>
      </c>
      <c r="F9" s="17">
        <v>88.81</v>
      </c>
      <c r="G9" s="17">
        <v>91.73</v>
      </c>
      <c r="H9" s="17">
        <v>93.96</v>
      </c>
      <c r="I9" s="17">
        <v>96.13</v>
      </c>
      <c r="J9" s="17">
        <v>101.13</v>
      </c>
      <c r="K9" s="1"/>
      <c r="L9" s="1"/>
    </row>
    <row r="10" spans="2:245" s="2" customFormat="1" x14ac:dyDescent="0.2">
      <c r="B10" s="2" t="s">
        <v>171</v>
      </c>
      <c r="C10" s="17">
        <f>+C8/C9/3</f>
        <v>10.846758002671146</v>
      </c>
      <c r="D10" s="17">
        <f t="shared" ref="D10:J10" si="13">+D8/D9/3</f>
        <v>10.701123501649752</v>
      </c>
      <c r="E10" s="17">
        <f t="shared" si="13"/>
        <v>10.717709328239415</v>
      </c>
      <c r="F10" s="17">
        <f t="shared" si="13"/>
        <v>10.44750966482753</v>
      </c>
      <c r="G10" s="17">
        <f t="shared" si="13"/>
        <v>10.749638431629057</v>
      </c>
      <c r="H10" s="17">
        <f t="shared" si="13"/>
        <v>10.670398751241663</v>
      </c>
      <c r="I10" s="17">
        <f t="shared" si="13"/>
        <v>10.865376746766531</v>
      </c>
      <c r="J10" s="17">
        <f t="shared" si="13"/>
        <v>10.836230594284581</v>
      </c>
      <c r="K10" s="17"/>
      <c r="L10" s="17"/>
    </row>
    <row r="11" spans="2:245" s="2" customFormat="1" x14ac:dyDescent="0.2">
      <c r="B11" s="28" t="s">
        <v>17</v>
      </c>
      <c r="C11" s="29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1"/>
    </row>
    <row r="12" spans="2:245" s="2" customFormat="1" x14ac:dyDescent="0.2">
      <c r="B12" s="2" t="s">
        <v>169</v>
      </c>
      <c r="C12" s="17">
        <f>+C22</f>
        <v>1070.192</v>
      </c>
      <c r="D12" s="17">
        <f t="shared" ref="D12:N12" si="14">+D22</f>
        <v>1077.4349999999999</v>
      </c>
      <c r="E12" s="17">
        <f t="shared" si="14"/>
        <v>1142.8109999999999</v>
      </c>
      <c r="F12" s="17">
        <f t="shared" si="14"/>
        <v>1156.0230000000001</v>
      </c>
      <c r="G12" s="17">
        <f t="shared" si="14"/>
        <v>1165.008</v>
      </c>
      <c r="H12" s="17">
        <f t="shared" si="14"/>
        <v>1204.145</v>
      </c>
      <c r="I12" s="17">
        <f t="shared" si="14"/>
        <v>1240.8920000000001</v>
      </c>
      <c r="J12" s="17">
        <f t="shared" si="14"/>
        <v>1229.7714999999998</v>
      </c>
      <c r="K12" s="17">
        <f t="shared" si="14"/>
        <v>1261.934</v>
      </c>
      <c r="L12" s="17">
        <f t="shared" si="14"/>
        <v>1306.7349999999999</v>
      </c>
      <c r="M12" s="17">
        <f t="shared" si="14"/>
        <v>1352.5722800000001</v>
      </c>
      <c r="N12" s="17">
        <f t="shared" si="14"/>
        <v>1340.4509349999998</v>
      </c>
    </row>
    <row r="13" spans="2:245" s="2" customFormat="1" x14ac:dyDescent="0.2">
      <c r="B13" s="2" t="s">
        <v>170</v>
      </c>
      <c r="C13" s="17">
        <v>41.25</v>
      </c>
      <c r="D13" s="17">
        <v>42.47</v>
      </c>
      <c r="E13" s="17">
        <v>43.65</v>
      </c>
      <c r="F13" s="17">
        <v>46</v>
      </c>
      <c r="G13" s="17">
        <v>47.72</v>
      </c>
      <c r="H13" s="17">
        <v>49.25</v>
      </c>
      <c r="I13" s="17">
        <v>49.18</v>
      </c>
      <c r="J13" s="17">
        <v>53.33</v>
      </c>
      <c r="K13" s="1"/>
      <c r="L13" s="1"/>
    </row>
    <row r="14" spans="2:245" s="2" customFormat="1" x14ac:dyDescent="0.2">
      <c r="B14" s="2" t="s">
        <v>171</v>
      </c>
      <c r="C14" s="17">
        <f>+C12/C13/3</f>
        <v>8.6480161616161606</v>
      </c>
      <c r="D14" s="17">
        <f t="shared" ref="D14:J14" si="15">+D12/D13/3</f>
        <v>8.4564398398869791</v>
      </c>
      <c r="E14" s="17">
        <f t="shared" si="15"/>
        <v>8.7270790378006868</v>
      </c>
      <c r="F14" s="17">
        <f t="shared" si="15"/>
        <v>8.3769782608695653</v>
      </c>
      <c r="G14" s="17">
        <f t="shared" si="15"/>
        <v>8.1378038558256502</v>
      </c>
      <c r="H14" s="17">
        <f t="shared" si="15"/>
        <v>8.1498815566835869</v>
      </c>
      <c r="I14" s="17">
        <f t="shared" si="15"/>
        <v>8.4105462925308405</v>
      </c>
      <c r="J14" s="17">
        <f t="shared" si="15"/>
        <v>7.6865522845177816</v>
      </c>
      <c r="K14" s="17"/>
      <c r="L14" s="17"/>
    </row>
    <row r="15" spans="2:245" s="2" customFormat="1" x14ac:dyDescent="0.2">
      <c r="B15" s="28" t="s">
        <v>18</v>
      </c>
      <c r="C15" s="29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1"/>
    </row>
    <row r="16" spans="2:245" s="2" customFormat="1" x14ac:dyDescent="0.2">
      <c r="B16" s="2" t="s">
        <v>169</v>
      </c>
      <c r="C16" s="17">
        <f>+C23</f>
        <v>933.52300000000002</v>
      </c>
      <c r="D16" s="17">
        <f t="shared" ref="D16:N16" si="16">+D23</f>
        <v>919.27300000000002</v>
      </c>
      <c r="E16" s="17">
        <f t="shared" si="16"/>
        <v>948.21600000000001</v>
      </c>
      <c r="F16" s="17">
        <f t="shared" si="16"/>
        <v>962.71499999999969</v>
      </c>
      <c r="G16" s="17">
        <f t="shared" si="16"/>
        <v>1022.924</v>
      </c>
      <c r="H16" s="17">
        <f t="shared" si="16"/>
        <v>1051.8330000000001</v>
      </c>
      <c r="I16" s="17">
        <f t="shared" si="16"/>
        <v>1127.8689999999999</v>
      </c>
      <c r="J16" s="17">
        <f t="shared" si="16"/>
        <v>1212.1199999999999</v>
      </c>
      <c r="K16" s="17">
        <f t="shared" si="16"/>
        <v>1259.0930000000001</v>
      </c>
      <c r="L16" s="17">
        <f t="shared" si="16"/>
        <v>1305.2529999999999</v>
      </c>
      <c r="M16" s="17">
        <f t="shared" si="16"/>
        <v>1353.4427999999998</v>
      </c>
      <c r="N16" s="17">
        <f t="shared" si="16"/>
        <v>1454.5439999999999</v>
      </c>
    </row>
    <row r="17" spans="2:44" s="2" customFormat="1" x14ac:dyDescent="0.2">
      <c r="B17" s="2" t="s">
        <v>170</v>
      </c>
      <c r="C17" s="17">
        <v>39.479999999999997</v>
      </c>
      <c r="D17" s="17">
        <v>40.549999999999997</v>
      </c>
      <c r="E17" s="17">
        <v>42.43</v>
      </c>
      <c r="F17" s="17">
        <v>45.34</v>
      </c>
      <c r="G17" s="17">
        <v>47.5</v>
      </c>
      <c r="H17" s="17">
        <v>50.32</v>
      </c>
      <c r="I17" s="17">
        <v>52.6</v>
      </c>
      <c r="J17" s="17">
        <v>57.54</v>
      </c>
      <c r="K17" s="1"/>
      <c r="L17" s="1"/>
    </row>
    <row r="18" spans="2:44" s="2" customFormat="1" x14ac:dyDescent="0.2">
      <c r="B18" s="2" t="s">
        <v>171</v>
      </c>
      <c r="C18" s="17">
        <f>+C16/C17/3</f>
        <v>7.881822019587978</v>
      </c>
      <c r="D18" s="17">
        <f t="shared" ref="D18:G18" si="17">+D16/D17/3</f>
        <v>7.5567036580353486</v>
      </c>
      <c r="E18" s="17">
        <f t="shared" si="17"/>
        <v>7.4492576007541835</v>
      </c>
      <c r="F18" s="17">
        <f t="shared" si="17"/>
        <v>7.0777459197176853</v>
      </c>
      <c r="G18" s="17">
        <f t="shared" si="17"/>
        <v>7.1784140350877195</v>
      </c>
      <c r="H18" s="17">
        <f t="shared" ref="H18" si="18">+H16/H17/3</f>
        <v>6.9676271860095396</v>
      </c>
      <c r="I18" s="17">
        <f t="shared" ref="I18" si="19">+I16/I17/3</f>
        <v>7.1474588086185031</v>
      </c>
      <c r="J18" s="17">
        <f t="shared" ref="J18" si="20">+J16/J17/3</f>
        <v>7.0218978102189773</v>
      </c>
      <c r="K18" s="17"/>
      <c r="L18" s="17"/>
    </row>
    <row r="19" spans="2:44" s="2" customFormat="1" x14ac:dyDescent="0.2">
      <c r="C19" s="20"/>
      <c r="D19" s="20"/>
      <c r="E19" s="20"/>
      <c r="F19" s="20"/>
      <c r="G19" s="20"/>
      <c r="H19" s="20"/>
      <c r="I19" s="20"/>
      <c r="J19" s="20"/>
    </row>
    <row r="20" spans="2:44" x14ac:dyDescent="0.2">
      <c r="B20" s="1" t="s">
        <v>15</v>
      </c>
      <c r="C20" s="1">
        <v>3608.645</v>
      </c>
      <c r="D20" s="1">
        <v>3599.4479999999999</v>
      </c>
      <c r="E20" s="1">
        <v>3735.1329999999998</v>
      </c>
      <c r="F20" s="1">
        <f>+AG20-SUM(C20:E20)</f>
        <v>3930.5570000000007</v>
      </c>
      <c r="G20" s="1">
        <v>4224.3149999999996</v>
      </c>
      <c r="H20" s="1">
        <v>4295.5600000000004</v>
      </c>
      <c r="I20" s="1">
        <v>4322.4759999999997</v>
      </c>
      <c r="J20" s="1">
        <f>+AH20-SUM(G20:I20)</f>
        <v>4517.018</v>
      </c>
      <c r="K20" s="1">
        <v>4617.098</v>
      </c>
      <c r="L20" s="1">
        <v>4929.0029999999997</v>
      </c>
      <c r="M20" s="1">
        <f>+I20*1.15</f>
        <v>4970.8473999999997</v>
      </c>
      <c r="N20" s="1">
        <f>+J20*1.15</f>
        <v>5194.5706999999993</v>
      </c>
      <c r="AF20" s="1">
        <v>14084.643</v>
      </c>
      <c r="AG20" s="1">
        <v>14873.782999999999</v>
      </c>
      <c r="AH20" s="1">
        <v>17359.368999999999</v>
      </c>
      <c r="AI20" s="1">
        <f>SUM(K20:N20)</f>
        <v>19711.519099999998</v>
      </c>
      <c r="AJ20" s="1">
        <f>+AI20*1.15</f>
        <v>22668.246964999995</v>
      </c>
      <c r="AK20" s="1">
        <f t="shared" ref="AK20:AR20" si="21">+AJ20*1.15</f>
        <v>26068.484009749991</v>
      </c>
      <c r="AL20" s="1">
        <f t="shared" si="21"/>
        <v>29978.756611212488</v>
      </c>
      <c r="AM20" s="1">
        <f t="shared" si="21"/>
        <v>34475.570102894359</v>
      </c>
      <c r="AN20" s="1">
        <f t="shared" si="21"/>
        <v>39646.905618328507</v>
      </c>
      <c r="AO20" s="1">
        <f t="shared" si="21"/>
        <v>45593.941461077782</v>
      </c>
      <c r="AP20" s="1">
        <f t="shared" si="21"/>
        <v>52433.032680239448</v>
      </c>
      <c r="AQ20" s="1">
        <f t="shared" si="21"/>
        <v>60297.98758227536</v>
      </c>
      <c r="AR20" s="1">
        <f t="shared" si="21"/>
        <v>69342.685719616653</v>
      </c>
    </row>
    <row r="21" spans="2:44" x14ac:dyDescent="0.2">
      <c r="B21" s="1" t="s">
        <v>16</v>
      </c>
      <c r="C21" s="1">
        <v>2517.6410000000001</v>
      </c>
      <c r="D21" s="1">
        <v>2562.17</v>
      </c>
      <c r="E21" s="1">
        <v>2693.1460000000002</v>
      </c>
      <c r="F21" s="1">
        <f>+AG21-SUM(C21:E21)</f>
        <v>2783.5299999999988</v>
      </c>
      <c r="G21" s="1">
        <v>2958.1930000000002</v>
      </c>
      <c r="H21" s="1">
        <v>3007.7719999999999</v>
      </c>
      <c r="I21" s="1">
        <v>3133.4659999999999</v>
      </c>
      <c r="J21" s="1">
        <f>+AH21-SUM(G21:I21)</f>
        <v>3287.6039999999994</v>
      </c>
      <c r="K21" s="1">
        <v>3404.6759999999999</v>
      </c>
      <c r="L21" s="1">
        <v>3538.1750000000002</v>
      </c>
      <c r="M21" s="1">
        <f>+I21*1.17</f>
        <v>3666.1552199999996</v>
      </c>
      <c r="N21" s="1">
        <f>+J21*1.17</f>
        <v>3846.4966799999988</v>
      </c>
      <c r="AF21" s="1">
        <v>9745.0149999999994</v>
      </c>
      <c r="AG21" s="1">
        <v>10556.486999999999</v>
      </c>
      <c r="AH21" s="1">
        <v>12387.035</v>
      </c>
      <c r="AI21" s="1">
        <f>SUM(K21:N21)</f>
        <v>14455.502899999998</v>
      </c>
      <c r="AJ21" s="1">
        <f>+AI21*1.17</f>
        <v>16912.938392999997</v>
      </c>
      <c r="AK21" s="1">
        <f t="shared" ref="AK21:AR21" si="22">+AJ21*1.17</f>
        <v>19788.137919809997</v>
      </c>
      <c r="AL21" s="1">
        <f t="shared" si="22"/>
        <v>23152.121366177696</v>
      </c>
      <c r="AM21" s="1">
        <f t="shared" si="22"/>
        <v>27087.981998427902</v>
      </c>
      <c r="AN21" s="1">
        <f t="shared" si="22"/>
        <v>31692.938938160645</v>
      </c>
      <c r="AO21" s="1">
        <f t="shared" si="22"/>
        <v>37080.73855764795</v>
      </c>
      <c r="AP21" s="1">
        <f t="shared" si="22"/>
        <v>43384.464112448099</v>
      </c>
      <c r="AQ21" s="1">
        <f t="shared" si="22"/>
        <v>50759.823011564273</v>
      </c>
      <c r="AR21" s="1">
        <f t="shared" si="22"/>
        <v>59388.992923530197</v>
      </c>
    </row>
    <row r="22" spans="2:44" x14ac:dyDescent="0.2">
      <c r="B22" s="1" t="s">
        <v>17</v>
      </c>
      <c r="C22" s="1">
        <v>1070.192</v>
      </c>
      <c r="D22" s="1">
        <v>1077.4349999999999</v>
      </c>
      <c r="E22" s="1">
        <v>1142.8109999999999</v>
      </c>
      <c r="F22" s="1">
        <f>+AG22-SUM(C22:E22)</f>
        <v>1156.0230000000001</v>
      </c>
      <c r="G22" s="1">
        <v>1165.008</v>
      </c>
      <c r="H22" s="1">
        <v>1204.145</v>
      </c>
      <c r="I22" s="1">
        <v>1240.8920000000001</v>
      </c>
      <c r="J22" s="1">
        <f>+AH22-SUM(G22:I22)</f>
        <v>1229.7714999999998</v>
      </c>
      <c r="K22" s="1">
        <v>1261.934</v>
      </c>
      <c r="L22" s="1">
        <v>1306.7349999999999</v>
      </c>
      <c r="M22" s="1">
        <f>+I22*1.09</f>
        <v>1352.5722800000001</v>
      </c>
      <c r="N22" s="1">
        <f>+J22*1.09</f>
        <v>1340.4509349999998</v>
      </c>
      <c r="AF22" s="1">
        <v>4069.973</v>
      </c>
      <c r="AG22" s="1">
        <v>4446.4610000000002</v>
      </c>
      <c r="AH22" s="1">
        <v>4839.8164999999999</v>
      </c>
      <c r="AI22" s="1">
        <f>SUM(K22:N22)</f>
        <v>5261.692215</v>
      </c>
      <c r="AJ22" s="1">
        <f>+AI22*1.09</f>
        <v>5735.2445143500008</v>
      </c>
      <c r="AK22" s="1">
        <f t="shared" ref="AK22:AR22" si="23">+AJ22*1.09</f>
        <v>6251.4165206415009</v>
      </c>
      <c r="AL22" s="1">
        <f t="shared" si="23"/>
        <v>6814.0440074992366</v>
      </c>
      <c r="AM22" s="1">
        <f t="shared" si="23"/>
        <v>7427.3079681741683</v>
      </c>
      <c r="AN22" s="1">
        <f t="shared" si="23"/>
        <v>8095.7656853098442</v>
      </c>
      <c r="AO22" s="1">
        <f t="shared" si="23"/>
        <v>8824.3845969877311</v>
      </c>
      <c r="AP22" s="1">
        <f t="shared" si="23"/>
        <v>9618.5792107166271</v>
      </c>
      <c r="AQ22" s="1">
        <f t="shared" si="23"/>
        <v>10484.251339681125</v>
      </c>
      <c r="AR22" s="1">
        <f t="shared" si="23"/>
        <v>11427.833960252427</v>
      </c>
    </row>
    <row r="23" spans="2:44" x14ac:dyDescent="0.2">
      <c r="B23" s="1" t="s">
        <v>18</v>
      </c>
      <c r="C23" s="1">
        <v>933.52300000000002</v>
      </c>
      <c r="D23" s="1">
        <v>919.27300000000002</v>
      </c>
      <c r="E23" s="1">
        <v>948.21600000000001</v>
      </c>
      <c r="F23" s="1">
        <f>+AG23-SUM(C23:E23)</f>
        <v>962.71499999999969</v>
      </c>
      <c r="G23" s="1">
        <v>1022.924</v>
      </c>
      <c r="H23" s="1">
        <v>1051.8330000000001</v>
      </c>
      <c r="I23" s="1">
        <v>1127.8689999999999</v>
      </c>
      <c r="J23" s="1">
        <f>+AH23-SUM(G23:I23)</f>
        <v>1212.1199999999999</v>
      </c>
      <c r="K23" s="1">
        <v>1259.0930000000001</v>
      </c>
      <c r="L23" s="1">
        <v>1305.2529999999999</v>
      </c>
      <c r="M23" s="1">
        <f>+I23*1.2</f>
        <v>1353.4427999999998</v>
      </c>
      <c r="N23" s="1">
        <f>+J23*1.2</f>
        <v>1454.5439999999999</v>
      </c>
      <c r="AB23" s="7"/>
      <c r="AF23" s="1">
        <v>3570.221</v>
      </c>
      <c r="AG23" s="1">
        <v>3763.7269999999999</v>
      </c>
      <c r="AH23" s="1">
        <v>4414.7460000000001</v>
      </c>
      <c r="AI23" s="1">
        <f>SUM(K23:N23)</f>
        <v>5372.3328000000001</v>
      </c>
      <c r="AJ23" s="1">
        <f>+AI23*1.2</f>
        <v>6446.79936</v>
      </c>
      <c r="AK23" s="1">
        <f t="shared" ref="AK23:AR23" si="24">+AJ23*1.2</f>
        <v>7736.159232</v>
      </c>
      <c r="AL23" s="1">
        <f t="shared" si="24"/>
        <v>9283.3910784</v>
      </c>
      <c r="AM23" s="1">
        <f t="shared" si="24"/>
        <v>11140.06929408</v>
      </c>
      <c r="AN23" s="1">
        <f t="shared" si="24"/>
        <v>13368.083152895999</v>
      </c>
      <c r="AO23" s="1">
        <f t="shared" si="24"/>
        <v>16041.699783475198</v>
      </c>
      <c r="AP23" s="1">
        <f t="shared" si="24"/>
        <v>19250.039740170236</v>
      </c>
      <c r="AQ23" s="1">
        <f t="shared" si="24"/>
        <v>23100.047688204282</v>
      </c>
      <c r="AR23" s="1">
        <f t="shared" si="24"/>
        <v>27720.057225845139</v>
      </c>
    </row>
    <row r="24" spans="2:44" s="3" customFormat="1" x14ac:dyDescent="0.2">
      <c r="B24" s="3" t="s">
        <v>19</v>
      </c>
      <c r="C24" s="3">
        <f>+SUM(C20:C23)+31.502</f>
        <v>8161.5030000000006</v>
      </c>
      <c r="D24" s="3">
        <f>+SUM(D20:D23)+28.975</f>
        <v>8187.3010000000004</v>
      </c>
      <c r="E24" s="3">
        <f>+SUM(E20:E23)+22.362</f>
        <v>8541.6679999999997</v>
      </c>
      <c r="F24" s="3">
        <f t="shared" ref="F24:J24" si="25">+SUM(F20:F23)</f>
        <v>8832.8249999999989</v>
      </c>
      <c r="G24" s="3">
        <f>+SUM(G20:G23)</f>
        <v>9370.4399999999987</v>
      </c>
      <c r="H24" s="3">
        <f t="shared" si="25"/>
        <v>9559.3100000000013</v>
      </c>
      <c r="I24" s="3">
        <f t="shared" si="25"/>
        <v>9824.7029999999995</v>
      </c>
      <c r="J24" s="3">
        <f t="shared" si="25"/>
        <v>10246.513499999997</v>
      </c>
      <c r="K24" s="3">
        <f>+SUM(K20:K23)</f>
        <v>10542.800999999999</v>
      </c>
      <c r="L24" s="3">
        <f t="shared" ref="L24:N24" si="26">+SUM(L20:L23)</f>
        <v>11079.166000000001</v>
      </c>
      <c r="M24" s="3">
        <f t="shared" si="26"/>
        <v>11343.0177</v>
      </c>
      <c r="N24" s="3">
        <f t="shared" si="26"/>
        <v>11836.062314999997</v>
      </c>
      <c r="Q24" s="3">
        <v>1205.3</v>
      </c>
      <c r="R24" s="3">
        <v>1364.7</v>
      </c>
      <c r="S24" s="3">
        <v>2162.6</v>
      </c>
      <c r="T24" s="3">
        <v>3204.6</v>
      </c>
      <c r="U24" s="3">
        <v>3204.6</v>
      </c>
      <c r="V24" s="3">
        <v>3609.3</v>
      </c>
      <c r="W24" s="3">
        <v>4374.6000000000004</v>
      </c>
      <c r="X24" s="3">
        <v>5504.7</v>
      </c>
      <c r="Y24" s="3">
        <v>6779.5</v>
      </c>
      <c r="Z24" s="3">
        <v>8830.7000000000007</v>
      </c>
      <c r="AA24" s="3">
        <v>11692.7</v>
      </c>
      <c r="AB24" s="3">
        <v>15794.3</v>
      </c>
      <c r="AC24" s="3">
        <v>20156.400000000001</v>
      </c>
      <c r="AD24" s="3">
        <v>24996.1</v>
      </c>
      <c r="AE24" s="3">
        <v>29697.8</v>
      </c>
      <c r="AF24" s="3">
        <f>+SUM(AF20:AF23)+145.698</f>
        <v>31615.550000000003</v>
      </c>
      <c r="AG24" s="3">
        <f>+SUM(AG20:AG23)+82.839</f>
        <v>33723.296999999999</v>
      </c>
      <c r="AH24" s="3">
        <f>+SUM(AH20:AH23)</f>
        <v>39000.966499999995</v>
      </c>
      <c r="AI24" s="3">
        <f>SUM(AI20:AI23)</f>
        <v>44801.047015000004</v>
      </c>
      <c r="AJ24" s="3">
        <f>SUM(AJ20:AJ23)</f>
        <v>51763.229232349986</v>
      </c>
      <c r="AK24" s="3">
        <f t="shared" ref="AK24:AR24" si="27">SUM(AK20:AK23)</f>
        <v>59844.197682201484</v>
      </c>
      <c r="AL24" s="3">
        <f t="shared" si="27"/>
        <v>69228.313063289417</v>
      </c>
      <c r="AM24" s="3">
        <f t="shared" si="27"/>
        <v>80130.929363576433</v>
      </c>
      <c r="AN24" s="3">
        <f t="shared" si="27"/>
        <v>92803.693394694987</v>
      </c>
      <c r="AO24" s="3">
        <f t="shared" si="27"/>
        <v>107540.76439918866</v>
      </c>
      <c r="AP24" s="3">
        <f t="shared" si="27"/>
        <v>124686.1157435744</v>
      </c>
      <c r="AQ24" s="3">
        <f t="shared" si="27"/>
        <v>144642.10962172505</v>
      </c>
      <c r="AR24" s="3">
        <f t="shared" si="27"/>
        <v>167879.56982924443</v>
      </c>
    </row>
    <row r="25" spans="2:44" x14ac:dyDescent="0.2">
      <c r="B25" s="1" t="s">
        <v>3</v>
      </c>
      <c r="C25" s="1">
        <v>4803.625</v>
      </c>
      <c r="D25" s="1">
        <v>4673.47</v>
      </c>
      <c r="E25" s="1">
        <v>4930.7879999999996</v>
      </c>
      <c r="F25" s="1">
        <f>+AG25-SUM(C25:E25)</f>
        <v>5307.4849999999969</v>
      </c>
      <c r="G25" s="1">
        <v>4977.0730000000003</v>
      </c>
      <c r="H25" s="1">
        <v>5174.143</v>
      </c>
      <c r="I25" s="1">
        <v>5119.884</v>
      </c>
      <c r="J25" s="1">
        <f>+AH25-SUM(G25:I25)</f>
        <v>5767.3639999999996</v>
      </c>
      <c r="K25" s="1">
        <v>5263.1469999999999</v>
      </c>
      <c r="L25" s="1">
        <v>5325.3109999999997</v>
      </c>
      <c r="M25" s="18">
        <f>+M24*0.55</f>
        <v>6238.6597350000011</v>
      </c>
      <c r="N25" s="18">
        <f>+N$24*(M25/M$24)</f>
        <v>6509.8342732499987</v>
      </c>
      <c r="AF25" s="1">
        <v>19168.285</v>
      </c>
      <c r="AG25" s="1">
        <v>19715.367999999999</v>
      </c>
      <c r="AH25" s="1">
        <v>21038.464</v>
      </c>
      <c r="AI25" s="1">
        <f>SUM(K25:N25)</f>
        <v>23336.952008249998</v>
      </c>
      <c r="AJ25" s="1">
        <f>+AJ$24*(AI25/AI$24)</f>
        <v>26963.566185918407</v>
      </c>
      <c r="AK25" s="1">
        <f t="shared" ref="AK25:AR25" si="28">+AK$24*(AJ25/AJ$24)</f>
        <v>31172.958275152971</v>
      </c>
      <c r="AL25" s="1">
        <f t="shared" si="28"/>
        <v>36061.162120366826</v>
      </c>
      <c r="AM25" s="1">
        <f t="shared" si="28"/>
        <v>41740.356030254115</v>
      </c>
      <c r="AN25" s="1">
        <f t="shared" si="28"/>
        <v>48341.623315526966</v>
      </c>
      <c r="AO25" s="1">
        <f t="shared" si="28"/>
        <v>56018.192094352446</v>
      </c>
      <c r="AP25" s="1">
        <f t="shared" si="28"/>
        <v>64949.238758385742</v>
      </c>
      <c r="AQ25" s="1">
        <f t="shared" si="28"/>
        <v>75344.354552340417</v>
      </c>
      <c r="AR25" s="1">
        <f t="shared" si="28"/>
        <v>87448.792501635035</v>
      </c>
    </row>
    <row r="26" spans="2:44" x14ac:dyDescent="0.2">
      <c r="B26" s="1" t="s">
        <v>25</v>
      </c>
      <c r="C26" s="1">
        <v>555.36199999999997</v>
      </c>
      <c r="D26" s="1">
        <v>627.16800000000001</v>
      </c>
      <c r="E26" s="1">
        <v>558.73599999999999</v>
      </c>
      <c r="F26" s="1">
        <f t="shared" ref="F26:F36" si="29">+AG26-SUM(C26:E26)</f>
        <v>916.61699999999973</v>
      </c>
      <c r="G26" s="1">
        <v>654.34</v>
      </c>
      <c r="H26" s="1">
        <v>644.08399999999995</v>
      </c>
      <c r="I26" s="1">
        <v>642.92600000000004</v>
      </c>
      <c r="J26" s="1">
        <f t="shared" ref="J26:J36" si="30">+AH26-SUM(G26:I26)</f>
        <v>976.20400000000018</v>
      </c>
      <c r="K26" s="1">
        <v>688.37</v>
      </c>
      <c r="L26" s="1">
        <v>713.26499999999999</v>
      </c>
      <c r="M26" s="18">
        <f>+M$24*(L26/L$24)</f>
        <v>730.2514936404508</v>
      </c>
      <c r="N26" s="18">
        <f>+N$24*(M26/M$24)</f>
        <v>761.99318496613125</v>
      </c>
      <c r="AF26" s="1">
        <v>2530.502</v>
      </c>
      <c r="AG26" s="1">
        <v>2657.8829999999998</v>
      </c>
      <c r="AH26" s="1">
        <v>2917.5540000000001</v>
      </c>
      <c r="AI26" s="1">
        <f t="shared" ref="AI26:AI36" si="31">SUM(K26:N26)</f>
        <v>2893.8796786065818</v>
      </c>
      <c r="AJ26" s="1">
        <f>+AJ$24*(AI26/AI$24)</f>
        <v>3343.5950084916062</v>
      </c>
      <c r="AK26" s="1">
        <f t="shared" ref="AK26:AR26" si="32">+AK$24*(AJ26/AJ$24)</f>
        <v>3865.5772374483636</v>
      </c>
      <c r="AL26" s="1">
        <f t="shared" si="32"/>
        <v>4471.734963939386</v>
      </c>
      <c r="AM26" s="1">
        <f t="shared" si="32"/>
        <v>5175.9787675380348</v>
      </c>
      <c r="AN26" s="1">
        <f t="shared" si="32"/>
        <v>5994.5635271565234</v>
      </c>
      <c r="AO26" s="1">
        <f t="shared" si="32"/>
        <v>6946.4901704737576</v>
      </c>
      <c r="AP26" s="1">
        <f t="shared" si="32"/>
        <v>8053.9773196351507</v>
      </c>
      <c r="AQ26" s="1">
        <f t="shared" si="32"/>
        <v>9343.0151658051727</v>
      </c>
      <c r="AR26" s="1">
        <f t="shared" si="32"/>
        <v>10844.016110145925</v>
      </c>
    </row>
    <row r="27" spans="2:44" x14ac:dyDescent="0.2">
      <c r="B27" s="1" t="s">
        <v>26</v>
      </c>
      <c r="C27" s="1">
        <v>687.27499999999998</v>
      </c>
      <c r="D27" s="1">
        <v>657.98299999999995</v>
      </c>
      <c r="E27" s="1">
        <v>657.15899999999999</v>
      </c>
      <c r="F27" s="1">
        <f t="shared" si="29"/>
        <v>673.34099999999989</v>
      </c>
      <c r="G27" s="1">
        <v>702.47299999999996</v>
      </c>
      <c r="H27" s="1">
        <v>711.25400000000002</v>
      </c>
      <c r="I27" s="1">
        <v>735.06299999999999</v>
      </c>
      <c r="J27" s="1">
        <f t="shared" si="30"/>
        <v>776.50500000000011</v>
      </c>
      <c r="K27" s="1">
        <v>822.82299999999998</v>
      </c>
      <c r="L27" s="1">
        <v>824.67830000000004</v>
      </c>
      <c r="M27" s="18">
        <f>+M$24*(L27/L$24)</f>
        <v>844.31811507345492</v>
      </c>
      <c r="N27" s="18">
        <f>+N$24*(M27/M$24)</f>
        <v>881.01791674826984</v>
      </c>
      <c r="AF27" s="1">
        <v>2711.0410000000002</v>
      </c>
      <c r="AG27" s="1">
        <v>2675.7579999999998</v>
      </c>
      <c r="AH27" s="1">
        <v>2925.2950000000001</v>
      </c>
      <c r="AI27" s="1">
        <f t="shared" si="31"/>
        <v>3372.8373318217245</v>
      </c>
      <c r="AJ27" s="1">
        <f>+AJ$24*(AI27/AI$24)</f>
        <v>3896.9837448678563</v>
      </c>
      <c r="AK27" s="1">
        <f t="shared" ref="AK27:AR27" si="33">+AK$24*(AJ27/AJ$24)</f>
        <v>4505.3577423730276</v>
      </c>
      <c r="AL27" s="1">
        <f t="shared" si="33"/>
        <v>5211.8388804780943</v>
      </c>
      <c r="AM27" s="1">
        <f t="shared" si="33"/>
        <v>6032.6400385363895</v>
      </c>
      <c r="AN27" s="1">
        <f t="shared" si="33"/>
        <v>6986.7063934412918</v>
      </c>
      <c r="AO27" s="1">
        <f t="shared" si="33"/>
        <v>8096.1836614395506</v>
      </c>
      <c r="AP27" s="1">
        <f t="shared" si="33"/>
        <v>9386.9678045463443</v>
      </c>
      <c r="AQ27" s="1">
        <f t="shared" si="33"/>
        <v>10889.350575272587</v>
      </c>
      <c r="AR27" s="1">
        <f t="shared" si="33"/>
        <v>12638.777843309465</v>
      </c>
    </row>
    <row r="28" spans="2:44" x14ac:dyDescent="0.2">
      <c r="B28" s="1" t="s">
        <v>27</v>
      </c>
      <c r="C28" s="1">
        <v>400.92399999999998</v>
      </c>
      <c r="D28" s="1">
        <v>401.49700000000001</v>
      </c>
      <c r="E28" s="1">
        <v>478.59100000000001</v>
      </c>
      <c r="F28" s="1">
        <f t="shared" si="29"/>
        <v>439.27299999999991</v>
      </c>
      <c r="G28" s="1">
        <v>404.02</v>
      </c>
      <c r="H28" s="1">
        <v>426.99200000000002</v>
      </c>
      <c r="I28" s="1">
        <v>417.35300000000001</v>
      </c>
      <c r="J28" s="1">
        <f t="shared" si="30"/>
        <v>453.67399999999998</v>
      </c>
      <c r="K28" s="1">
        <v>421.46199999999999</v>
      </c>
      <c r="L28" s="1">
        <v>441.21300000000002</v>
      </c>
      <c r="M28" s="18">
        <f>+M$24*(L28/L$24)</f>
        <v>451.72054182328338</v>
      </c>
      <c r="N28" s="18">
        <f>+N$24*(M28/M$24)</f>
        <v>471.35538561188571</v>
      </c>
      <c r="AF28" s="1">
        <v>1572.8910000000001</v>
      </c>
      <c r="AG28" s="1">
        <v>1720.2850000000001</v>
      </c>
      <c r="AH28" s="1">
        <v>1702.039</v>
      </c>
      <c r="AI28" s="1">
        <f t="shared" si="31"/>
        <v>1785.7509274351692</v>
      </c>
      <c r="AJ28" s="1">
        <f>+AJ$24*(AI28/AI$24)</f>
        <v>2063.2605880340102</v>
      </c>
      <c r="AK28" s="1">
        <f t="shared" ref="AK28:AR28" si="34">+AK$24*(AJ28/AJ$24)</f>
        <v>2385.3645982162966</v>
      </c>
      <c r="AL28" s="1">
        <f t="shared" si="34"/>
        <v>2759.4114980426716</v>
      </c>
      <c r="AM28" s="1">
        <f t="shared" si="34"/>
        <v>3193.9852070720326</v>
      </c>
      <c r="AN28" s="1">
        <f t="shared" si="34"/>
        <v>3699.1162615797552</v>
      </c>
      <c r="AO28" s="1">
        <f t="shared" si="34"/>
        <v>4286.5297254914649</v>
      </c>
      <c r="AP28" s="1">
        <f t="shared" si="34"/>
        <v>4969.9362328033931</v>
      </c>
      <c r="AQ28" s="1">
        <f t="shared" si="34"/>
        <v>5765.373771659717</v>
      </c>
      <c r="AR28" s="1">
        <f t="shared" si="34"/>
        <v>6691.6091809108011</v>
      </c>
    </row>
    <row r="29" spans="2:44" x14ac:dyDescent="0.2">
      <c r="B29" s="1" t="s">
        <v>28</v>
      </c>
      <c r="C29" s="1">
        <f>+C24-SUM(C25:C28)</f>
        <v>1714.3170000000009</v>
      </c>
      <c r="D29" s="1">
        <f>+D24-SUM(D25:D28)</f>
        <v>1827.183</v>
      </c>
      <c r="E29" s="1">
        <f>+E24-SUM(E25:E28)</f>
        <v>1916.3940000000002</v>
      </c>
      <c r="F29" s="1">
        <f t="shared" si="29"/>
        <v>1496.1089999999995</v>
      </c>
      <c r="G29" s="1">
        <f>+G24-SUM(G25:G28)</f>
        <v>2632.5339999999978</v>
      </c>
      <c r="H29" s="1">
        <f>+H24-SUM(H25:H28)</f>
        <v>2602.8370000000014</v>
      </c>
      <c r="I29" s="1">
        <f>+I24-SUM(I25:I28)</f>
        <v>2909.476999999999</v>
      </c>
      <c r="J29" s="1">
        <f t="shared" si="30"/>
        <v>2272.7664999999943</v>
      </c>
      <c r="K29" s="1">
        <f>+K24-SUM(K25:K28)</f>
        <v>3346.9989999999998</v>
      </c>
      <c r="L29" s="1">
        <f>+L24-SUM(L25:L28)</f>
        <v>3774.6987000000008</v>
      </c>
      <c r="M29" s="1">
        <f t="shared" ref="M29:N29" si="35">+M24-SUM(M25:M28)</f>
        <v>3078.0678144628109</v>
      </c>
      <c r="N29" s="1">
        <f t="shared" si="35"/>
        <v>3211.8615544237109</v>
      </c>
      <c r="AD29" s="1">
        <v>4585</v>
      </c>
      <c r="AE29" s="1">
        <v>6195</v>
      </c>
      <c r="AF29" s="1">
        <f>+AF24-SUM(AF25:AF28)</f>
        <v>5632.8310000000019</v>
      </c>
      <c r="AG29" s="1">
        <f>+AG24-SUM(AG25:AG28)</f>
        <v>6954.0030000000006</v>
      </c>
      <c r="AH29" s="1">
        <f>+AH24-SUM(AH25:AH28)</f>
        <v>10417.614499999992</v>
      </c>
      <c r="AI29" s="1">
        <f>+AI24-SUM(AI25:AI28)</f>
        <v>13411.62706888653</v>
      </c>
      <c r="AJ29" s="1">
        <f t="shared" ref="AJ29:AR29" si="36">+AJ24-SUM(AJ25:AJ28)</f>
        <v>15495.823705038099</v>
      </c>
      <c r="AK29" s="1">
        <f t="shared" si="36"/>
        <v>17914.939829010822</v>
      </c>
      <c r="AL29" s="1">
        <f t="shared" si="36"/>
        <v>20724.165600462438</v>
      </c>
      <c r="AM29" s="1">
        <f t="shared" si="36"/>
        <v>23987.969320175864</v>
      </c>
      <c r="AN29" s="1">
        <f t="shared" si="36"/>
        <v>27781.683896990442</v>
      </c>
      <c r="AO29" s="1">
        <f t="shared" si="36"/>
        <v>32193.36874743145</v>
      </c>
      <c r="AP29" s="1">
        <f t="shared" si="36"/>
        <v>37325.99562820376</v>
      </c>
      <c r="AQ29" s="1">
        <f t="shared" si="36"/>
        <v>43300.015556647151</v>
      </c>
      <c r="AR29" s="1">
        <f t="shared" si="36"/>
        <v>50256.374193243202</v>
      </c>
    </row>
    <row r="30" spans="2:44" x14ac:dyDescent="0.2">
      <c r="B30" s="1" t="s">
        <v>29</v>
      </c>
      <c r="C30" s="1">
        <v>-174.239</v>
      </c>
      <c r="D30" s="1">
        <v>-174.81200000000001</v>
      </c>
      <c r="E30" s="1">
        <v>-175.56299999999999</v>
      </c>
      <c r="F30" s="1">
        <f t="shared" si="29"/>
        <v>-175.21199999999999</v>
      </c>
      <c r="G30" s="1">
        <v>-173.31399999999999</v>
      </c>
      <c r="H30" s="1">
        <v>-167.98599999999999</v>
      </c>
      <c r="I30" s="1">
        <v>-184.83</v>
      </c>
      <c r="J30" s="1">
        <f t="shared" si="30"/>
        <v>-192.64300000000003</v>
      </c>
      <c r="K30" s="1">
        <v>-184.172</v>
      </c>
      <c r="L30" s="1">
        <v>-182.649</v>
      </c>
      <c r="M30" s="1">
        <f>+M$29*(L30/L$29)</f>
        <v>-148.94063153803981</v>
      </c>
      <c r="N30" s="1">
        <f>+N$29*(M30/M$29)</f>
        <v>-155.41460330434751</v>
      </c>
      <c r="AF30" s="1">
        <v>-706.21199999999999</v>
      </c>
      <c r="AG30" s="1">
        <v>-699.82600000000002</v>
      </c>
      <c r="AH30" s="1">
        <v>-718.77300000000002</v>
      </c>
      <c r="AI30" s="1">
        <f t="shared" si="31"/>
        <v>-671.17623484238743</v>
      </c>
      <c r="AJ30" s="1">
        <f>+AJ$29*(AI30/AI$29)</f>
        <v>-775.47851254056366</v>
      </c>
      <c r="AK30" s="1">
        <f t="shared" ref="AK30:AR30" si="37">+AK$29*(AJ30/AJ$29)</f>
        <v>-896.5416202004252</v>
      </c>
      <c r="AL30" s="1">
        <f t="shared" si="37"/>
        <v>-1037.1275138001072</v>
      </c>
      <c r="AM30" s="1">
        <f t="shared" si="37"/>
        <v>-1200.4624679119579</v>
      </c>
      <c r="AN30" s="1">
        <f t="shared" si="37"/>
        <v>-1390.3164694178681</v>
      </c>
      <c r="AO30" s="1">
        <f t="shared" si="37"/>
        <v>-1611.0963950765099</v>
      </c>
      <c r="AP30" s="1">
        <f t="shared" si="37"/>
        <v>-1867.9554001020347</v>
      </c>
      <c r="AQ30" s="1">
        <f t="shared" si="37"/>
        <v>-2166.9213780442556</v>
      </c>
      <c r="AR30" s="1">
        <f t="shared" si="37"/>
        <v>-2515.0478636632365</v>
      </c>
    </row>
    <row r="31" spans="2:44" x14ac:dyDescent="0.2">
      <c r="B31" s="1" t="s">
        <v>30</v>
      </c>
      <c r="C31" s="1">
        <v>-71.203999999999994</v>
      </c>
      <c r="D31" s="1">
        <v>26.960999999999999</v>
      </c>
      <c r="E31" s="1">
        <v>168.21799999999999</v>
      </c>
      <c r="F31" s="1">
        <f t="shared" si="29"/>
        <v>-172.74699999999999</v>
      </c>
      <c r="G31" s="1">
        <v>155.35900000000001</v>
      </c>
      <c r="H31" s="1">
        <v>79.004999999999995</v>
      </c>
      <c r="I31" s="1">
        <v>-21.693000000000001</v>
      </c>
      <c r="J31" s="1">
        <f t="shared" si="30"/>
        <v>54.105000000000018</v>
      </c>
      <c r="K31" s="1">
        <v>50.899000000000001</v>
      </c>
      <c r="L31" s="1">
        <v>39.630000000000003</v>
      </c>
      <c r="M31" s="1">
        <f>+M$29*(L31/L$29)</f>
        <v>32.31617598701618</v>
      </c>
      <c r="N31" s="1">
        <f>+N$29*(M31/M$29)</f>
        <v>33.720856555203106</v>
      </c>
      <c r="AF31" s="1">
        <v>337.31</v>
      </c>
      <c r="AG31" s="1">
        <v>-48.771999999999998</v>
      </c>
      <c r="AH31" s="1">
        <v>266.77600000000001</v>
      </c>
      <c r="AI31" s="1">
        <f t="shared" si="31"/>
        <v>156.56603254221929</v>
      </c>
      <c r="AJ31" s="1">
        <f>+AI31</f>
        <v>156.56603254221929</v>
      </c>
      <c r="AK31" s="1">
        <f t="shared" ref="AK31:AR31" si="38">+AJ31</f>
        <v>156.56603254221929</v>
      </c>
      <c r="AL31" s="1">
        <f t="shared" si="38"/>
        <v>156.56603254221929</v>
      </c>
      <c r="AM31" s="1">
        <f t="shared" si="38"/>
        <v>156.56603254221929</v>
      </c>
      <c r="AN31" s="1">
        <f t="shared" si="38"/>
        <v>156.56603254221929</v>
      </c>
      <c r="AO31" s="1">
        <f t="shared" si="38"/>
        <v>156.56603254221929</v>
      </c>
      <c r="AP31" s="1">
        <f t="shared" si="38"/>
        <v>156.56603254221929</v>
      </c>
      <c r="AQ31" s="1">
        <f t="shared" si="38"/>
        <v>156.56603254221929</v>
      </c>
      <c r="AR31" s="1">
        <f t="shared" si="38"/>
        <v>156.56603254221929</v>
      </c>
    </row>
    <row r="32" spans="2:44" x14ac:dyDescent="0.2">
      <c r="B32" s="1" t="s">
        <v>31</v>
      </c>
      <c r="C32" s="1">
        <f>+SUM(C29:C31)</f>
        <v>1468.8740000000009</v>
      </c>
      <c r="D32" s="1">
        <f>+SUM(D29:D31)</f>
        <v>1679.3320000000001</v>
      </c>
      <c r="E32" s="1">
        <f>+SUM(E29:E31)</f>
        <v>1909.0490000000002</v>
      </c>
      <c r="F32" s="1">
        <f t="shared" si="29"/>
        <v>1148.1499999999996</v>
      </c>
      <c r="G32" s="1">
        <f>+SUM(G29:G31)</f>
        <v>2614.5789999999979</v>
      </c>
      <c r="H32" s="1">
        <f>+SUM(H29:H31)</f>
        <v>2513.8560000000016</v>
      </c>
      <c r="I32" s="1">
        <f>+SUM(I29:I31)</f>
        <v>2702.9539999999988</v>
      </c>
      <c r="J32" s="1">
        <f t="shared" si="30"/>
        <v>2134.2284999999947</v>
      </c>
      <c r="K32" s="1">
        <f>+SUM(K29:K31)</f>
        <v>3213.7259999999997</v>
      </c>
      <c r="L32" s="1">
        <f>+SUM(L29:L31)</f>
        <v>3631.679700000001</v>
      </c>
      <c r="M32" s="1">
        <f>+SUM(M29:M31)</f>
        <v>2961.4433589117875</v>
      </c>
      <c r="N32" s="1">
        <f>+SUM(N29:N31)</f>
        <v>3090.1678076745666</v>
      </c>
      <c r="AF32" s="1">
        <f>+SUM(AF29:AF31)</f>
        <v>5263.9290000000028</v>
      </c>
      <c r="AG32" s="1">
        <f>+SUM(AG29:AG31)</f>
        <v>6205.4050000000007</v>
      </c>
      <c r="AH32" s="1">
        <f>+SUM(AH29:AH31)</f>
        <v>9965.617499999993</v>
      </c>
      <c r="AI32" s="1">
        <f t="shared" si="31"/>
        <v>12897.016866586355</v>
      </c>
      <c r="AJ32" s="1">
        <f t="shared" ref="AJ32:AR32" si="39">+SUM(AJ29:AJ31)</f>
        <v>14876.911225039756</v>
      </c>
      <c r="AK32" s="1">
        <f t="shared" si="39"/>
        <v>17174.964241352616</v>
      </c>
      <c r="AL32" s="1">
        <f t="shared" si="39"/>
        <v>19843.604119204549</v>
      </c>
      <c r="AM32" s="1">
        <f t="shared" si="39"/>
        <v>22944.072884806123</v>
      </c>
      <c r="AN32" s="1">
        <f t="shared" si="39"/>
        <v>26547.933460114793</v>
      </c>
      <c r="AO32" s="1">
        <f t="shared" si="39"/>
        <v>30738.838384897157</v>
      </c>
      <c r="AP32" s="1">
        <f t="shared" si="39"/>
        <v>35614.606260643945</v>
      </c>
      <c r="AQ32" s="1">
        <f t="shared" si="39"/>
        <v>41289.660211145114</v>
      </c>
      <c r="AR32" s="1">
        <f t="shared" si="39"/>
        <v>47897.892362122184</v>
      </c>
    </row>
    <row r="33" spans="2:245" x14ac:dyDescent="0.2">
      <c r="B33" s="1" t="s">
        <v>32</v>
      </c>
      <c r="C33" s="1">
        <v>-163.75399999999999</v>
      </c>
      <c r="D33" s="1">
        <v>-191.72200000000001</v>
      </c>
      <c r="E33" s="1">
        <v>-231.62700000000001</v>
      </c>
      <c r="F33" s="1">
        <f t="shared" si="29"/>
        <v>-210.3119999999999</v>
      </c>
      <c r="G33" s="1">
        <v>-282.37</v>
      </c>
      <c r="H33" s="1">
        <v>-366.55</v>
      </c>
      <c r="I33" s="1">
        <v>-339.44499999999999</v>
      </c>
      <c r="J33" s="1">
        <f t="shared" si="30"/>
        <v>-265.66100000000006</v>
      </c>
      <c r="K33" s="1">
        <v>-323.375</v>
      </c>
      <c r="L33" s="1">
        <v>-506.262</v>
      </c>
      <c r="M33" s="1">
        <f>+M32*(L33/L32)</f>
        <v>-412.82997445215199</v>
      </c>
      <c r="N33" s="1">
        <f>+N32*(M33/M32)</f>
        <v>-430.77436995584748</v>
      </c>
      <c r="O33" s="5"/>
      <c r="P33" s="5"/>
      <c r="AF33" s="1">
        <v>-772.005</v>
      </c>
      <c r="AG33" s="1">
        <v>-797.41499999999996</v>
      </c>
      <c r="AH33" s="1">
        <v>-1254.0260000000001</v>
      </c>
      <c r="AI33" s="1">
        <f t="shared" si="31"/>
        <v>-1673.2413444079996</v>
      </c>
      <c r="AJ33" s="1">
        <f>+AJ32*(AI33/AI32)</f>
        <v>-1930.1101329343837</v>
      </c>
      <c r="AK33" s="1">
        <f t="shared" ref="AK33:AR33" si="40">+AK32*(AJ33/AJ32)</f>
        <v>-2228.2563909654436</v>
      </c>
      <c r="AL33" s="1">
        <f t="shared" si="40"/>
        <v>-2574.4820820030691</v>
      </c>
      <c r="AM33" s="1">
        <f t="shared" si="40"/>
        <v>-2976.7326628401652</v>
      </c>
      <c r="AN33" s="1">
        <f t="shared" si="40"/>
        <v>-3444.2926091802642</v>
      </c>
      <c r="AO33" s="1">
        <f t="shared" si="40"/>
        <v>-3988.0148872209088</v>
      </c>
      <c r="AP33" s="1">
        <f t="shared" si="40"/>
        <v>-4620.5903486497091</v>
      </c>
      <c r="AQ33" s="1">
        <f t="shared" si="40"/>
        <v>-5356.8640931871842</v>
      </c>
      <c r="AR33" s="1">
        <f t="shared" si="40"/>
        <v>-6214.2071022599248</v>
      </c>
    </row>
    <row r="34" spans="2:245" x14ac:dyDescent="0.2">
      <c r="B34" s="1" t="s">
        <v>33</v>
      </c>
      <c r="C34" s="1">
        <f>SUM(C32:C33)</f>
        <v>1305.120000000001</v>
      </c>
      <c r="D34" s="1">
        <f>SUM(D32:D33)</f>
        <v>1487.6100000000001</v>
      </c>
      <c r="E34" s="1">
        <f>SUM(E32:E33)</f>
        <v>1677.4220000000003</v>
      </c>
      <c r="F34" s="1">
        <f t="shared" si="29"/>
        <v>937.83799999999883</v>
      </c>
      <c r="G34" s="1">
        <f>SUM(G32:G33)</f>
        <v>2332.208999999998</v>
      </c>
      <c r="H34" s="1">
        <f>SUM(H32:H33)</f>
        <v>2147.3060000000014</v>
      </c>
      <c r="I34" s="1">
        <f>SUM(I32:I33)</f>
        <v>2363.5089999999987</v>
      </c>
      <c r="J34" s="1">
        <f t="shared" si="30"/>
        <v>1868.5674999999956</v>
      </c>
      <c r="K34" s="1">
        <f>SUM(K32:K33)</f>
        <v>2890.3509999999997</v>
      </c>
      <c r="L34" s="1">
        <f>SUM(L32:L33)</f>
        <v>3125.4177000000009</v>
      </c>
      <c r="M34" s="1">
        <f>SUM(M32:M33)</f>
        <v>2548.6133844596357</v>
      </c>
      <c r="N34" s="1">
        <f>SUM(N32:N33)</f>
        <v>2659.3934377187193</v>
      </c>
      <c r="O34" s="10"/>
      <c r="P34" s="10"/>
      <c r="AF34" s="1">
        <f>SUM(AF32:AF33)</f>
        <v>4491.9240000000027</v>
      </c>
      <c r="AG34" s="1">
        <f>SUM(AG32:AG33)</f>
        <v>5407.9900000000007</v>
      </c>
      <c r="AH34" s="1">
        <f>SUM(AH32:AH33)</f>
        <v>8711.5914999999932</v>
      </c>
      <c r="AI34" s="1">
        <f>SUM(AI32:AI33)</f>
        <v>11223.775522178355</v>
      </c>
      <c r="AJ34" s="1">
        <f>SUM(AJ32:AJ33)</f>
        <v>12946.801092105372</v>
      </c>
      <c r="AK34" s="1">
        <f t="shared" ref="AK34:AR34" si="41">SUM(AK32:AK33)</f>
        <v>14946.707850387173</v>
      </c>
      <c r="AL34" s="1">
        <f t="shared" si="41"/>
        <v>17269.12203720148</v>
      </c>
      <c r="AM34" s="1">
        <f t="shared" si="41"/>
        <v>19967.340221965958</v>
      </c>
      <c r="AN34" s="1">
        <f t="shared" si="41"/>
        <v>23103.640850934527</v>
      </c>
      <c r="AO34" s="1">
        <f t="shared" si="41"/>
        <v>26750.823497676247</v>
      </c>
      <c r="AP34" s="1">
        <f t="shared" si="41"/>
        <v>30994.015911994236</v>
      </c>
      <c r="AQ34" s="1">
        <f t="shared" si="41"/>
        <v>35932.796117957929</v>
      </c>
      <c r="AR34" s="1">
        <f t="shared" si="41"/>
        <v>41683.685259862257</v>
      </c>
      <c r="AS34" s="1">
        <f t="shared" ref="AS34:DD34" si="42">+AR34*(1+$AV$36)</f>
        <v>42100.52211246088</v>
      </c>
      <c r="AT34" s="1">
        <f t="shared" si="42"/>
        <v>42521.527333585487</v>
      </c>
      <c r="AU34" s="1">
        <f t="shared" si="42"/>
        <v>42946.74260692134</v>
      </c>
      <c r="AV34" s="1">
        <f t="shared" si="42"/>
        <v>43376.210032990552</v>
      </c>
      <c r="AW34" s="1">
        <f t="shared" si="42"/>
        <v>43809.972133320458</v>
      </c>
      <c r="AX34" s="1">
        <f t="shared" si="42"/>
        <v>44248.071854653666</v>
      </c>
      <c r="AY34" s="1">
        <f t="shared" si="42"/>
        <v>44690.552573200206</v>
      </c>
      <c r="AZ34" s="1">
        <f t="shared" si="42"/>
        <v>45137.458098932206</v>
      </c>
      <c r="BA34" s="1">
        <f t="shared" si="42"/>
        <v>45588.832679921528</v>
      </c>
      <c r="BB34" s="1">
        <f t="shared" si="42"/>
        <v>46044.721006720742</v>
      </c>
      <c r="BC34" s="1">
        <f t="shared" si="42"/>
        <v>46505.168216787948</v>
      </c>
      <c r="BD34" s="1">
        <f t="shared" si="42"/>
        <v>46970.219898955831</v>
      </c>
      <c r="BE34" s="1">
        <f t="shared" si="42"/>
        <v>47439.922097945389</v>
      </c>
      <c r="BF34" s="1">
        <f t="shared" si="42"/>
        <v>47914.321318924842</v>
      </c>
      <c r="BG34" s="1">
        <f t="shared" si="42"/>
        <v>48393.464532114092</v>
      </c>
      <c r="BH34" s="1">
        <f t="shared" si="42"/>
        <v>48877.399177435233</v>
      </c>
      <c r="BI34" s="1">
        <f t="shared" si="42"/>
        <v>49366.173169209585</v>
      </c>
      <c r="BJ34" s="1">
        <f t="shared" si="42"/>
        <v>49859.834900901682</v>
      </c>
      <c r="BK34" s="1">
        <f t="shared" si="42"/>
        <v>50358.433249910697</v>
      </c>
      <c r="BL34" s="1">
        <f t="shared" si="42"/>
        <v>50862.017582409804</v>
      </c>
      <c r="BM34" s="1">
        <f t="shared" si="42"/>
        <v>51370.637758233905</v>
      </c>
      <c r="BN34" s="1">
        <f t="shared" si="42"/>
        <v>51884.344135816245</v>
      </c>
      <c r="BO34" s="1">
        <f t="shared" si="42"/>
        <v>52403.187577174409</v>
      </c>
      <c r="BP34" s="1">
        <f t="shared" si="42"/>
        <v>52927.219452946156</v>
      </c>
      <c r="BQ34" s="1">
        <f t="shared" si="42"/>
        <v>53456.491647475617</v>
      </c>
      <c r="BR34" s="1">
        <f t="shared" si="42"/>
        <v>53991.056563950377</v>
      </c>
      <c r="BS34" s="1">
        <f t="shared" si="42"/>
        <v>54530.967129589881</v>
      </c>
      <c r="BT34" s="1">
        <f t="shared" si="42"/>
        <v>55076.276800885782</v>
      </c>
      <c r="BU34" s="1">
        <f t="shared" si="42"/>
        <v>55627.039568894637</v>
      </c>
      <c r="BV34" s="1">
        <f t="shared" si="42"/>
        <v>56183.309964583583</v>
      </c>
      <c r="BW34" s="1">
        <f t="shared" si="42"/>
        <v>56745.143064229422</v>
      </c>
      <c r="BX34" s="1">
        <f t="shared" si="42"/>
        <v>57312.594494871715</v>
      </c>
      <c r="BY34" s="1">
        <f t="shared" si="42"/>
        <v>57885.720439820434</v>
      </c>
      <c r="BZ34" s="1">
        <f t="shared" si="42"/>
        <v>58464.57764421864</v>
      </c>
      <c r="CA34" s="1">
        <f t="shared" si="42"/>
        <v>59049.223420660826</v>
      </c>
      <c r="CB34" s="1">
        <f t="shared" si="42"/>
        <v>59639.715654867432</v>
      </c>
      <c r="CC34" s="1">
        <f t="shared" si="42"/>
        <v>60236.112811416104</v>
      </c>
      <c r="CD34" s="1">
        <f t="shared" si="42"/>
        <v>60838.473939530268</v>
      </c>
      <c r="CE34" s="1">
        <f t="shared" si="42"/>
        <v>61446.858678925571</v>
      </c>
      <c r="CF34" s="1">
        <f t="shared" si="42"/>
        <v>62061.327265714826</v>
      </c>
      <c r="CG34" s="1">
        <f t="shared" si="42"/>
        <v>62681.940538371979</v>
      </c>
      <c r="CH34" s="1">
        <f t="shared" si="42"/>
        <v>63308.7599437557</v>
      </c>
      <c r="CI34" s="1">
        <f t="shared" si="42"/>
        <v>63941.84754319326</v>
      </c>
      <c r="CJ34" s="1">
        <f t="shared" si="42"/>
        <v>64581.266018625196</v>
      </c>
      <c r="CK34" s="1">
        <f t="shared" si="42"/>
        <v>65227.078678811449</v>
      </c>
      <c r="CL34" s="1">
        <f t="shared" si="42"/>
        <v>65879.34946559956</v>
      </c>
      <c r="CM34" s="1">
        <f t="shared" si="42"/>
        <v>66538.142960255558</v>
      </c>
      <c r="CN34" s="1">
        <f t="shared" si="42"/>
        <v>67203.52438985811</v>
      </c>
      <c r="CO34" s="1">
        <f t="shared" si="42"/>
        <v>67875.559633756697</v>
      </c>
      <c r="CP34" s="1">
        <f t="shared" si="42"/>
        <v>68554.31523009426</v>
      </c>
      <c r="CQ34" s="1">
        <f t="shared" si="42"/>
        <v>69239.858382395207</v>
      </c>
      <c r="CR34" s="1">
        <f t="shared" si="42"/>
        <v>69932.256966219153</v>
      </c>
      <c r="CS34" s="1">
        <f t="shared" si="42"/>
        <v>70631.579535881348</v>
      </c>
      <c r="CT34" s="1">
        <f t="shared" si="42"/>
        <v>71337.895331240157</v>
      </c>
      <c r="CU34" s="1">
        <f t="shared" si="42"/>
        <v>72051.274284552564</v>
      </c>
      <c r="CV34" s="1">
        <f t="shared" si="42"/>
        <v>72771.787027398095</v>
      </c>
      <c r="CW34" s="1">
        <f t="shared" si="42"/>
        <v>73499.504897672072</v>
      </c>
      <c r="CX34" s="1">
        <f t="shared" si="42"/>
        <v>74234.499946648793</v>
      </c>
      <c r="CY34" s="1">
        <f t="shared" si="42"/>
        <v>74976.844946115278</v>
      </c>
      <c r="CZ34" s="1">
        <f t="shared" si="42"/>
        <v>75726.613395576438</v>
      </c>
      <c r="DA34" s="1">
        <f t="shared" si="42"/>
        <v>76483.879529532205</v>
      </c>
      <c r="DB34" s="1">
        <f t="shared" si="42"/>
        <v>77248.718324827525</v>
      </c>
      <c r="DC34" s="1">
        <f t="shared" si="42"/>
        <v>78021.2055080758</v>
      </c>
      <c r="DD34" s="1">
        <f t="shared" si="42"/>
        <v>78801.417563156559</v>
      </c>
      <c r="DE34" s="1">
        <f t="shared" ref="DE34:FP34" si="43">+DD34*(1+$AV$36)</f>
        <v>79589.431738788131</v>
      </c>
      <c r="DF34" s="1">
        <f t="shared" si="43"/>
        <v>80385.326056176011</v>
      </c>
      <c r="DG34" s="1">
        <f t="shared" si="43"/>
        <v>81189.179316737776</v>
      </c>
      <c r="DH34" s="1">
        <f t="shared" si="43"/>
        <v>82001.071109905155</v>
      </c>
      <c r="DI34" s="1">
        <f t="shared" si="43"/>
        <v>82821.081821004205</v>
      </c>
      <c r="DJ34" s="1">
        <f t="shared" si="43"/>
        <v>83649.292639214254</v>
      </c>
      <c r="DK34" s="1">
        <f t="shared" si="43"/>
        <v>84485.785565606391</v>
      </c>
      <c r="DL34" s="1">
        <f t="shared" si="43"/>
        <v>85330.643421262459</v>
      </c>
      <c r="DM34" s="1">
        <f t="shared" si="43"/>
        <v>86183.94985547509</v>
      </c>
      <c r="DN34" s="1">
        <f t="shared" si="43"/>
        <v>87045.789354029839</v>
      </c>
      <c r="DO34" s="1">
        <f t="shared" si="43"/>
        <v>87916.247247570136</v>
      </c>
      <c r="DP34" s="1">
        <f t="shared" si="43"/>
        <v>88795.409720045835</v>
      </c>
      <c r="DQ34" s="1">
        <f t="shared" si="43"/>
        <v>89683.363817246296</v>
      </c>
      <c r="DR34" s="1">
        <f t="shared" si="43"/>
        <v>90580.197455418762</v>
      </c>
      <c r="DS34" s="1">
        <f t="shared" si="43"/>
        <v>91485.999429972944</v>
      </c>
      <c r="DT34" s="1">
        <f t="shared" si="43"/>
        <v>92400.859424272669</v>
      </c>
      <c r="DU34" s="1">
        <f t="shared" si="43"/>
        <v>93324.868018515393</v>
      </c>
      <c r="DV34" s="1">
        <f t="shared" si="43"/>
        <v>94258.116698700542</v>
      </c>
      <c r="DW34" s="1">
        <f t="shared" si="43"/>
        <v>95200.697865687544</v>
      </c>
      <c r="DX34" s="1">
        <f t="shared" si="43"/>
        <v>96152.704844344422</v>
      </c>
      <c r="DY34" s="1">
        <f t="shared" si="43"/>
        <v>97114.231892787866</v>
      </c>
      <c r="DZ34" s="1">
        <f t="shared" si="43"/>
        <v>98085.374211715753</v>
      </c>
      <c r="EA34" s="1">
        <f t="shared" si="43"/>
        <v>99066.227953832917</v>
      </c>
      <c r="EB34" s="1">
        <f t="shared" si="43"/>
        <v>100056.89023337125</v>
      </c>
      <c r="EC34" s="1">
        <f t="shared" si="43"/>
        <v>101057.45913570496</v>
      </c>
      <c r="ED34" s="1">
        <f t="shared" si="43"/>
        <v>102068.03372706202</v>
      </c>
      <c r="EE34" s="1">
        <f t="shared" si="43"/>
        <v>103088.71406433264</v>
      </c>
      <c r="EF34" s="1">
        <f t="shared" si="43"/>
        <v>104119.60120497597</v>
      </c>
      <c r="EG34" s="1">
        <f t="shared" si="43"/>
        <v>105160.79721702574</v>
      </c>
      <c r="EH34" s="1">
        <f t="shared" si="43"/>
        <v>106212.405189196</v>
      </c>
      <c r="EI34" s="1">
        <f t="shared" si="43"/>
        <v>107274.52924108796</v>
      </c>
      <c r="EJ34" s="1">
        <f t="shared" si="43"/>
        <v>108347.27453349884</v>
      </c>
      <c r="EK34" s="1">
        <f t="shared" si="43"/>
        <v>109430.74727883383</v>
      </c>
      <c r="EL34" s="1">
        <f t="shared" si="43"/>
        <v>110525.05475162217</v>
      </c>
      <c r="EM34" s="1">
        <f t="shared" si="43"/>
        <v>111630.30529913839</v>
      </c>
      <c r="EN34" s="1">
        <f t="shared" si="43"/>
        <v>112746.60835212977</v>
      </c>
      <c r="EO34" s="1">
        <f t="shared" si="43"/>
        <v>113874.07443565107</v>
      </c>
      <c r="EP34" s="1">
        <f t="shared" si="43"/>
        <v>115012.81518000759</v>
      </c>
      <c r="EQ34" s="1">
        <f t="shared" si="43"/>
        <v>116162.94333180766</v>
      </c>
      <c r="ER34" s="1">
        <f t="shared" si="43"/>
        <v>117324.57276512575</v>
      </c>
      <c r="ES34" s="1">
        <f t="shared" si="43"/>
        <v>118497.81849277701</v>
      </c>
      <c r="ET34" s="1">
        <f t="shared" si="43"/>
        <v>119682.79667770477</v>
      </c>
      <c r="EU34" s="1">
        <f t="shared" si="43"/>
        <v>120879.62464448182</v>
      </c>
      <c r="EV34" s="1">
        <f t="shared" si="43"/>
        <v>122088.42089092665</v>
      </c>
      <c r="EW34" s="1">
        <f t="shared" si="43"/>
        <v>123309.30509983591</v>
      </c>
      <c r="EX34" s="1">
        <f t="shared" si="43"/>
        <v>124542.39815083427</v>
      </c>
      <c r="EY34" s="1">
        <f t="shared" si="43"/>
        <v>125787.82213234261</v>
      </c>
      <c r="EZ34" s="1">
        <f t="shared" si="43"/>
        <v>127045.70035366603</v>
      </c>
      <c r="FA34" s="1">
        <f t="shared" si="43"/>
        <v>128316.1573572027</v>
      </c>
      <c r="FB34" s="1">
        <f t="shared" si="43"/>
        <v>129599.31893077472</v>
      </c>
      <c r="FC34" s="1">
        <f t="shared" si="43"/>
        <v>130895.31212008247</v>
      </c>
      <c r="FD34" s="1">
        <f t="shared" si="43"/>
        <v>132204.26524128328</v>
      </c>
      <c r="FE34" s="1">
        <f t="shared" si="43"/>
        <v>133526.30789369612</v>
      </c>
      <c r="FF34" s="1">
        <f t="shared" si="43"/>
        <v>134861.57097263308</v>
      </c>
      <c r="FG34" s="1">
        <f t="shared" si="43"/>
        <v>136210.1866823594</v>
      </c>
      <c r="FH34" s="1">
        <f t="shared" si="43"/>
        <v>137572.28854918299</v>
      </c>
      <c r="FI34" s="1">
        <f t="shared" si="43"/>
        <v>138948.01143467482</v>
      </c>
      <c r="FJ34" s="1">
        <f t="shared" si="43"/>
        <v>140337.49154902156</v>
      </c>
      <c r="FK34" s="1">
        <f t="shared" si="43"/>
        <v>141740.86646451178</v>
      </c>
      <c r="FL34" s="1">
        <f t="shared" si="43"/>
        <v>143158.27512915691</v>
      </c>
      <c r="FM34" s="1">
        <f t="shared" si="43"/>
        <v>144589.85788044849</v>
      </c>
      <c r="FN34" s="1">
        <f t="shared" si="43"/>
        <v>146035.75645925297</v>
      </c>
      <c r="FO34" s="1">
        <f t="shared" si="43"/>
        <v>147496.1140238455</v>
      </c>
      <c r="FP34" s="1">
        <f t="shared" si="43"/>
        <v>148971.07516408394</v>
      </c>
      <c r="FQ34" s="1">
        <f t="shared" ref="FQ34:IB34" si="44">+FP34*(1+$AV$36)</f>
        <v>150460.78591572479</v>
      </c>
      <c r="FR34" s="1">
        <f t="shared" si="44"/>
        <v>151965.39377488205</v>
      </c>
      <c r="FS34" s="1">
        <f t="shared" si="44"/>
        <v>153485.04771263085</v>
      </c>
      <c r="FT34" s="1">
        <f t="shared" si="44"/>
        <v>155019.89818975716</v>
      </c>
      <c r="FU34" s="1">
        <f t="shared" si="44"/>
        <v>156570.09717165475</v>
      </c>
      <c r="FV34" s="1">
        <f t="shared" si="44"/>
        <v>158135.7981433713</v>
      </c>
      <c r="FW34" s="1">
        <f t="shared" si="44"/>
        <v>159717.15612480501</v>
      </c>
      <c r="FX34" s="1">
        <f t="shared" si="44"/>
        <v>161314.32768605306</v>
      </c>
      <c r="FY34" s="1">
        <f t="shared" si="44"/>
        <v>162927.47096291359</v>
      </c>
      <c r="FZ34" s="1">
        <f t="shared" si="44"/>
        <v>164556.74567254272</v>
      </c>
      <c r="GA34" s="1">
        <f t="shared" si="44"/>
        <v>166202.31312926815</v>
      </c>
      <c r="GB34" s="1">
        <f t="shared" si="44"/>
        <v>167864.33626056084</v>
      </c>
      <c r="GC34" s="1">
        <f t="shared" si="44"/>
        <v>169542.97962316647</v>
      </c>
      <c r="GD34" s="1">
        <f t="shared" si="44"/>
        <v>171238.40941939814</v>
      </c>
      <c r="GE34" s="1">
        <f t="shared" si="44"/>
        <v>172950.79351359213</v>
      </c>
      <c r="GF34" s="1">
        <f t="shared" si="44"/>
        <v>174680.30144872805</v>
      </c>
      <c r="GG34" s="1">
        <f t="shared" si="44"/>
        <v>176427.10446321534</v>
      </c>
      <c r="GH34" s="1">
        <f t="shared" si="44"/>
        <v>178191.37550784749</v>
      </c>
      <c r="GI34" s="1">
        <f t="shared" si="44"/>
        <v>179973.28926292597</v>
      </c>
      <c r="GJ34" s="1">
        <f t="shared" si="44"/>
        <v>181773.02215555523</v>
      </c>
      <c r="GK34" s="1">
        <f t="shared" si="44"/>
        <v>183590.7523771108</v>
      </c>
      <c r="GL34" s="1">
        <f t="shared" si="44"/>
        <v>185426.6599008819</v>
      </c>
      <c r="GM34" s="1">
        <f t="shared" si="44"/>
        <v>187280.92649989072</v>
      </c>
      <c r="GN34" s="1">
        <f t="shared" si="44"/>
        <v>189153.73576488963</v>
      </c>
      <c r="GO34" s="1">
        <f t="shared" si="44"/>
        <v>191045.27312253852</v>
      </c>
      <c r="GP34" s="1">
        <f t="shared" si="44"/>
        <v>192955.7258537639</v>
      </c>
      <c r="GQ34" s="1">
        <f t="shared" si="44"/>
        <v>194885.28311230155</v>
      </c>
      <c r="GR34" s="1">
        <f t="shared" si="44"/>
        <v>196834.13594342457</v>
      </c>
      <c r="GS34" s="1">
        <f t="shared" si="44"/>
        <v>198802.47730285881</v>
      </c>
      <c r="GT34" s="1">
        <f t="shared" si="44"/>
        <v>200790.5020758874</v>
      </c>
      <c r="GU34" s="1">
        <f t="shared" si="44"/>
        <v>202798.40709664629</v>
      </c>
      <c r="GV34" s="1">
        <f t="shared" si="44"/>
        <v>204826.39116761275</v>
      </c>
      <c r="GW34" s="1">
        <f t="shared" si="44"/>
        <v>206874.65507928887</v>
      </c>
      <c r="GX34" s="1">
        <f t="shared" si="44"/>
        <v>208943.40163008176</v>
      </c>
      <c r="GY34" s="1">
        <f t="shared" si="44"/>
        <v>211032.83564638259</v>
      </c>
      <c r="GZ34" s="1">
        <f t="shared" si="44"/>
        <v>213143.16400284643</v>
      </c>
      <c r="HA34" s="1">
        <f t="shared" si="44"/>
        <v>215274.59564287489</v>
      </c>
      <c r="HB34" s="1">
        <f t="shared" si="44"/>
        <v>217427.34159930365</v>
      </c>
      <c r="HC34" s="1">
        <f t="shared" si="44"/>
        <v>219601.61501529667</v>
      </c>
      <c r="HD34" s="1">
        <f t="shared" si="44"/>
        <v>221797.63116544965</v>
      </c>
      <c r="HE34" s="1">
        <f t="shared" si="44"/>
        <v>224015.60747710415</v>
      </c>
      <c r="HF34" s="1">
        <f t="shared" si="44"/>
        <v>226255.76355187519</v>
      </c>
      <c r="HG34" s="1">
        <f t="shared" si="44"/>
        <v>228518.32118739394</v>
      </c>
      <c r="HH34" s="1">
        <f t="shared" si="44"/>
        <v>230803.5043992679</v>
      </c>
      <c r="HI34" s="1">
        <f t="shared" si="44"/>
        <v>233111.53944326058</v>
      </c>
      <c r="HJ34" s="1">
        <f t="shared" si="44"/>
        <v>235442.6548376932</v>
      </c>
      <c r="HK34" s="1">
        <f t="shared" si="44"/>
        <v>237797.08138607015</v>
      </c>
      <c r="HL34" s="1">
        <f t="shared" si="44"/>
        <v>240175.05219993085</v>
      </c>
      <c r="HM34" s="1">
        <f t="shared" si="44"/>
        <v>242576.80272193017</v>
      </c>
      <c r="HN34" s="1">
        <f t="shared" si="44"/>
        <v>245002.57074914948</v>
      </c>
      <c r="HO34" s="1">
        <f t="shared" si="44"/>
        <v>247452.59645664098</v>
      </c>
      <c r="HP34" s="1">
        <f t="shared" si="44"/>
        <v>249927.1224212074</v>
      </c>
      <c r="HQ34" s="1">
        <f t="shared" si="44"/>
        <v>252426.39364541948</v>
      </c>
      <c r="HR34" s="1">
        <f t="shared" si="44"/>
        <v>254950.65758187367</v>
      </c>
      <c r="HS34" s="1">
        <f t="shared" si="44"/>
        <v>257500.1641576924</v>
      </c>
      <c r="HT34" s="1">
        <f t="shared" si="44"/>
        <v>260075.16579926934</v>
      </c>
      <c r="HU34" s="1">
        <f t="shared" si="44"/>
        <v>262675.91745726205</v>
      </c>
      <c r="HV34" s="1">
        <f t="shared" si="44"/>
        <v>265302.67663183465</v>
      </c>
      <c r="HW34" s="1">
        <f t="shared" si="44"/>
        <v>267955.70339815301</v>
      </c>
      <c r="HX34" s="1">
        <f t="shared" si="44"/>
        <v>270635.26043213456</v>
      </c>
      <c r="HY34" s="1">
        <f t="shared" si="44"/>
        <v>273341.61303645588</v>
      </c>
      <c r="HZ34" s="1">
        <f t="shared" si="44"/>
        <v>276075.02916682046</v>
      </c>
      <c r="IA34" s="1">
        <f t="shared" si="44"/>
        <v>278835.77945848869</v>
      </c>
      <c r="IB34" s="1">
        <f t="shared" si="44"/>
        <v>281624.13725307357</v>
      </c>
      <c r="IC34" s="1">
        <f t="shared" ref="IC34:IK34" si="45">+IB34*(1+$AV$36)</f>
        <v>284440.37862560432</v>
      </c>
      <c r="ID34" s="1">
        <f t="shared" si="45"/>
        <v>287284.78241186036</v>
      </c>
      <c r="IE34" s="1">
        <f t="shared" si="45"/>
        <v>290157.63023597898</v>
      </c>
      <c r="IF34" s="1">
        <f t="shared" si="45"/>
        <v>293059.2065383388</v>
      </c>
      <c r="IG34" s="1">
        <f t="shared" si="45"/>
        <v>295989.79860372219</v>
      </c>
      <c r="IH34" s="1">
        <f t="shared" si="45"/>
        <v>298949.69658975943</v>
      </c>
      <c r="II34" s="1">
        <f t="shared" si="45"/>
        <v>301939.19355565705</v>
      </c>
      <c r="IJ34" s="1">
        <f t="shared" si="45"/>
        <v>304958.5854912136</v>
      </c>
      <c r="IK34" s="1">
        <f t="shared" si="45"/>
        <v>308008.17134612572</v>
      </c>
    </row>
    <row r="35" spans="2:245" x14ac:dyDescent="0.2">
      <c r="B35" s="1" t="s">
        <v>34</v>
      </c>
      <c r="C35" s="1">
        <v>452.41699999999997</v>
      </c>
      <c r="D35" s="1">
        <v>451.572</v>
      </c>
      <c r="E35" s="1">
        <v>450.01100000000002</v>
      </c>
      <c r="F35" s="1">
        <f t="shared" si="29"/>
        <v>-904.50199999999995</v>
      </c>
      <c r="G35" s="1">
        <v>441.654</v>
      </c>
      <c r="H35" s="1">
        <v>439.73899999999998</v>
      </c>
      <c r="I35" s="1">
        <v>437.89800000000002</v>
      </c>
      <c r="J35" s="1">
        <f t="shared" si="30"/>
        <v>-880.0300000000002</v>
      </c>
      <c r="K35" s="1">
        <v>436.96199999999999</v>
      </c>
      <c r="L35" s="1">
        <v>434.88299999999998</v>
      </c>
      <c r="M35" s="1">
        <f>+L35</f>
        <v>434.88299999999998</v>
      </c>
      <c r="N35" s="1">
        <f>+M35</f>
        <v>434.88299999999998</v>
      </c>
      <c r="AF35" s="1">
        <v>451.29</v>
      </c>
      <c r="AG35" s="1">
        <v>449.49799999999999</v>
      </c>
      <c r="AH35" s="1">
        <v>439.26100000000002</v>
      </c>
      <c r="AI35" s="1">
        <f>+AI34/AI36</f>
        <v>435.41649125694335</v>
      </c>
      <c r="AJ35" s="1">
        <f>+AI35</f>
        <v>435.41649125694335</v>
      </c>
      <c r="AK35" s="1">
        <f t="shared" ref="AK35:AR35" si="46">+AJ35</f>
        <v>435.41649125694335</v>
      </c>
      <c r="AL35" s="1">
        <f t="shared" si="46"/>
        <v>435.41649125694335</v>
      </c>
      <c r="AM35" s="1">
        <f t="shared" si="46"/>
        <v>435.41649125694335</v>
      </c>
      <c r="AN35" s="1">
        <f t="shared" si="46"/>
        <v>435.41649125694335</v>
      </c>
      <c r="AO35" s="1">
        <f t="shared" si="46"/>
        <v>435.41649125694335</v>
      </c>
      <c r="AP35" s="1">
        <f t="shared" si="46"/>
        <v>435.41649125694335</v>
      </c>
      <c r="AQ35" s="1">
        <f t="shared" si="46"/>
        <v>435.41649125694335</v>
      </c>
      <c r="AR35" s="1">
        <f t="shared" si="46"/>
        <v>435.41649125694335</v>
      </c>
    </row>
    <row r="36" spans="2:245" s="15" customFormat="1" x14ac:dyDescent="0.2">
      <c r="B36" s="15" t="s">
        <v>35</v>
      </c>
      <c r="C36" s="15">
        <f>+C34/C35</f>
        <v>2.8847722344651086</v>
      </c>
      <c r="D36" s="15">
        <f>+D34/D35</f>
        <v>3.2942919401557229</v>
      </c>
      <c r="E36" s="15">
        <f>+E34/E35</f>
        <v>3.7275133274519958</v>
      </c>
      <c r="F36" s="15">
        <f t="shared" si="29"/>
        <v>2.1245994998270703</v>
      </c>
      <c r="G36" s="15">
        <f>+G34/G35</f>
        <v>5.2806246518768045</v>
      </c>
      <c r="H36" s="15">
        <f>+H34/H35</f>
        <v>4.8831374974700941</v>
      </c>
      <c r="I36" s="15">
        <f>+I34/I35</f>
        <v>5.3973961972879492</v>
      </c>
      <c r="J36" s="15">
        <f t="shared" si="30"/>
        <v>4.2712226295956697</v>
      </c>
      <c r="K36" s="15">
        <f>+K34/K35</f>
        <v>6.6146507018916969</v>
      </c>
      <c r="L36" s="15">
        <f>+L34/L35</f>
        <v>7.1868012775850083</v>
      </c>
      <c r="M36" s="15">
        <f>+M34/M35</f>
        <v>5.8604576045962613</v>
      </c>
      <c r="N36" s="15">
        <f>+N34/N35</f>
        <v>6.1151929087104335</v>
      </c>
      <c r="AF36" s="15">
        <f>+AF34/AF35</f>
        <v>9.9535199095925062</v>
      </c>
      <c r="AG36" s="15">
        <f>+AG34/AG35</f>
        <v>12.031177001899898</v>
      </c>
      <c r="AH36" s="15">
        <f>+AH34/AH35</f>
        <v>19.832380976230517</v>
      </c>
      <c r="AI36" s="1">
        <f t="shared" si="31"/>
        <v>25.777102492783399</v>
      </c>
      <c r="AJ36" s="15">
        <f>+AJ34/AJ35</f>
        <v>29.734291998750557</v>
      </c>
      <c r="AK36" s="15">
        <f t="shared" ref="AK36:AR36" si="47">+AK34/AK35</f>
        <v>34.327381140846548</v>
      </c>
      <c r="AL36" s="15">
        <f t="shared" si="47"/>
        <v>39.661157498535829</v>
      </c>
      <c r="AM36" s="15">
        <f t="shared" si="47"/>
        <v>45.858024725533518</v>
      </c>
      <c r="AN36" s="15">
        <f t="shared" si="47"/>
        <v>53.061014717747227</v>
      </c>
      <c r="AO36" s="15">
        <f t="shared" si="47"/>
        <v>61.437322735418249</v>
      </c>
      <c r="AP36" s="15">
        <f t="shared" si="47"/>
        <v>71.182457564990059</v>
      </c>
      <c r="AQ36" s="15">
        <f t="shared" si="47"/>
        <v>82.525115239040517</v>
      </c>
      <c r="AR36" s="15">
        <f t="shared" si="47"/>
        <v>95.732904235049574</v>
      </c>
      <c r="AU36" s="5" t="s">
        <v>36</v>
      </c>
      <c r="AV36" s="8">
        <v>0.01</v>
      </c>
    </row>
    <row r="37" spans="2:245" s="4" customFormat="1" outlineLevel="1" x14ac:dyDescent="0.2">
      <c r="B37" s="4" t="s">
        <v>24</v>
      </c>
      <c r="AU37" s="5" t="s">
        <v>37</v>
      </c>
      <c r="AV37" s="8">
        <v>7.0000000000000007E-2</v>
      </c>
    </row>
    <row r="38" spans="2:245" s="5" customFormat="1" outlineLevel="1" x14ac:dyDescent="0.2">
      <c r="B38" s="5" t="s">
        <v>15</v>
      </c>
      <c r="G38" s="5">
        <f t="shared" ref="G38:N42" si="48">+G20/C20-1</f>
        <v>0.1706097441006249</v>
      </c>
      <c r="H38" s="5">
        <f t="shared" si="48"/>
        <v>0.19339409820616948</v>
      </c>
      <c r="I38" s="5">
        <f t="shared" si="48"/>
        <v>0.15724821579311898</v>
      </c>
      <c r="J38" s="5">
        <f t="shared" si="48"/>
        <v>0.14920557060996686</v>
      </c>
      <c r="K38" s="5">
        <f t="shared" si="48"/>
        <v>9.2981465634073279E-2</v>
      </c>
      <c r="L38" s="5">
        <f t="shared" si="48"/>
        <v>0.14746459134548218</v>
      </c>
      <c r="M38" s="5">
        <f t="shared" si="48"/>
        <v>0.14999999999999991</v>
      </c>
      <c r="N38" s="5">
        <f t="shared" si="48"/>
        <v>0.14999999999999991</v>
      </c>
      <c r="AG38" s="5">
        <f t="shared" ref="AG38:AH42" si="49">+AG20/AF20-1</f>
        <v>5.6028399157862951E-2</v>
      </c>
      <c r="AH38" s="5">
        <f t="shared" si="49"/>
        <v>0.16711189076780264</v>
      </c>
      <c r="AU38" s="5" t="s">
        <v>38</v>
      </c>
      <c r="AV38" s="9">
        <f>NPV(AV37,AI34:IK34)</f>
        <v>508930.31814919913</v>
      </c>
    </row>
    <row r="39" spans="2:245" outlineLevel="1" x14ac:dyDescent="0.2">
      <c r="B39" s="1" t="s">
        <v>16</v>
      </c>
      <c r="E39" s="5"/>
      <c r="G39" s="5">
        <f t="shared" si="48"/>
        <v>0.1749860285878726</v>
      </c>
      <c r="H39" s="5">
        <f t="shared" si="48"/>
        <v>0.17391586038397144</v>
      </c>
      <c r="I39" s="5">
        <f t="shared" si="48"/>
        <v>0.16349652042629681</v>
      </c>
      <c r="J39" s="5">
        <f t="shared" si="48"/>
        <v>0.18109163544132834</v>
      </c>
      <c r="K39" s="5">
        <f t="shared" si="48"/>
        <v>0.15093099064192228</v>
      </c>
      <c r="L39" s="5">
        <f t="shared" si="48"/>
        <v>0.17634415108592005</v>
      </c>
      <c r="M39" s="5">
        <f t="shared" si="48"/>
        <v>0.16999999999999993</v>
      </c>
      <c r="N39" s="5">
        <f t="shared" si="48"/>
        <v>0.16999999999999993</v>
      </c>
      <c r="AG39" s="5">
        <f t="shared" si="49"/>
        <v>8.3270472133701201E-2</v>
      </c>
      <c r="AH39" s="5">
        <f t="shared" si="49"/>
        <v>0.17340503521673467</v>
      </c>
      <c r="AU39" s="5" t="s">
        <v>39</v>
      </c>
      <c r="AV39" s="2">
        <f>+Main!K6</f>
        <v>424.92634600000002</v>
      </c>
    </row>
    <row r="40" spans="2:245" outlineLevel="1" x14ac:dyDescent="0.2">
      <c r="B40" s="1" t="s">
        <v>17</v>
      </c>
      <c r="E40" s="5"/>
      <c r="G40" s="5">
        <f t="shared" si="48"/>
        <v>8.8597186299280928E-2</v>
      </c>
      <c r="H40" s="5">
        <f t="shared" si="48"/>
        <v>0.11760338210657717</v>
      </c>
      <c r="I40" s="5">
        <f t="shared" si="48"/>
        <v>8.582434015773388E-2</v>
      </c>
      <c r="J40" s="5">
        <f t="shared" si="48"/>
        <v>6.3795010998915824E-2</v>
      </c>
      <c r="K40" s="5">
        <f t="shared" si="48"/>
        <v>8.3197711947042396E-2</v>
      </c>
      <c r="L40" s="5">
        <f t="shared" si="48"/>
        <v>8.5197380714116644E-2</v>
      </c>
      <c r="M40" s="5">
        <f t="shared" si="48"/>
        <v>9.000000000000008E-2</v>
      </c>
      <c r="N40" s="5">
        <f t="shared" si="48"/>
        <v>9.000000000000008E-2</v>
      </c>
      <c r="AG40" s="5">
        <f t="shared" si="49"/>
        <v>9.2503807764818147E-2</v>
      </c>
      <c r="AH40" s="5">
        <f t="shared" si="49"/>
        <v>8.8464848786484307E-2</v>
      </c>
      <c r="AU40" s="1" t="s">
        <v>40</v>
      </c>
      <c r="AV40" s="1">
        <f>+AV38/AV39</f>
        <v>1197.6906655470102</v>
      </c>
    </row>
    <row r="41" spans="2:245" outlineLevel="1" x14ac:dyDescent="0.2">
      <c r="B41" s="1" t="s">
        <v>18</v>
      </c>
      <c r="E41" s="5"/>
      <c r="G41" s="5">
        <f t="shared" si="48"/>
        <v>9.5767324425857669E-2</v>
      </c>
      <c r="H41" s="5">
        <f t="shared" si="48"/>
        <v>0.14420090658596529</v>
      </c>
      <c r="I41" s="5">
        <f t="shared" si="48"/>
        <v>0.18946421490462084</v>
      </c>
      <c r="J41" s="5">
        <f t="shared" si="48"/>
        <v>0.25906420903382643</v>
      </c>
      <c r="K41" s="5">
        <f t="shared" si="48"/>
        <v>0.23087638964380552</v>
      </c>
      <c r="L41" s="5">
        <f t="shared" si="48"/>
        <v>0.24093178289709472</v>
      </c>
      <c r="M41" s="5">
        <f t="shared" si="48"/>
        <v>0.19999999999999996</v>
      </c>
      <c r="N41" s="5">
        <f t="shared" si="48"/>
        <v>0.19999999999999996</v>
      </c>
      <c r="AG41" s="5">
        <f t="shared" si="49"/>
        <v>5.4200006106064569E-2</v>
      </c>
      <c r="AH41" s="5">
        <f t="shared" si="49"/>
        <v>0.17297189727097639</v>
      </c>
      <c r="AU41" s="1" t="s">
        <v>41</v>
      </c>
      <c r="AV41" s="1">
        <f>+Main!K5</f>
        <v>1260.27</v>
      </c>
    </row>
    <row r="42" spans="2:245" outlineLevel="1" x14ac:dyDescent="0.2">
      <c r="B42" s="3" t="s">
        <v>19</v>
      </c>
      <c r="E42" s="5"/>
      <c r="G42" s="5">
        <f t="shared" si="48"/>
        <v>0.14812676047536799</v>
      </c>
      <c r="H42" s="5">
        <f t="shared" si="48"/>
        <v>0.16757769135396394</v>
      </c>
      <c r="I42" s="5">
        <f t="shared" si="48"/>
        <v>0.15020895216250496</v>
      </c>
      <c r="J42" s="5">
        <f t="shared" si="48"/>
        <v>0.16004941793820193</v>
      </c>
      <c r="K42" s="5">
        <f t="shared" si="48"/>
        <v>0.12511269481475806</v>
      </c>
      <c r="L42" s="5">
        <f t="shared" si="48"/>
        <v>0.15899222851858541</v>
      </c>
      <c r="M42" s="5">
        <f t="shared" si="48"/>
        <v>0.15454051893477083</v>
      </c>
      <c r="N42" s="5">
        <f t="shared" si="48"/>
        <v>0.15513070031089127</v>
      </c>
      <c r="R42" s="5">
        <f t="shared" ref="R42:AF42" si="50">+R24/Q24-1</f>
        <v>0.13224923255621013</v>
      </c>
      <c r="S42" s="5">
        <f t="shared" si="50"/>
        <v>0.58467062358027388</v>
      </c>
      <c r="T42" s="5">
        <f t="shared" si="50"/>
        <v>0.48182742994543615</v>
      </c>
      <c r="U42" s="5">
        <f t="shared" si="50"/>
        <v>0</v>
      </c>
      <c r="V42" s="5">
        <f t="shared" si="50"/>
        <v>0.12628721213255956</v>
      </c>
      <c r="W42" s="5">
        <f t="shared" si="50"/>
        <v>0.21203557476518986</v>
      </c>
      <c r="X42" s="5">
        <f t="shared" si="50"/>
        <v>0.25833219037169108</v>
      </c>
      <c r="Y42" s="5">
        <f t="shared" si="50"/>
        <v>0.23158391919632315</v>
      </c>
      <c r="Z42" s="5">
        <f t="shared" si="50"/>
        <v>0.30255918578066243</v>
      </c>
      <c r="AA42" s="5">
        <f t="shared" si="50"/>
        <v>0.32409661748219287</v>
      </c>
      <c r="AB42" s="5">
        <f t="shared" si="50"/>
        <v>0.3507829671504441</v>
      </c>
      <c r="AC42" s="5">
        <f t="shared" si="50"/>
        <v>0.27618191372837053</v>
      </c>
      <c r="AD42" s="5">
        <f t="shared" si="50"/>
        <v>0.24010736044134839</v>
      </c>
      <c r="AE42" s="5">
        <f t="shared" si="50"/>
        <v>0.18809734318553706</v>
      </c>
      <c r="AF42" s="5">
        <f t="shared" si="50"/>
        <v>6.4575490440369476E-2</v>
      </c>
      <c r="AG42" s="5">
        <f t="shared" si="49"/>
        <v>6.6668047843545297E-2</v>
      </c>
      <c r="AH42" s="5">
        <f t="shared" si="49"/>
        <v>0.15649921477131956</v>
      </c>
      <c r="AI42" s="5">
        <f t="shared" ref="AI42:AR42" si="51">+AI24/AH24-1</f>
        <v>0.14871632770946874</v>
      </c>
      <c r="AJ42" s="5">
        <f t="shared" si="51"/>
        <v>0.15540222118065561</v>
      </c>
      <c r="AK42" s="5">
        <f t="shared" si="51"/>
        <v>0.1561140711213822</v>
      </c>
      <c r="AL42" s="5">
        <f t="shared" si="51"/>
        <v>0.15680911006479925</v>
      </c>
      <c r="AM42" s="5">
        <f t="shared" si="51"/>
        <v>0.15748782279758422</v>
      </c>
      <c r="AN42" s="5">
        <f t="shared" si="51"/>
        <v>0.15815071822789784</v>
      </c>
      <c r="AO42" s="5">
        <f t="shared" si="51"/>
        <v>0.15879832434919128</v>
      </c>
      <c r="AP42" s="5">
        <f t="shared" si="51"/>
        <v>0.15943118351607222</v>
      </c>
      <c r="AQ42" s="5">
        <f t="shared" si="51"/>
        <v>0.16004984804556366</v>
      </c>
      <c r="AR42" s="5">
        <f t="shared" si="51"/>
        <v>0.16065487615115059</v>
      </c>
      <c r="AU42" s="5"/>
      <c r="AV42" s="5">
        <f>+AV40/AV41-1</f>
        <v>-4.9655497990898634E-2</v>
      </c>
    </row>
    <row r="43" spans="2:245" ht="5" customHeight="1" outlineLevel="1" x14ac:dyDescent="0.2"/>
    <row r="44" spans="2:245" x14ac:dyDescent="0.2">
      <c r="J44" s="1">
        <f>SUM(G24:J24)-SUM(G25:J25)</f>
        <v>17962.502499999995</v>
      </c>
      <c r="AU44" s="1" t="s">
        <v>140</v>
      </c>
      <c r="AV44" s="1">
        <f>+L72 / AV39</f>
        <v>58.720527062824203</v>
      </c>
    </row>
    <row r="45" spans="2:245" x14ac:dyDescent="0.2">
      <c r="B45" s="1" t="s">
        <v>138</v>
      </c>
      <c r="C45" s="5">
        <f t="shared" ref="C45:N45" si="52">(C24-C25)/C24</f>
        <v>0.41142887529417072</v>
      </c>
      <c r="D45" s="5">
        <f t="shared" si="52"/>
        <v>0.42918062985591954</v>
      </c>
      <c r="E45" s="5">
        <f t="shared" si="52"/>
        <v>0.42273710474347637</v>
      </c>
      <c r="F45" s="5">
        <f t="shared" si="52"/>
        <v>0.39911806245453774</v>
      </c>
      <c r="G45" s="5">
        <f t="shared" si="52"/>
        <v>0.46885386385271116</v>
      </c>
      <c r="H45" s="5">
        <f t="shared" si="52"/>
        <v>0.45873258634775949</v>
      </c>
      <c r="I45" s="5">
        <f t="shared" si="52"/>
        <v>0.47887646069301021</v>
      </c>
      <c r="J45" s="5">
        <f t="shared" si="52"/>
        <v>0.43713888631484249</v>
      </c>
      <c r="K45" s="5">
        <f t="shared" si="52"/>
        <v>0.50078285647239285</v>
      </c>
      <c r="L45" s="5">
        <f t="shared" si="52"/>
        <v>0.51934008390162223</v>
      </c>
      <c r="M45" s="5">
        <f t="shared" si="52"/>
        <v>0.4499999999999999</v>
      </c>
      <c r="N45" s="5">
        <f t="shared" si="52"/>
        <v>0.45</v>
      </c>
      <c r="AF45" s="5">
        <f t="shared" ref="AF45:AR45" si="53">(AF24-AF25)/AF24</f>
        <v>0.39370705238403259</v>
      </c>
      <c r="AG45" s="5">
        <f t="shared" si="53"/>
        <v>0.41537839553469524</v>
      </c>
      <c r="AH45" s="5">
        <f t="shared" si="53"/>
        <v>0.4605655734198279</v>
      </c>
      <c r="AI45" s="5">
        <f t="shared" si="53"/>
        <v>0.47909806660463833</v>
      </c>
      <c r="AJ45" s="5">
        <f t="shared" si="53"/>
        <v>0.47909806660463838</v>
      </c>
      <c r="AK45" s="5">
        <f t="shared" si="53"/>
        <v>0.47909806660463838</v>
      </c>
      <c r="AL45" s="5">
        <f t="shared" si="53"/>
        <v>0.47909806660463838</v>
      </c>
      <c r="AM45" s="5">
        <f t="shared" si="53"/>
        <v>0.47909806660463838</v>
      </c>
      <c r="AN45" s="5">
        <f t="shared" si="53"/>
        <v>0.47909806660463844</v>
      </c>
      <c r="AO45" s="5">
        <f t="shared" si="53"/>
        <v>0.47909806660463838</v>
      </c>
      <c r="AP45" s="5">
        <f t="shared" si="53"/>
        <v>0.47909806660463838</v>
      </c>
      <c r="AQ45" s="5">
        <f t="shared" si="53"/>
        <v>0.47909806660463833</v>
      </c>
      <c r="AR45" s="5">
        <f t="shared" si="53"/>
        <v>0.47909806660463844</v>
      </c>
    </row>
    <row r="46" spans="2:245" x14ac:dyDescent="0.2">
      <c r="B46" s="1" t="s">
        <v>141</v>
      </c>
      <c r="C46" s="5"/>
      <c r="D46" s="22"/>
      <c r="E46" s="22"/>
      <c r="F46" s="22">
        <f t="shared" ref="F46:L46" si="54">(SUM(C24:F24)-SUM(C25:F25) ) / F85</f>
        <v>0.44247596883396761</v>
      </c>
      <c r="G46" s="22">
        <f t="shared" si="54"/>
        <v>0.47512382311975504</v>
      </c>
      <c r="H46" s="22">
        <f t="shared" si="54"/>
        <v>0.49846766197826298</v>
      </c>
      <c r="I46" s="22">
        <f t="shared" si="54"/>
        <v>0.52862443093915712</v>
      </c>
      <c r="J46" s="22">
        <f t="shared" si="54"/>
        <v>0.55350199624299679</v>
      </c>
      <c r="K46" s="22">
        <f t="shared" si="54"/>
        <v>0.58827390568642723</v>
      </c>
      <c r="L46" s="22">
        <f t="shared" si="54"/>
        <v>0.63003612657814601</v>
      </c>
      <c r="M46" s="5"/>
      <c r="N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</row>
    <row r="47" spans="2:245" s="5" customFormat="1" x14ac:dyDescent="0.2">
      <c r="B47" s="5" t="s">
        <v>42</v>
      </c>
      <c r="C47" s="13">
        <f t="shared" ref="C47:N47" si="55">+C29/C24</f>
        <v>0.21004917844176504</v>
      </c>
      <c r="D47" s="13">
        <f t="shared" si="55"/>
        <v>0.22317281360487418</v>
      </c>
      <c r="E47" s="13">
        <f t="shared" si="55"/>
        <v>0.22435828692943818</v>
      </c>
      <c r="F47" s="13">
        <f t="shared" si="55"/>
        <v>0.16938057756153888</v>
      </c>
      <c r="G47" s="13">
        <f t="shared" si="55"/>
        <v>0.28094027601692112</v>
      </c>
      <c r="H47" s="13">
        <f t="shared" si="55"/>
        <v>0.27228293673915804</v>
      </c>
      <c r="I47" s="13">
        <f t="shared" si="55"/>
        <v>0.29613892654057827</v>
      </c>
      <c r="J47" s="13">
        <f t="shared" si="55"/>
        <v>0.22180876451292383</v>
      </c>
      <c r="K47" s="13">
        <f t="shared" si="55"/>
        <v>0.31746772039043514</v>
      </c>
      <c r="L47" s="13">
        <f t="shared" si="55"/>
        <v>0.34070242290800595</v>
      </c>
      <c r="M47" s="13">
        <f t="shared" si="55"/>
        <v>0.27136233900638373</v>
      </c>
      <c r="N47" s="13">
        <f t="shared" si="55"/>
        <v>0.27136233900638362</v>
      </c>
      <c r="AE47" s="5">
        <f t="shared" ref="AE47:AR47" si="56">+AE29/AE24</f>
        <v>0.20860131053478709</v>
      </c>
      <c r="AF47" s="5">
        <f t="shared" si="56"/>
        <v>0.17816647187855347</v>
      </c>
      <c r="AG47" s="5">
        <f t="shared" si="56"/>
        <v>0.20620768485358951</v>
      </c>
      <c r="AH47" s="5">
        <f t="shared" si="56"/>
        <v>0.26711170093694969</v>
      </c>
      <c r="AI47" s="8">
        <f t="shared" si="56"/>
        <v>0.2993596793484789</v>
      </c>
      <c r="AJ47" s="8">
        <f t="shared" si="56"/>
        <v>0.29935967934847885</v>
      </c>
      <c r="AK47" s="8">
        <f t="shared" si="56"/>
        <v>0.2993596793484789</v>
      </c>
      <c r="AL47" s="8">
        <f t="shared" si="56"/>
        <v>0.29935967934847896</v>
      </c>
      <c r="AM47" s="8">
        <f t="shared" si="56"/>
        <v>0.29935967934847901</v>
      </c>
      <c r="AN47" s="8">
        <f t="shared" si="56"/>
        <v>0.2993596793484789</v>
      </c>
      <c r="AO47" s="8">
        <f t="shared" si="56"/>
        <v>0.29935967934847907</v>
      </c>
      <c r="AP47" s="8">
        <f t="shared" si="56"/>
        <v>0.2993596793484789</v>
      </c>
      <c r="AQ47" s="8">
        <f t="shared" si="56"/>
        <v>0.29935967934847896</v>
      </c>
      <c r="AR47" s="8">
        <f t="shared" si="56"/>
        <v>0.29935967934847901</v>
      </c>
    </row>
    <row r="48" spans="2:245" s="5" customFormat="1" x14ac:dyDescent="0.2">
      <c r="B48" s="19" t="s">
        <v>139</v>
      </c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AI48" s="8"/>
      <c r="AJ48" s="8"/>
      <c r="AK48" s="8"/>
      <c r="AL48" s="8"/>
      <c r="AM48" s="8"/>
      <c r="AN48" s="8"/>
      <c r="AO48" s="8"/>
      <c r="AP48" s="8"/>
      <c r="AQ48" s="8"/>
      <c r="AR48" s="8"/>
    </row>
    <row r="49" spans="2:44" s="5" customFormat="1" x14ac:dyDescent="0.2">
      <c r="B49" s="5" t="s">
        <v>3</v>
      </c>
      <c r="C49" s="8">
        <f t="shared" ref="C49:L49" si="57">+C25/C$24</f>
        <v>0.58857112470582928</v>
      </c>
      <c r="D49" s="8">
        <f t="shared" si="57"/>
        <v>0.57081937014408046</v>
      </c>
      <c r="E49" s="8">
        <f t="shared" si="57"/>
        <v>0.57726289525652363</v>
      </c>
      <c r="F49" s="8">
        <f t="shared" si="57"/>
        <v>0.60088193754546226</v>
      </c>
      <c r="G49" s="8">
        <f t="shared" si="57"/>
        <v>0.53114613614728878</v>
      </c>
      <c r="H49" s="8">
        <f t="shared" si="57"/>
        <v>0.54126741365224051</v>
      </c>
      <c r="I49" s="8">
        <f t="shared" si="57"/>
        <v>0.52112353930698974</v>
      </c>
      <c r="J49" s="8">
        <f t="shared" si="57"/>
        <v>0.56286111368515745</v>
      </c>
      <c r="K49" s="8">
        <f t="shared" si="57"/>
        <v>0.49921714352760715</v>
      </c>
      <c r="L49" s="8">
        <f t="shared" si="57"/>
        <v>0.48065991609837772</v>
      </c>
      <c r="AG49" s="8">
        <f t="shared" ref="AG49:AR49" si="58">+AG25/AG$24</f>
        <v>0.58462160446530476</v>
      </c>
      <c r="AH49" s="8">
        <f t="shared" si="58"/>
        <v>0.53943442658017215</v>
      </c>
      <c r="AI49" s="8">
        <f t="shared" si="58"/>
        <v>0.52090193339536162</v>
      </c>
      <c r="AJ49" s="8">
        <f t="shared" si="58"/>
        <v>0.52090193339536162</v>
      </c>
      <c r="AK49" s="8">
        <f t="shared" si="58"/>
        <v>0.52090193339536162</v>
      </c>
      <c r="AL49" s="8">
        <f t="shared" si="58"/>
        <v>0.52090193339536162</v>
      </c>
      <c r="AM49" s="8">
        <f t="shared" si="58"/>
        <v>0.52090193339536162</v>
      </c>
      <c r="AN49" s="8">
        <f t="shared" si="58"/>
        <v>0.52090193339536162</v>
      </c>
      <c r="AO49" s="8">
        <f t="shared" si="58"/>
        <v>0.52090193339536162</v>
      </c>
      <c r="AP49" s="8">
        <f t="shared" si="58"/>
        <v>0.52090193339536162</v>
      </c>
      <c r="AQ49" s="8">
        <f t="shared" si="58"/>
        <v>0.52090193339536162</v>
      </c>
      <c r="AR49" s="8">
        <f t="shared" si="58"/>
        <v>0.52090193339536162</v>
      </c>
    </row>
    <row r="50" spans="2:44" s="5" customFormat="1" x14ac:dyDescent="0.2">
      <c r="B50" s="5" t="s">
        <v>25</v>
      </c>
      <c r="C50" s="8">
        <f t="shared" ref="C50:L50" si="59">+C26/C$24</f>
        <v>6.8046535056104238E-2</v>
      </c>
      <c r="D50" s="8">
        <f t="shared" si="59"/>
        <v>7.6602533606618339E-2</v>
      </c>
      <c r="E50" s="8">
        <f t="shared" si="59"/>
        <v>6.5412984911143821E-2</v>
      </c>
      <c r="F50" s="8">
        <f t="shared" si="59"/>
        <v>0.10377393416036204</v>
      </c>
      <c r="G50" s="8">
        <f t="shared" si="59"/>
        <v>6.9830232091556019E-2</v>
      </c>
      <c r="H50" s="8">
        <f t="shared" si="59"/>
        <v>6.7377666379686382E-2</v>
      </c>
      <c r="I50" s="8">
        <f t="shared" si="59"/>
        <v>6.5439738992618915E-2</v>
      </c>
      <c r="J50" s="8">
        <f t="shared" si="59"/>
        <v>9.5271820995502562E-2</v>
      </c>
      <c r="K50" s="8">
        <f t="shared" si="59"/>
        <v>6.5292895123411701E-2</v>
      </c>
      <c r="L50" s="8">
        <f t="shared" si="59"/>
        <v>6.4378943324795379E-2</v>
      </c>
      <c r="AG50" s="8">
        <f t="shared" ref="AG50:AR50" si="60">+AG26/AG$24</f>
        <v>7.8814446879259759E-2</v>
      </c>
      <c r="AH50" s="8">
        <f t="shared" si="60"/>
        <v>7.4807223046639129E-2</v>
      </c>
      <c r="AI50" s="8">
        <f t="shared" si="60"/>
        <v>6.4594018921871874E-2</v>
      </c>
      <c r="AJ50" s="8">
        <f t="shared" si="60"/>
        <v>6.4594018921871874E-2</v>
      </c>
      <c r="AK50" s="8">
        <f t="shared" si="60"/>
        <v>6.4594018921871874E-2</v>
      </c>
      <c r="AL50" s="8">
        <f t="shared" si="60"/>
        <v>6.4594018921871874E-2</v>
      </c>
      <c r="AM50" s="8">
        <f t="shared" si="60"/>
        <v>6.4594018921871874E-2</v>
      </c>
      <c r="AN50" s="8">
        <f t="shared" si="60"/>
        <v>6.4594018921871874E-2</v>
      </c>
      <c r="AO50" s="8">
        <f t="shared" si="60"/>
        <v>6.4594018921871874E-2</v>
      </c>
      <c r="AP50" s="8">
        <f t="shared" si="60"/>
        <v>6.4594018921871874E-2</v>
      </c>
      <c r="AQ50" s="8">
        <f t="shared" si="60"/>
        <v>6.4594018921871874E-2</v>
      </c>
      <c r="AR50" s="8">
        <f t="shared" si="60"/>
        <v>6.4594018921871874E-2</v>
      </c>
    </row>
    <row r="51" spans="2:44" s="5" customFormat="1" x14ac:dyDescent="0.2">
      <c r="B51" s="5" t="s">
        <v>26</v>
      </c>
      <c r="C51" s="8">
        <f t="shared" ref="C51:L51" si="61">+C27/C$24</f>
        <v>8.4209366828634377E-2</v>
      </c>
      <c r="D51" s="8">
        <f t="shared" si="61"/>
        <v>8.0366289208128536E-2</v>
      </c>
      <c r="E51" s="8">
        <f t="shared" si="61"/>
        <v>7.6935675795406708E-2</v>
      </c>
      <c r="F51" s="8">
        <f t="shared" si="61"/>
        <v>7.623166993572271E-2</v>
      </c>
      <c r="G51" s="8">
        <f t="shared" si="61"/>
        <v>7.4966917241879788E-2</v>
      </c>
      <c r="H51" s="8">
        <f t="shared" si="61"/>
        <v>7.4404324161471899E-2</v>
      </c>
      <c r="I51" s="8">
        <f t="shared" si="61"/>
        <v>7.4817834187964768E-2</v>
      </c>
      <c r="J51" s="8">
        <f t="shared" si="61"/>
        <v>7.5782362459191635E-2</v>
      </c>
      <c r="K51" s="8">
        <f t="shared" si="61"/>
        <v>7.8045957616007355E-2</v>
      </c>
      <c r="L51" s="8">
        <f t="shared" si="61"/>
        <v>7.4435052241296859E-2</v>
      </c>
      <c r="AF51" s="8">
        <f>+AF27/AF$24</f>
        <v>8.5750239992661834E-2</v>
      </c>
      <c r="AG51" s="8">
        <f t="shared" ref="AG51:AR51" si="62">+AG27/AG$24</f>
        <v>7.9344495883661673E-2</v>
      </c>
      <c r="AH51" s="8">
        <f t="shared" si="62"/>
        <v>7.5005705307328738E-2</v>
      </c>
      <c r="AI51" s="8">
        <f t="shared" si="62"/>
        <v>7.5284788114270015E-2</v>
      </c>
      <c r="AJ51" s="8">
        <f t="shared" si="62"/>
        <v>7.5284788114270015E-2</v>
      </c>
      <c r="AK51" s="8">
        <f t="shared" si="62"/>
        <v>7.5284788114270015E-2</v>
      </c>
      <c r="AL51" s="8">
        <f t="shared" si="62"/>
        <v>7.5284788114270015E-2</v>
      </c>
      <c r="AM51" s="8">
        <f t="shared" si="62"/>
        <v>7.5284788114270015E-2</v>
      </c>
      <c r="AN51" s="8">
        <f t="shared" si="62"/>
        <v>7.5284788114270015E-2</v>
      </c>
      <c r="AO51" s="8">
        <f t="shared" si="62"/>
        <v>7.5284788114270015E-2</v>
      </c>
      <c r="AP51" s="8">
        <f t="shared" si="62"/>
        <v>7.5284788114270015E-2</v>
      </c>
      <c r="AQ51" s="8">
        <f t="shared" si="62"/>
        <v>7.5284788114270015E-2</v>
      </c>
      <c r="AR51" s="8">
        <f t="shared" si="62"/>
        <v>7.5284788114270015E-2</v>
      </c>
    </row>
    <row r="52" spans="2:44" s="5" customFormat="1" x14ac:dyDescent="0.2">
      <c r="B52" s="5" t="s">
        <v>27</v>
      </c>
      <c r="C52" s="8">
        <f t="shared" ref="C52:L52" si="63">+C28/C$24</f>
        <v>4.9123794967667098E-2</v>
      </c>
      <c r="D52" s="8">
        <f t="shared" si="63"/>
        <v>4.9038993436298479E-2</v>
      </c>
      <c r="E52" s="8">
        <f t="shared" si="63"/>
        <v>5.6030157107487676E-2</v>
      </c>
      <c r="F52" s="8">
        <f t="shared" si="63"/>
        <v>4.9731880796913784E-2</v>
      </c>
      <c r="G52" s="8">
        <f t="shared" si="63"/>
        <v>4.3116438502354214E-2</v>
      </c>
      <c r="H52" s="8">
        <f t="shared" si="63"/>
        <v>4.4667659067443147E-2</v>
      </c>
      <c r="I52" s="8">
        <f t="shared" si="63"/>
        <v>4.247996097184821E-2</v>
      </c>
      <c r="J52" s="8">
        <f t="shared" si="63"/>
        <v>4.4275938347224167E-2</v>
      </c>
      <c r="K52" s="8">
        <f t="shared" si="63"/>
        <v>3.9976283342538665E-2</v>
      </c>
      <c r="L52" s="8">
        <f t="shared" si="63"/>
        <v>3.9823665427524052E-2</v>
      </c>
      <c r="AG52" s="8">
        <f t="shared" ref="AG52:AR52" si="64">+AG28/AG$24</f>
        <v>5.1011767918184278E-2</v>
      </c>
      <c r="AH52" s="8">
        <f t="shared" si="64"/>
        <v>4.3640944128910245E-2</v>
      </c>
      <c r="AI52" s="8">
        <f t="shared" si="64"/>
        <v>3.9859580220017524E-2</v>
      </c>
      <c r="AJ52" s="8">
        <f t="shared" si="64"/>
        <v>3.9859580220017524E-2</v>
      </c>
      <c r="AK52" s="8">
        <f t="shared" si="64"/>
        <v>3.9859580220017524E-2</v>
      </c>
      <c r="AL52" s="8">
        <f t="shared" si="64"/>
        <v>3.9859580220017524E-2</v>
      </c>
      <c r="AM52" s="8">
        <f t="shared" si="64"/>
        <v>3.9859580220017524E-2</v>
      </c>
      <c r="AN52" s="8">
        <f t="shared" si="64"/>
        <v>3.9859580220017524E-2</v>
      </c>
      <c r="AO52" s="8">
        <f t="shared" si="64"/>
        <v>3.9859580220017524E-2</v>
      </c>
      <c r="AP52" s="8">
        <f t="shared" si="64"/>
        <v>3.9859580220017517E-2</v>
      </c>
      <c r="AQ52" s="8">
        <f t="shared" si="64"/>
        <v>3.9859580220017517E-2</v>
      </c>
      <c r="AR52" s="8">
        <f t="shared" si="64"/>
        <v>3.9859580220017517E-2</v>
      </c>
    </row>
    <row r="53" spans="2:44" s="5" customFormat="1" x14ac:dyDescent="0.2">
      <c r="C53" s="8"/>
      <c r="D53" s="8"/>
      <c r="E53" s="8"/>
      <c r="F53" s="8"/>
      <c r="G53" s="8"/>
      <c r="H53" s="8"/>
      <c r="I53" s="8"/>
      <c r="J53" s="8"/>
      <c r="K53" s="8"/>
      <c r="L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</row>
    <row r="54" spans="2:44" s="3" customFormat="1" x14ac:dyDescent="0.2">
      <c r="B54" s="3" t="s">
        <v>85</v>
      </c>
      <c r="L54" s="3">
        <f>SUM(L55:L56)-L69</f>
        <v>-6062.6859999999997</v>
      </c>
      <c r="AH54" s="3">
        <f>L54</f>
        <v>-6062.6859999999997</v>
      </c>
      <c r="AI54" s="3">
        <f>+AH54*0.95</f>
        <v>-5759.5516999999991</v>
      </c>
      <c r="AJ54" s="3">
        <f t="shared" ref="AJ54:AR54" si="65">+AI54*0.95</f>
        <v>-5471.5741149999985</v>
      </c>
      <c r="AK54" s="3">
        <f t="shared" si="65"/>
        <v>-5197.9954092499984</v>
      </c>
      <c r="AL54" s="3">
        <f t="shared" si="65"/>
        <v>-4938.0956387874985</v>
      </c>
      <c r="AM54" s="3">
        <f t="shared" si="65"/>
        <v>-4691.1908568481231</v>
      </c>
      <c r="AN54" s="3">
        <f t="shared" si="65"/>
        <v>-4456.6313140057164</v>
      </c>
      <c r="AO54" s="3">
        <f t="shared" si="65"/>
        <v>-4233.7997483054305</v>
      </c>
      <c r="AP54" s="3">
        <f t="shared" si="65"/>
        <v>-4022.1097608901587</v>
      </c>
      <c r="AQ54" s="3">
        <f t="shared" si="65"/>
        <v>-3821.0042728456506</v>
      </c>
      <c r="AR54" s="3">
        <f t="shared" si="65"/>
        <v>-3629.9540592033677</v>
      </c>
    </row>
    <row r="55" spans="2:44" x14ac:dyDescent="0.2">
      <c r="B55" s="1" t="s">
        <v>43</v>
      </c>
      <c r="C55" s="1">
        <v>6714.5940000000001</v>
      </c>
      <c r="D55" s="1">
        <v>7662.7879999999996</v>
      </c>
      <c r="E55" s="1">
        <v>7353.2449999999999</v>
      </c>
      <c r="F55" s="1">
        <v>7116.9129999999996</v>
      </c>
      <c r="G55" s="1">
        <v>7024.7659999999996</v>
      </c>
      <c r="H55" s="1">
        <v>6624.9390000000003</v>
      </c>
      <c r="I55" s="1">
        <v>7457.0249999999996</v>
      </c>
      <c r="J55" s="1">
        <v>7804.7330000000002</v>
      </c>
      <c r="K55" s="1">
        <v>7199.848</v>
      </c>
      <c r="L55" s="1">
        <v>8177.4049999999997</v>
      </c>
      <c r="R55" s="1">
        <v>139.9</v>
      </c>
      <c r="S55" s="1">
        <v>134.19999999999999</v>
      </c>
      <c r="T55" s="1">
        <v>508.1</v>
      </c>
      <c r="U55" s="1">
        <v>290.3</v>
      </c>
      <c r="V55" s="1">
        <v>290.3</v>
      </c>
      <c r="W55" s="1">
        <v>605</v>
      </c>
      <c r="X55" s="1">
        <v>1113.5999999999999</v>
      </c>
      <c r="Y55" s="1">
        <v>1809.3</v>
      </c>
      <c r="Z55" s="1">
        <v>1467.6</v>
      </c>
      <c r="AA55" s="1">
        <v>2822.8</v>
      </c>
      <c r="AB55" s="1">
        <v>3794.5</v>
      </c>
      <c r="AC55" s="1">
        <v>5018.3999999999996</v>
      </c>
      <c r="AD55" s="1">
        <v>8205.6</v>
      </c>
      <c r="AE55" s="1">
        <v>6027.8</v>
      </c>
      <c r="AF55" s="1">
        <v>5147.2</v>
      </c>
      <c r="AG55" s="1">
        <v>7116.9</v>
      </c>
    </row>
    <row r="56" spans="2:44" x14ac:dyDescent="0.2">
      <c r="B56" s="1" t="s">
        <v>44</v>
      </c>
      <c r="C56" s="1">
        <v>1112.9100000000001</v>
      </c>
      <c r="D56" s="1">
        <v>914.20399999999995</v>
      </c>
      <c r="E56" s="1">
        <v>514.20100000000002</v>
      </c>
      <c r="F56" s="1">
        <v>20.972999999999999</v>
      </c>
      <c r="G56" s="1">
        <v>20.972999999999999</v>
      </c>
      <c r="H56" s="1">
        <v>30.972999999999999</v>
      </c>
      <c r="I56" s="1">
        <v>1766.902</v>
      </c>
      <c r="J56" s="1">
        <v>1779.0060000000001</v>
      </c>
      <c r="K56" s="1">
        <v>1171.1420000000001</v>
      </c>
      <c r="L56" s="1">
        <v>213.11500000000001</v>
      </c>
      <c r="R56" s="1">
        <v>157.4</v>
      </c>
      <c r="S56" s="1">
        <v>186</v>
      </c>
      <c r="T56" s="1">
        <v>289.8</v>
      </c>
      <c r="U56" s="1">
        <v>457.8</v>
      </c>
      <c r="V56" s="1">
        <v>457.8</v>
      </c>
      <c r="W56" s="1">
        <v>595.4</v>
      </c>
      <c r="X56" s="1">
        <v>494.9</v>
      </c>
      <c r="Y56" s="1">
        <v>501.4</v>
      </c>
      <c r="Z56" s="1">
        <v>266.2</v>
      </c>
      <c r="AF56" s="1">
        <v>911.3</v>
      </c>
      <c r="AG56" s="1">
        <v>21</v>
      </c>
    </row>
    <row r="57" spans="2:44" x14ac:dyDescent="0.2">
      <c r="B57" s="1" t="s">
        <v>45</v>
      </c>
      <c r="C57" s="1">
        <v>2655.1190000000001</v>
      </c>
      <c r="D57" s="1">
        <v>2929.3470000000002</v>
      </c>
      <c r="E57" s="1">
        <v>2912.0279999999998</v>
      </c>
      <c r="F57" s="1">
        <v>2780.2469999999998</v>
      </c>
      <c r="G57" s="1">
        <v>2875.5740000000001</v>
      </c>
      <c r="H57" s="1">
        <v>2959.6410000000001</v>
      </c>
      <c r="I57" s="1">
        <v>2905.172</v>
      </c>
      <c r="J57" s="1">
        <v>3516.64</v>
      </c>
      <c r="K57" s="1">
        <v>3326.6419999999998</v>
      </c>
      <c r="L57" s="1">
        <v>3602.5859999999998</v>
      </c>
    </row>
    <row r="58" spans="2:44" x14ac:dyDescent="0.2">
      <c r="B58" s="1" t="s">
        <v>46</v>
      </c>
      <c r="C58" s="1">
        <v>32349.184000000001</v>
      </c>
      <c r="D58" s="1">
        <v>32520.774000000001</v>
      </c>
      <c r="E58" s="1">
        <v>31749.861000000001</v>
      </c>
      <c r="F58" s="1">
        <v>31658.056</v>
      </c>
      <c r="G58" s="1">
        <v>31662.1</v>
      </c>
      <c r="H58" s="1">
        <v>31927.355</v>
      </c>
      <c r="I58" s="1">
        <v>32175.382000000001</v>
      </c>
      <c r="J58" s="1">
        <v>32452.462</v>
      </c>
      <c r="K58" s="1">
        <v>32040.839</v>
      </c>
      <c r="L58" s="1">
        <v>32089.394</v>
      </c>
    </row>
    <row r="59" spans="2:44" x14ac:dyDescent="0.2">
      <c r="B59" s="1" t="s">
        <v>47</v>
      </c>
      <c r="C59" s="1">
        <v>1413.0940000000001</v>
      </c>
      <c r="D59" s="1">
        <v>1471.9680000000001</v>
      </c>
      <c r="E59" s="1">
        <v>1498.3910000000001</v>
      </c>
      <c r="F59" s="1">
        <v>1491.444</v>
      </c>
      <c r="G59" s="1">
        <v>1501.1679999999999</v>
      </c>
      <c r="H59" s="1">
        <v>1510.9580000000001</v>
      </c>
      <c r="I59" s="1">
        <v>1568.212</v>
      </c>
      <c r="J59" s="1">
        <v>1593.7560000000001</v>
      </c>
      <c r="K59" s="1">
        <v>1644.346</v>
      </c>
      <c r="L59" s="1">
        <v>1743.566</v>
      </c>
    </row>
    <row r="60" spans="2:44" x14ac:dyDescent="0.2">
      <c r="B60" s="1" t="s">
        <v>48</v>
      </c>
      <c r="C60" s="1">
        <v>5245.4440000000004</v>
      </c>
      <c r="D60" s="1">
        <v>5318.3980000000001</v>
      </c>
      <c r="E60" s="1">
        <v>5474.06</v>
      </c>
      <c r="F60" s="1">
        <v>5664.3590000000004</v>
      </c>
      <c r="G60" s="1">
        <v>5743.14</v>
      </c>
      <c r="H60" s="1">
        <v>6045.0290000000005</v>
      </c>
      <c r="I60" s="1">
        <v>6409.1509999999998</v>
      </c>
      <c r="J60" s="1">
        <v>6483.777</v>
      </c>
      <c r="K60" s="1">
        <v>6704.8239999999996</v>
      </c>
      <c r="L60" s="1">
        <v>7273.598</v>
      </c>
    </row>
    <row r="61" spans="2:44" x14ac:dyDescent="0.2">
      <c r="B61" s="1" t="s">
        <v>49</v>
      </c>
      <c r="C61" s="1">
        <f t="shared" ref="C61:L61" si="66">+SUM(C55:C60)</f>
        <v>49490.345000000001</v>
      </c>
      <c r="D61" s="1">
        <f t="shared" si="66"/>
        <v>50817.478999999999</v>
      </c>
      <c r="E61" s="1">
        <f t="shared" si="66"/>
        <v>49501.786</v>
      </c>
      <c r="F61" s="1">
        <f t="shared" si="66"/>
        <v>48731.991999999998</v>
      </c>
      <c r="G61" s="1">
        <f t="shared" si="66"/>
        <v>48827.720999999998</v>
      </c>
      <c r="H61" s="1">
        <f t="shared" si="66"/>
        <v>49098.894999999997</v>
      </c>
      <c r="I61" s="1">
        <f t="shared" si="66"/>
        <v>52281.843999999997</v>
      </c>
      <c r="J61" s="1">
        <f t="shared" si="66"/>
        <v>53630.374000000003</v>
      </c>
      <c r="K61" s="1">
        <f t="shared" si="66"/>
        <v>52087.640999999996</v>
      </c>
      <c r="L61" s="1">
        <f t="shared" si="66"/>
        <v>53099.663999999997</v>
      </c>
    </row>
    <row r="63" spans="2:44" x14ac:dyDescent="0.2">
      <c r="B63" s="1" t="s">
        <v>50</v>
      </c>
      <c r="C63" s="1">
        <v>4344.58</v>
      </c>
      <c r="D63" s="1">
        <v>4440.4120000000003</v>
      </c>
      <c r="E63" s="1">
        <v>4259.5820000000003</v>
      </c>
      <c r="F63" s="1">
        <v>4466.47</v>
      </c>
      <c r="G63" s="1">
        <v>4436.0209999999997</v>
      </c>
      <c r="H63" s="1">
        <v>4391.4369999999999</v>
      </c>
      <c r="I63" s="1">
        <v>4489.9709999999995</v>
      </c>
      <c r="J63" s="1">
        <v>4393.6809999999996</v>
      </c>
      <c r="K63" s="1">
        <v>4128.9049999999997</v>
      </c>
      <c r="L63" s="1">
        <v>4091.77</v>
      </c>
    </row>
    <row r="64" spans="2:44" x14ac:dyDescent="0.2">
      <c r="B64" s="1" t="s">
        <v>51</v>
      </c>
      <c r="C64" s="1">
        <v>591.98699999999997</v>
      </c>
      <c r="D64" s="1">
        <v>615.37400000000002</v>
      </c>
      <c r="E64" s="1">
        <v>534.42899999999997</v>
      </c>
      <c r="F64" s="1">
        <v>747.41200000000003</v>
      </c>
      <c r="G64" s="1">
        <v>607.34799999999996</v>
      </c>
      <c r="H64" s="1">
        <v>598.55700000000002</v>
      </c>
      <c r="I64" s="1">
        <v>641.95299999999997</v>
      </c>
      <c r="J64" s="1">
        <v>899.90899999999999</v>
      </c>
      <c r="K64" s="1">
        <v>614.48900000000003</v>
      </c>
      <c r="L64" s="1">
        <v>632.71799999999996</v>
      </c>
    </row>
    <row r="65" spans="2:12" x14ac:dyDescent="0.2">
      <c r="B65" s="1" t="s">
        <v>52</v>
      </c>
      <c r="C65" s="1">
        <v>1718.069</v>
      </c>
      <c r="D65" s="1">
        <v>1908.7139999999999</v>
      </c>
      <c r="E65" s="1">
        <v>1838.9079999999999</v>
      </c>
      <c r="F65" s="1">
        <v>1803.96</v>
      </c>
      <c r="G65" s="1">
        <v>1977.4280000000001</v>
      </c>
      <c r="H65" s="1">
        <v>1876.2439999999999</v>
      </c>
      <c r="I65" s="1">
        <v>2241.7579999999998</v>
      </c>
      <c r="J65" s="1">
        <v>2156.5439999999999</v>
      </c>
      <c r="K65" s="1">
        <v>2359.518</v>
      </c>
      <c r="L65" s="1">
        <v>2489.4859999999999</v>
      </c>
    </row>
    <row r="66" spans="2:12" x14ac:dyDescent="0.2">
      <c r="B66" s="1" t="s">
        <v>53</v>
      </c>
      <c r="C66" s="1">
        <v>1262.271</v>
      </c>
      <c r="D66" s="1">
        <v>1311.9179999999999</v>
      </c>
      <c r="E66" s="1">
        <v>1306.1849999999999</v>
      </c>
      <c r="F66" s="1">
        <v>1442.9690000000001</v>
      </c>
      <c r="G66" s="1">
        <v>1469.4839999999999</v>
      </c>
      <c r="H66" s="1">
        <v>1473.72</v>
      </c>
      <c r="I66" s="1">
        <v>1513.1479999999999</v>
      </c>
      <c r="J66" s="1">
        <v>1520.8130000000001</v>
      </c>
      <c r="K66" s="1">
        <v>1609.7260000000001</v>
      </c>
      <c r="L66" s="1">
        <v>1728.3610000000001</v>
      </c>
    </row>
    <row r="67" spans="2:12" x14ac:dyDescent="0.2">
      <c r="B67" s="1" t="s">
        <v>54</v>
      </c>
      <c r="C67" s="1">
        <v>399.16300000000001</v>
      </c>
      <c r="D67" s="1">
        <v>399.387</v>
      </c>
      <c r="E67" s="1">
        <v>399.61399999999998</v>
      </c>
      <c r="F67" s="1">
        <v>399.84399999999999</v>
      </c>
      <c r="G67" s="1">
        <v>798.93600000000004</v>
      </c>
      <c r="H67" s="1">
        <v>1800.0409999999999</v>
      </c>
      <c r="I67" s="1">
        <v>1820.396</v>
      </c>
      <c r="J67" s="1">
        <v>1784.453</v>
      </c>
      <c r="K67" s="1">
        <v>1005.881</v>
      </c>
      <c r="L67" s="1">
        <v>0</v>
      </c>
    </row>
    <row r="68" spans="2:12" x14ac:dyDescent="0.2">
      <c r="B68" s="1" t="s">
        <v>55</v>
      </c>
      <c r="C68" s="1">
        <v>2908.029</v>
      </c>
      <c r="D68" s="1">
        <v>2849.3870000000002</v>
      </c>
      <c r="E68" s="1">
        <v>2668.4720000000002</v>
      </c>
      <c r="F68" s="1">
        <v>2578.1729999999998</v>
      </c>
      <c r="G68" s="1">
        <v>2370.692</v>
      </c>
      <c r="H68" s="1">
        <v>2028.7819999999999</v>
      </c>
      <c r="I68" s="1">
        <v>1918.0889999999999</v>
      </c>
      <c r="J68" s="1">
        <v>1780.806</v>
      </c>
      <c r="K68" s="1">
        <v>1696.662</v>
      </c>
      <c r="L68" s="1">
        <v>1606.404</v>
      </c>
    </row>
    <row r="69" spans="2:12" x14ac:dyDescent="0.2">
      <c r="B69" s="1" t="s">
        <v>56</v>
      </c>
      <c r="C69" s="1">
        <v>14037.965</v>
      </c>
      <c r="D69" s="1">
        <v>14070.151</v>
      </c>
      <c r="E69" s="1">
        <v>13900.754000000001</v>
      </c>
      <c r="F69" s="1">
        <v>14143.416999999999</v>
      </c>
      <c r="G69" s="1">
        <v>13217.038</v>
      </c>
      <c r="H69" s="1">
        <v>12180.023999999999</v>
      </c>
      <c r="I69" s="1">
        <v>14160.932000000001</v>
      </c>
      <c r="J69" s="1">
        <v>13798.351000000001</v>
      </c>
      <c r="K69" s="1">
        <v>14011.037</v>
      </c>
      <c r="L69" s="1">
        <v>14453.206</v>
      </c>
    </row>
    <row r="70" spans="2:12" x14ac:dyDescent="0.2">
      <c r="B70" s="1" t="s">
        <v>57</v>
      </c>
      <c r="C70" s="1">
        <v>2400.085</v>
      </c>
      <c r="D70" s="1">
        <v>2389.915</v>
      </c>
      <c r="E70" s="1">
        <v>2486.2150000000001</v>
      </c>
      <c r="F70" s="1">
        <v>2561.4340000000002</v>
      </c>
      <c r="G70" s="1">
        <v>2585.364</v>
      </c>
      <c r="H70" s="1">
        <v>2637.3969999999999</v>
      </c>
      <c r="I70" s="1">
        <v>2774.9609999999998</v>
      </c>
      <c r="J70" s="1">
        <v>2552.25</v>
      </c>
      <c r="K70" s="1">
        <v>2633.3530000000001</v>
      </c>
      <c r="L70" s="1">
        <v>3145.82</v>
      </c>
    </row>
    <row r="71" spans="2:12" x14ac:dyDescent="0.2">
      <c r="B71" s="1" t="s">
        <v>58</v>
      </c>
      <c r="C71" s="1">
        <f t="shared" ref="C71:L71" si="67">+SUM(C63:C70)</f>
        <v>27662.148999999998</v>
      </c>
      <c r="D71" s="1">
        <f t="shared" si="67"/>
        <v>27985.258000000002</v>
      </c>
      <c r="E71" s="1">
        <f t="shared" si="67"/>
        <v>27394.159</v>
      </c>
      <c r="F71" s="1">
        <f t="shared" si="67"/>
        <v>28143.679000000004</v>
      </c>
      <c r="G71" s="1">
        <f t="shared" si="67"/>
        <v>27462.311000000002</v>
      </c>
      <c r="H71" s="1">
        <f t="shared" si="67"/>
        <v>26986.201999999997</v>
      </c>
      <c r="I71" s="1">
        <f t="shared" si="67"/>
        <v>29561.207999999999</v>
      </c>
      <c r="J71" s="1">
        <f t="shared" si="67"/>
        <v>28886.807000000001</v>
      </c>
      <c r="K71" s="1">
        <f t="shared" si="67"/>
        <v>28059.571</v>
      </c>
      <c r="L71" s="1">
        <f t="shared" si="67"/>
        <v>28147.764999999999</v>
      </c>
    </row>
    <row r="72" spans="2:12" x14ac:dyDescent="0.2">
      <c r="B72" s="1" t="s">
        <v>59</v>
      </c>
      <c r="C72" s="1">
        <v>21828.196</v>
      </c>
      <c r="D72" s="1">
        <v>22832.215</v>
      </c>
      <c r="E72" s="1">
        <v>22107.627</v>
      </c>
      <c r="F72" s="1">
        <v>20588.312999999998</v>
      </c>
      <c r="G72" s="1">
        <v>21365.41</v>
      </c>
      <c r="H72" s="1">
        <v>22112.692999999999</v>
      </c>
      <c r="I72" s="1">
        <v>22720.736000000001</v>
      </c>
      <c r="J72" s="1">
        <v>24743.566999999999</v>
      </c>
      <c r="K72" s="1">
        <v>24028.073</v>
      </c>
      <c r="L72" s="1">
        <v>24951.899000000001</v>
      </c>
    </row>
    <row r="73" spans="2:12" x14ac:dyDescent="0.2">
      <c r="B73" s="1" t="s">
        <v>60</v>
      </c>
      <c r="C73" s="1">
        <f t="shared" ref="C73:L73" si="68">+SUM(C71:C72)</f>
        <v>49490.345000000001</v>
      </c>
      <c r="D73" s="1">
        <f t="shared" si="68"/>
        <v>50817.472999999998</v>
      </c>
      <c r="E73" s="1">
        <f t="shared" si="68"/>
        <v>49501.786</v>
      </c>
      <c r="F73" s="1">
        <f t="shared" si="68"/>
        <v>48731.991999999998</v>
      </c>
      <c r="G73" s="1">
        <f t="shared" si="68"/>
        <v>48827.721000000005</v>
      </c>
      <c r="H73" s="1">
        <f t="shared" si="68"/>
        <v>49098.894999999997</v>
      </c>
      <c r="I73" s="1">
        <f t="shared" si="68"/>
        <v>52281.944000000003</v>
      </c>
      <c r="J73" s="1">
        <f t="shared" si="68"/>
        <v>53630.373999999996</v>
      </c>
      <c r="K73" s="1">
        <f t="shared" si="68"/>
        <v>52087.644</v>
      </c>
      <c r="L73" s="1">
        <f t="shared" si="68"/>
        <v>53099.664000000004</v>
      </c>
    </row>
    <row r="75" spans="2:12" x14ac:dyDescent="0.2">
      <c r="B75" s="1" t="s">
        <v>83</v>
      </c>
      <c r="C75" s="1">
        <f t="shared" ref="C75" si="69">SUM(C55:C56)</f>
        <v>7827.5039999999999</v>
      </c>
      <c r="D75" s="1">
        <f t="shared" ref="D75:E75" si="70">SUM(D55:D56)</f>
        <v>8576.9920000000002</v>
      </c>
      <c r="E75" s="1">
        <f t="shared" si="70"/>
        <v>7867.4459999999999</v>
      </c>
      <c r="F75" s="1">
        <f t="shared" ref="F75:J75" si="71">SUM(F55:F56)</f>
        <v>7137.8859999999995</v>
      </c>
      <c r="G75" s="1">
        <f t="shared" si="71"/>
        <v>7045.7389999999996</v>
      </c>
      <c r="H75" s="1">
        <f t="shared" si="71"/>
        <v>6655.9120000000003</v>
      </c>
      <c r="I75" s="1">
        <f t="shared" si="71"/>
        <v>9223.9269999999997</v>
      </c>
      <c r="J75" s="1">
        <f t="shared" si="71"/>
        <v>9583.7389999999996</v>
      </c>
      <c r="K75" s="1">
        <f>SUM(K55:K56)</f>
        <v>8370.99</v>
      </c>
      <c r="L75" s="1">
        <f>SUM(L55:L56)</f>
        <v>8390.52</v>
      </c>
    </row>
    <row r="76" spans="2:12" s="12" customFormat="1" x14ac:dyDescent="0.2">
      <c r="B76" s="12" t="s">
        <v>84</v>
      </c>
      <c r="C76" s="12">
        <f t="shared" ref="C76" si="72">SUM(C67,C69)</f>
        <v>14437.128000000001</v>
      </c>
      <c r="D76" s="12">
        <f t="shared" ref="D76:E76" si="73">SUM(D67,D69)</f>
        <v>14469.538</v>
      </c>
      <c r="E76" s="12">
        <f t="shared" si="73"/>
        <v>14300.368</v>
      </c>
      <c r="F76" s="12">
        <f t="shared" ref="F76:J76" si="74">SUM(F67,F69)</f>
        <v>14543.260999999999</v>
      </c>
      <c r="G76" s="12">
        <f t="shared" si="74"/>
        <v>14015.974</v>
      </c>
      <c r="H76" s="12">
        <f t="shared" si="74"/>
        <v>13980.064999999999</v>
      </c>
      <c r="I76" s="12">
        <f t="shared" si="74"/>
        <v>15981.328000000001</v>
      </c>
      <c r="J76" s="12">
        <f t="shared" si="74"/>
        <v>15582.804</v>
      </c>
      <c r="K76" s="12">
        <f>SUM(K67,K69)</f>
        <v>15016.918</v>
      </c>
      <c r="L76" s="12">
        <f>SUM(L67,L69)</f>
        <v>14453.206</v>
      </c>
    </row>
    <row r="77" spans="2:12" x14ac:dyDescent="0.2">
      <c r="B77" s="1" t="s">
        <v>85</v>
      </c>
      <c r="C77" s="1">
        <f>+C75-C76</f>
        <v>-6609.6240000000007</v>
      </c>
      <c r="D77" s="1">
        <f>+D75-D76</f>
        <v>-5892.5460000000003</v>
      </c>
      <c r="E77" s="1">
        <f>+E75-E76</f>
        <v>-6432.9220000000005</v>
      </c>
      <c r="F77" s="1">
        <f>+F75-F76</f>
        <v>-7405.3749999999991</v>
      </c>
      <c r="G77" s="1">
        <f t="shared" ref="G77:L77" si="75">+G75-G76</f>
        <v>-6970.2350000000006</v>
      </c>
      <c r="H77" s="1">
        <f t="shared" si="75"/>
        <v>-7324.1529999999984</v>
      </c>
      <c r="I77" s="1">
        <f t="shared" si="75"/>
        <v>-6757.4010000000017</v>
      </c>
      <c r="J77" s="1">
        <f t="shared" si="75"/>
        <v>-5999.0650000000005</v>
      </c>
      <c r="K77" s="1">
        <f t="shared" si="75"/>
        <v>-6645.9279999999999</v>
      </c>
      <c r="L77" s="1">
        <f t="shared" si="75"/>
        <v>-6062.6859999999997</v>
      </c>
    </row>
    <row r="78" spans="2:12" x14ac:dyDescent="0.2">
      <c r="B78" s="1" t="s">
        <v>86</v>
      </c>
      <c r="D78" s="1">
        <f t="shared" ref="D78:J78" si="76">+D58-C58</f>
        <v>171.59000000000015</v>
      </c>
      <c r="E78" s="1">
        <f t="shared" si="76"/>
        <v>-770.91300000000047</v>
      </c>
      <c r="F78" s="1">
        <f t="shared" si="76"/>
        <v>-91.805000000000291</v>
      </c>
      <c r="G78" s="1">
        <f t="shared" si="76"/>
        <v>4.04399999999805</v>
      </c>
      <c r="H78" s="1">
        <f t="shared" si="76"/>
        <v>265.25500000000102</v>
      </c>
      <c r="I78" s="1">
        <f t="shared" si="76"/>
        <v>248.02700000000186</v>
      </c>
      <c r="J78" s="1">
        <f t="shared" si="76"/>
        <v>277.07999999999811</v>
      </c>
      <c r="K78" s="1">
        <f>+K58-J58</f>
        <v>-411.62299999999959</v>
      </c>
      <c r="L78" s="1">
        <f>+L58-K58</f>
        <v>48.555000000000291</v>
      </c>
    </row>
    <row r="80" spans="2:12" x14ac:dyDescent="0.2">
      <c r="B80" s="1" t="s">
        <v>87</v>
      </c>
      <c r="C80" s="1">
        <v>12533.388000000001</v>
      </c>
      <c r="D80" s="1">
        <v>12622.409</v>
      </c>
      <c r="E80" s="1">
        <v>12459.413</v>
      </c>
      <c r="F80" s="1">
        <v>12722.700999999999</v>
      </c>
      <c r="G80" s="1">
        <v>12549.546</v>
      </c>
      <c r="H80" s="1">
        <v>12358.54</v>
      </c>
      <c r="I80" s="1">
        <v>12307.674000000001</v>
      </c>
      <c r="J80" s="1">
        <v>12422.308999999999</v>
      </c>
      <c r="K80" s="1">
        <v>12393.12</v>
      </c>
      <c r="L80" s="1">
        <v>12273.050999999999</v>
      </c>
    </row>
    <row r="81" spans="2:12" x14ac:dyDescent="0.2">
      <c r="B81" s="3" t="s">
        <v>91</v>
      </c>
    </row>
    <row r="82" spans="2:12" x14ac:dyDescent="0.2">
      <c r="B82" s="1" t="s">
        <v>88</v>
      </c>
      <c r="C82" s="1">
        <v>9306.3369999999995</v>
      </c>
      <c r="D82" s="1">
        <v>9286.3989999999994</v>
      </c>
      <c r="E82" s="1">
        <v>9433.8780000000006</v>
      </c>
      <c r="F82" s="1">
        <v>9843.15</v>
      </c>
      <c r="G82" s="1">
        <v>9917.8320000000003</v>
      </c>
      <c r="H82" s="1">
        <v>10033.753000000001</v>
      </c>
      <c r="I82" s="1">
        <v>10025.304</v>
      </c>
      <c r="J82" s="1">
        <v>10151.543</v>
      </c>
      <c r="K82" s="1">
        <v>10366.701999999999</v>
      </c>
      <c r="L82" s="1">
        <v>10090.174000000001</v>
      </c>
    </row>
    <row r="83" spans="2:12" x14ac:dyDescent="0.2">
      <c r="B83" s="1" t="s">
        <v>89</v>
      </c>
      <c r="C83" s="1">
        <v>9872.1380000000008</v>
      </c>
      <c r="D83" s="1">
        <v>9796.7039999999997</v>
      </c>
      <c r="E83" s="1">
        <v>9052.14</v>
      </c>
      <c r="F83" s="1">
        <v>8247.5779999999995</v>
      </c>
      <c r="G83" s="1">
        <v>8242.56</v>
      </c>
      <c r="H83" s="1">
        <v>8810.5439999999999</v>
      </c>
      <c r="I83" s="1">
        <v>9197.7150000000001</v>
      </c>
      <c r="J83" s="1">
        <v>9317.3670000000002</v>
      </c>
      <c r="K83" s="1">
        <v>8652.2780000000002</v>
      </c>
      <c r="L83" s="1">
        <v>8930.1959999999999</v>
      </c>
    </row>
    <row r="84" spans="2:12" x14ac:dyDescent="0.2">
      <c r="B84" s="1" t="s">
        <v>94</v>
      </c>
      <c r="C84" s="1">
        <v>637.32100000000003</v>
      </c>
      <c r="D84" s="1">
        <v>815.26199999999994</v>
      </c>
      <c r="E84" s="1">
        <v>804.43</v>
      </c>
      <c r="F84" s="1">
        <v>844.62699999999995</v>
      </c>
      <c r="G84" s="1">
        <v>952.16200000000003</v>
      </c>
      <c r="H84" s="1">
        <v>724.51800000000003</v>
      </c>
      <c r="I84" s="1">
        <v>644.68899999999996</v>
      </c>
      <c r="J84" s="1">
        <v>561.24300000000005</v>
      </c>
      <c r="K84" s="1">
        <v>628.73900000000003</v>
      </c>
      <c r="L84" s="1">
        <v>795.97299999999996</v>
      </c>
    </row>
    <row r="85" spans="2:12" x14ac:dyDescent="0.2">
      <c r="B85" s="14" t="s">
        <v>90</v>
      </c>
      <c r="C85" s="14">
        <f t="shared" ref="C85:J85" si="77">SUM(C80,C82:C84)</f>
        <v>32349.183999999997</v>
      </c>
      <c r="D85" s="14">
        <f t="shared" si="77"/>
        <v>32520.773999999994</v>
      </c>
      <c r="E85" s="14">
        <f t="shared" si="77"/>
        <v>31749.861000000001</v>
      </c>
      <c r="F85" s="14">
        <f t="shared" si="77"/>
        <v>31658.055999999997</v>
      </c>
      <c r="G85" s="14">
        <f t="shared" si="77"/>
        <v>31662.100000000002</v>
      </c>
      <c r="H85" s="14">
        <f t="shared" si="77"/>
        <v>31927.355</v>
      </c>
      <c r="I85" s="14">
        <f t="shared" si="77"/>
        <v>32175.382000000001</v>
      </c>
      <c r="J85" s="14">
        <f t="shared" si="77"/>
        <v>32452.461999999996</v>
      </c>
      <c r="K85" s="14">
        <f>SUM(K80,K82:K84)</f>
        <v>32040.839</v>
      </c>
      <c r="L85" s="14">
        <f>SUM(L80,L82:L84)</f>
        <v>32089.394</v>
      </c>
    </row>
    <row r="86" spans="2:12" x14ac:dyDescent="0.2">
      <c r="B86" s="1" t="s">
        <v>95</v>
      </c>
      <c r="C86" s="5">
        <f>+C80/C85</f>
        <v>0.3874406229226679</v>
      </c>
      <c r="D86" s="5">
        <f t="shared" ref="D86:L86" si="78">+D80/D85</f>
        <v>0.3881337203105929</v>
      </c>
      <c r="E86" s="5">
        <f t="shared" si="78"/>
        <v>0.39242417470741053</v>
      </c>
      <c r="F86" s="5">
        <f t="shared" si="78"/>
        <v>0.40187878244956038</v>
      </c>
      <c r="G86" s="5">
        <f t="shared" si="78"/>
        <v>0.39635861171558423</v>
      </c>
      <c r="H86" s="5">
        <f t="shared" si="78"/>
        <v>0.38708311415085905</v>
      </c>
      <c r="I86" s="5">
        <f t="shared" si="78"/>
        <v>0.38251834896629977</v>
      </c>
      <c r="J86" s="5">
        <f t="shared" si="78"/>
        <v>0.38278479457121006</v>
      </c>
      <c r="K86" s="5">
        <f t="shared" si="78"/>
        <v>0.38679136960177607</v>
      </c>
      <c r="L86" s="5">
        <f t="shared" si="78"/>
        <v>0.38246440552912903</v>
      </c>
    </row>
    <row r="87" spans="2:12" x14ac:dyDescent="0.2">
      <c r="B87" s="1" t="s">
        <v>92</v>
      </c>
      <c r="C87" s="1">
        <v>1723.6780000000001</v>
      </c>
      <c r="D87" s="1">
        <v>1779.3209999999999</v>
      </c>
      <c r="E87" s="1">
        <v>1777.701</v>
      </c>
      <c r="F87" s="1">
        <f>7145.446-SUM(C87:E87)</f>
        <v>1864.7460000000001</v>
      </c>
      <c r="G87" s="1">
        <v>1835.117</v>
      </c>
      <c r="H87" s="1">
        <v>1884.491</v>
      </c>
      <c r="I87" s="1">
        <v>1814.04</v>
      </c>
      <c r="J87" s="1">
        <f>7689.014-SUM(G87:I87)</f>
        <v>2155.366</v>
      </c>
      <c r="K87" s="1">
        <v>1998.5250000000001</v>
      </c>
      <c r="L87" s="1">
        <v>2010.2070000000001</v>
      </c>
    </row>
    <row r="88" spans="2:12" x14ac:dyDescent="0.2">
      <c r="B88" s="1" t="s">
        <v>91</v>
      </c>
      <c r="C88" s="1">
        <v>1736.306</v>
      </c>
      <c r="D88" s="1">
        <v>1630.7</v>
      </c>
      <c r="E88" s="1">
        <v>1795.652</v>
      </c>
      <c r="F88" s="1">
        <f>7051.991-SUM(C88:E88)</f>
        <v>1889.3329999999996</v>
      </c>
      <c r="G88" s="1">
        <v>1835.6880000000001</v>
      </c>
      <c r="H88" s="1">
        <v>1885.1990000000001</v>
      </c>
      <c r="I88" s="1">
        <v>1885.481</v>
      </c>
      <c r="J88" s="1">
        <f>7612.503-SUM(G88:I88)</f>
        <v>2006.1349999999993</v>
      </c>
      <c r="K88" s="1">
        <v>1824.587</v>
      </c>
      <c r="L88" s="1">
        <v>1821.867</v>
      </c>
    </row>
    <row r="89" spans="2:12" x14ac:dyDescent="0.2">
      <c r="B89" s="14" t="s">
        <v>93</v>
      </c>
      <c r="C89" s="14">
        <f t="shared" ref="C89:I89" si="79">SUM(C87:C88)</f>
        <v>3459.9840000000004</v>
      </c>
      <c r="D89" s="14">
        <f t="shared" si="79"/>
        <v>3410.0209999999997</v>
      </c>
      <c r="E89" s="14">
        <f t="shared" si="79"/>
        <v>3573.3530000000001</v>
      </c>
      <c r="F89" s="14">
        <f t="shared" si="79"/>
        <v>3754.0789999999997</v>
      </c>
      <c r="G89" s="14">
        <f t="shared" si="79"/>
        <v>3670.8050000000003</v>
      </c>
      <c r="H89" s="14">
        <f t="shared" si="79"/>
        <v>3769.69</v>
      </c>
      <c r="I89" s="14">
        <f t="shared" si="79"/>
        <v>3699.5209999999997</v>
      </c>
      <c r="J89" s="14">
        <f>SUM(J87:J88)</f>
        <v>4161.5009999999993</v>
      </c>
      <c r="K89" s="14">
        <f>SUM(K87:K88)</f>
        <v>3823.1120000000001</v>
      </c>
      <c r="L89" s="14">
        <f>SUM(L87:L88)</f>
        <v>3832.0740000000001</v>
      </c>
    </row>
    <row r="91" spans="2:12" x14ac:dyDescent="0.2">
      <c r="B91" s="1" t="s">
        <v>33</v>
      </c>
      <c r="C91" s="1">
        <f>+C34</f>
        <v>1305.120000000001</v>
      </c>
      <c r="D91" s="1">
        <f>+D34</f>
        <v>1487.6100000000001</v>
      </c>
      <c r="E91" s="1">
        <f>+E34</f>
        <v>1677.4220000000003</v>
      </c>
      <c r="F91" s="1">
        <f>+F34</f>
        <v>937.83799999999883</v>
      </c>
      <c r="G91" s="1">
        <f>+G34</f>
        <v>2332.208999999998</v>
      </c>
      <c r="H91" s="1">
        <v>2147.306</v>
      </c>
      <c r="I91" s="1">
        <f>+I34</f>
        <v>2363.5089999999987</v>
      </c>
      <c r="J91" s="1">
        <f>+J34</f>
        <v>1868.5674999999956</v>
      </c>
      <c r="K91" s="1">
        <v>2890.3510000000001</v>
      </c>
      <c r="L91" s="1">
        <v>3125.413</v>
      </c>
    </row>
    <row r="92" spans="2:12" x14ac:dyDescent="0.2">
      <c r="B92" s="1" t="s">
        <v>61</v>
      </c>
      <c r="C92" s="1">
        <v>-2458.6660000000002</v>
      </c>
      <c r="D92" s="1">
        <v>-3683.0070000000001</v>
      </c>
      <c r="E92" s="1">
        <v>-2883.8389999999999</v>
      </c>
      <c r="F92" s="1">
        <v>-3529.1909999999998</v>
      </c>
      <c r="G92" s="1">
        <v>-3728.9670000000001</v>
      </c>
      <c r="H92" s="1">
        <v>-4048.8519999999999</v>
      </c>
      <c r="I92" s="1">
        <v>-4016.3960000000002</v>
      </c>
      <c r="J92" s="1">
        <v>-4429.402</v>
      </c>
      <c r="K92" s="1">
        <v>-3549.6570000000002</v>
      </c>
      <c r="L92" s="1">
        <v>-3835.8130000000001</v>
      </c>
    </row>
    <row r="93" spans="2:12" x14ac:dyDescent="0.2">
      <c r="B93" s="1" t="s">
        <v>62</v>
      </c>
      <c r="C93" s="1">
        <v>-354.791</v>
      </c>
      <c r="D93" s="1">
        <v>46.119</v>
      </c>
      <c r="E93" s="1">
        <v>-325.98899999999998</v>
      </c>
      <c r="F93" s="1">
        <v>49.058999999999997</v>
      </c>
      <c r="G93" s="1">
        <v>-189.441</v>
      </c>
      <c r="H93" s="1">
        <v>-366.572</v>
      </c>
      <c r="I93" s="1">
        <v>-83.584999999999994</v>
      </c>
      <c r="J93" s="1">
        <v>-139.53700000000001</v>
      </c>
      <c r="K93" s="1">
        <v>-411.25299999999999</v>
      </c>
      <c r="L93" s="1">
        <v>-214.05199999999999</v>
      </c>
    </row>
    <row r="94" spans="2:12" x14ac:dyDescent="0.2">
      <c r="B94" s="1" t="s">
        <v>63</v>
      </c>
      <c r="C94" s="1">
        <v>3459.9810000000002</v>
      </c>
      <c r="D94" s="1">
        <v>3410.0210000000002</v>
      </c>
      <c r="E94" s="1">
        <v>3573.3530000000001</v>
      </c>
      <c r="F94" s="1">
        <v>3754.0790000000002</v>
      </c>
      <c r="G94" s="1">
        <v>3670.8049999999998</v>
      </c>
      <c r="H94" s="1">
        <v>3769.69</v>
      </c>
      <c r="I94" s="1">
        <v>3699.5210000000002</v>
      </c>
      <c r="J94" s="1">
        <v>4161.5010000000002</v>
      </c>
      <c r="K94" s="1">
        <v>3823.1120000000001</v>
      </c>
      <c r="L94" s="1">
        <v>3832.0740000000001</v>
      </c>
    </row>
    <row r="95" spans="2:12" x14ac:dyDescent="0.2">
      <c r="B95" s="1" t="s">
        <v>64</v>
      </c>
      <c r="C95" s="1">
        <v>90.334999999999994</v>
      </c>
      <c r="D95" s="1">
        <v>89.385000000000005</v>
      </c>
      <c r="E95" s="1">
        <v>90.66</v>
      </c>
      <c r="F95" s="1">
        <v>86.566999999999993</v>
      </c>
      <c r="G95" s="1">
        <v>87.233999999999995</v>
      </c>
      <c r="H95" s="1">
        <v>81.227000000000004</v>
      </c>
      <c r="I95" s="1">
        <v>80.914000000000001</v>
      </c>
      <c r="J95" s="1">
        <v>79.539000000000001</v>
      </c>
      <c r="K95" s="1">
        <v>80.066999999999993</v>
      </c>
      <c r="L95" s="1">
        <v>80.013000000000005</v>
      </c>
    </row>
    <row r="96" spans="2:12" x14ac:dyDescent="0.2">
      <c r="B96" s="1" t="s">
        <v>65</v>
      </c>
      <c r="C96" s="1">
        <v>99.099000000000004</v>
      </c>
      <c r="D96" s="1">
        <v>78.03</v>
      </c>
      <c r="E96" s="1">
        <v>79.72</v>
      </c>
      <c r="F96" s="1">
        <v>82.519000000000005</v>
      </c>
      <c r="G96" s="1">
        <v>76.344999999999999</v>
      </c>
      <c r="H96" s="1">
        <v>68.766000000000005</v>
      </c>
      <c r="I96" s="1">
        <v>65.650000000000006</v>
      </c>
      <c r="J96" s="1">
        <v>61.826999999999998</v>
      </c>
      <c r="K96" s="1">
        <v>71.977000000000004</v>
      </c>
      <c r="L96" s="1">
        <v>80.861999999999995</v>
      </c>
    </row>
    <row r="97" spans="2:12" x14ac:dyDescent="0.2">
      <c r="B97" s="1" t="s">
        <v>66</v>
      </c>
      <c r="C97" s="1">
        <v>80.650999999999996</v>
      </c>
      <c r="D97" s="1">
        <v>28.952000000000002</v>
      </c>
      <c r="E97" s="1">
        <v>-172.678</v>
      </c>
      <c r="F97" s="1">
        <v>239.37100000000001</v>
      </c>
      <c r="G97" s="1">
        <v>-130.80099999999999</v>
      </c>
      <c r="H97" s="1">
        <v>-42.692</v>
      </c>
      <c r="I97" s="1">
        <v>104.809</v>
      </c>
      <c r="J97" s="1">
        <v>-52.854999999999997</v>
      </c>
      <c r="K97" s="1">
        <v>28.547000000000001</v>
      </c>
      <c r="L97" s="1">
        <v>55.238</v>
      </c>
    </row>
    <row r="98" spans="2:12" x14ac:dyDescent="0.2">
      <c r="B98" s="1" t="s">
        <v>67</v>
      </c>
      <c r="C98" s="1">
        <v>120.008</v>
      </c>
      <c r="D98" s="1">
        <v>121.483</v>
      </c>
      <c r="E98" s="1">
        <v>115.688</v>
      </c>
      <c r="F98" s="1">
        <v>154.89599999999999</v>
      </c>
      <c r="G98" s="1">
        <v>97.180999999999997</v>
      </c>
      <c r="H98" s="1">
        <v>138.58799999999999</v>
      </c>
      <c r="I98" s="1">
        <v>128.08199999999999</v>
      </c>
      <c r="J98" s="1">
        <v>130.92699999999999</v>
      </c>
      <c r="K98" s="1">
        <v>114.73</v>
      </c>
      <c r="L98" s="1">
        <v>120.139</v>
      </c>
    </row>
    <row r="99" spans="2:12" x14ac:dyDescent="0.2">
      <c r="B99" s="1" t="s">
        <v>68</v>
      </c>
      <c r="C99" s="1">
        <v>-98.781999999999996</v>
      </c>
      <c r="D99" s="1">
        <v>-103.172</v>
      </c>
      <c r="E99" s="1">
        <v>-86.277000000000001</v>
      </c>
      <c r="F99" s="1">
        <v>-171.12799999999999</v>
      </c>
      <c r="G99" s="1">
        <v>-107.077</v>
      </c>
      <c r="H99" s="1">
        <v>-209.387</v>
      </c>
      <c r="I99" s="1">
        <v>-200.982</v>
      </c>
      <c r="J99" s="1">
        <v>-73.251999999999995</v>
      </c>
      <c r="K99" s="1">
        <v>-163.928</v>
      </c>
      <c r="L99" s="1">
        <v>-135.755</v>
      </c>
    </row>
    <row r="100" spans="2:12" x14ac:dyDescent="0.2">
      <c r="B100" s="1" t="s">
        <v>45</v>
      </c>
      <c r="C100" s="1">
        <v>-88.522000000000006</v>
      </c>
      <c r="D100" s="1">
        <v>-183.04900000000001</v>
      </c>
      <c r="E100" s="1">
        <v>103.76600000000001</v>
      </c>
      <c r="F100" s="1">
        <v>-13.198</v>
      </c>
      <c r="G100" s="1">
        <v>38.048999999999999</v>
      </c>
      <c r="H100" s="1">
        <v>-28.959</v>
      </c>
      <c r="I100" s="1">
        <v>54.956000000000003</v>
      </c>
      <c r="J100" s="1">
        <v>-41.866</v>
      </c>
      <c r="K100" s="1">
        <v>-131.36699999999999</v>
      </c>
      <c r="L100" s="1">
        <v>-176.68299999999999</v>
      </c>
    </row>
    <row r="101" spans="2:12" x14ac:dyDescent="0.2">
      <c r="B101" s="1" t="s">
        <v>51</v>
      </c>
      <c r="C101" s="1">
        <v>-89.668000000000006</v>
      </c>
      <c r="D101" s="1">
        <v>38.332000000000001</v>
      </c>
      <c r="E101" s="1">
        <v>-68.39</v>
      </c>
      <c r="F101" s="1">
        <v>213.22800000000001</v>
      </c>
      <c r="G101" s="1">
        <v>-145.26499999999999</v>
      </c>
      <c r="H101" s="1">
        <v>-19.358000000000001</v>
      </c>
      <c r="I101" s="1">
        <v>30.597000000000001</v>
      </c>
      <c r="J101" s="1">
        <v>255.37899999999999</v>
      </c>
      <c r="K101" s="1">
        <v>-276.42599999999999</v>
      </c>
      <c r="L101" s="1">
        <v>11.045999999999999</v>
      </c>
    </row>
    <row r="102" spans="2:12" x14ac:dyDescent="0.2">
      <c r="B102" s="1" t="s">
        <v>52</v>
      </c>
      <c r="C102" s="1">
        <v>185.29900000000001</v>
      </c>
      <c r="D102" s="1">
        <v>177.83099999999999</v>
      </c>
      <c r="E102" s="1">
        <v>-65.028999999999996</v>
      </c>
      <c r="F102" s="1">
        <v>-194.536</v>
      </c>
      <c r="G102" s="1">
        <v>251.78200000000001</v>
      </c>
      <c r="H102" s="1">
        <v>-114.303</v>
      </c>
      <c r="I102" s="1">
        <v>179.011</v>
      </c>
      <c r="J102" s="1">
        <v>-124.59099999999999</v>
      </c>
      <c r="K102" s="1">
        <v>306.41300000000001</v>
      </c>
      <c r="L102" s="1">
        <v>-267.23500000000001</v>
      </c>
    </row>
    <row r="103" spans="2:12" x14ac:dyDescent="0.2">
      <c r="B103" s="1" t="s">
        <v>53</v>
      </c>
      <c r="C103" s="1">
        <v>-2.39</v>
      </c>
      <c r="D103" s="1">
        <v>49.646999999999998</v>
      </c>
      <c r="E103" s="1">
        <v>-5.7329999999999997</v>
      </c>
      <c r="F103" s="1">
        <v>137.184</v>
      </c>
      <c r="G103" s="1">
        <v>26.515000000000001</v>
      </c>
      <c r="H103" s="1">
        <v>4.2359999999999998</v>
      </c>
      <c r="I103" s="1">
        <v>39.328000000000003</v>
      </c>
      <c r="J103" s="1">
        <v>7.7649999999999997</v>
      </c>
      <c r="K103" s="1">
        <v>88.912999999999997</v>
      </c>
      <c r="L103" s="1">
        <v>118.63500000000001</v>
      </c>
    </row>
    <row r="104" spans="2:12" x14ac:dyDescent="0.2">
      <c r="B104" s="1" t="s">
        <v>69</v>
      </c>
      <c r="C104" s="1">
        <v>-68.936999999999998</v>
      </c>
      <c r="D104" s="1">
        <v>-117.95</v>
      </c>
      <c r="E104" s="1">
        <v>-40.359000000000002</v>
      </c>
      <c r="F104" s="1">
        <v>-83.674000000000007</v>
      </c>
      <c r="G104" s="1">
        <v>-66.046999999999997</v>
      </c>
      <c r="H104" s="1">
        <v>-88.843000000000004</v>
      </c>
      <c r="I104" s="1">
        <v>-124.313</v>
      </c>
      <c r="J104" s="1">
        <v>-167.148</v>
      </c>
      <c r="K104" s="1">
        <v>-82.28</v>
      </c>
      <c r="L104" s="1">
        <v>-370.62400000000002</v>
      </c>
    </row>
    <row r="105" spans="2:12" s="3" customFormat="1" x14ac:dyDescent="0.2">
      <c r="B105" s="3" t="s">
        <v>70</v>
      </c>
      <c r="C105" s="3">
        <f t="shared" ref="C105:L105" si="80">+SUM(C91:C104)</f>
        <v>2178.737000000001</v>
      </c>
      <c r="D105" s="3">
        <f t="shared" si="80"/>
        <v>1440.2320000000002</v>
      </c>
      <c r="E105" s="3">
        <f t="shared" si="80"/>
        <v>1992.3150000000007</v>
      </c>
      <c r="F105" s="3">
        <f t="shared" si="80"/>
        <v>1663.0139999999994</v>
      </c>
      <c r="G105" s="3">
        <f t="shared" si="80"/>
        <v>2212.5219999999977</v>
      </c>
      <c r="H105" s="3">
        <f t="shared" si="80"/>
        <v>1290.8470000000002</v>
      </c>
      <c r="I105" s="3">
        <f t="shared" si="80"/>
        <v>2321.1009999999987</v>
      </c>
      <c r="J105" s="3">
        <f t="shared" si="80"/>
        <v>1536.8544999999961</v>
      </c>
      <c r="K105" s="3">
        <f t="shared" si="80"/>
        <v>2789.1989999999996</v>
      </c>
      <c r="L105" s="3">
        <f t="shared" si="80"/>
        <v>2423.2579999999998</v>
      </c>
    </row>
    <row r="107" spans="2:12" x14ac:dyDescent="0.2">
      <c r="B107" s="1" t="s">
        <v>47</v>
      </c>
      <c r="C107" s="1">
        <v>-62.018999999999998</v>
      </c>
      <c r="D107" s="1">
        <v>-100.97199999999999</v>
      </c>
      <c r="E107" s="1">
        <v>-103.929</v>
      </c>
      <c r="F107" s="1">
        <v>-81.632000000000005</v>
      </c>
      <c r="G107" s="1">
        <v>-75.713999999999999</v>
      </c>
      <c r="H107" s="1">
        <v>-78.287000000000006</v>
      </c>
      <c r="I107" s="1">
        <v>-126.863</v>
      </c>
      <c r="J107" s="1">
        <v>-158.67400000000001</v>
      </c>
      <c r="K107" s="1">
        <v>-128.27699999999999</v>
      </c>
      <c r="L107" s="1">
        <v>-155.88900000000001</v>
      </c>
    </row>
    <row r="108" spans="2:12" x14ac:dyDescent="0.2">
      <c r="B108" s="1" t="s">
        <v>71</v>
      </c>
      <c r="C108" s="1">
        <v>-201.63399999999999</v>
      </c>
      <c r="D108" s="1">
        <v>-303.22800000000001</v>
      </c>
      <c r="H108" s="1">
        <v>0</v>
      </c>
      <c r="I108" s="1">
        <v>-1742.2460000000001</v>
      </c>
      <c r="K108" s="1">
        <v>-156.01499999999999</v>
      </c>
      <c r="L108" s="1">
        <v>-1.65</v>
      </c>
    </row>
    <row r="109" spans="2:12" x14ac:dyDescent="0.2">
      <c r="B109" s="1" t="s">
        <v>72</v>
      </c>
      <c r="D109" s="1">
        <v>501.93700000000001</v>
      </c>
      <c r="E109" s="1">
        <v>400</v>
      </c>
      <c r="F109" s="1">
        <v>493.22800000000001</v>
      </c>
      <c r="H109" s="1">
        <v>0</v>
      </c>
      <c r="K109" s="1">
        <v>769.95399999999995</v>
      </c>
      <c r="L109" s="1">
        <v>962.41300000000001</v>
      </c>
    </row>
    <row r="110" spans="2:12" x14ac:dyDescent="0.2">
      <c r="B110" s="1" t="s">
        <v>96</v>
      </c>
      <c r="H110" s="1">
        <v>0</v>
      </c>
      <c r="L110" s="1">
        <v>-36.19</v>
      </c>
    </row>
    <row r="111" spans="2:12" s="3" customFormat="1" x14ac:dyDescent="0.2">
      <c r="B111" s="3" t="s">
        <v>73</v>
      </c>
      <c r="C111" s="3">
        <f t="shared" ref="C111:L111" si="81">+SUM(C107:C110)</f>
        <v>-263.65299999999996</v>
      </c>
      <c r="D111" s="3">
        <f t="shared" si="81"/>
        <v>97.737000000000023</v>
      </c>
      <c r="E111" s="3">
        <f t="shared" si="81"/>
        <v>296.07100000000003</v>
      </c>
      <c r="F111" s="3">
        <f t="shared" si="81"/>
        <v>411.596</v>
      </c>
      <c r="G111" s="3">
        <f t="shared" si="81"/>
        <v>-75.713999999999999</v>
      </c>
      <c r="H111" s="3">
        <f t="shared" si="81"/>
        <v>-78.287000000000006</v>
      </c>
      <c r="I111" s="3">
        <f t="shared" si="81"/>
        <v>-1869.1090000000002</v>
      </c>
      <c r="J111" s="3">
        <f t="shared" si="81"/>
        <v>-158.67400000000001</v>
      </c>
      <c r="K111" s="3">
        <f t="shared" si="81"/>
        <v>485.66199999999998</v>
      </c>
      <c r="L111" s="3">
        <f t="shared" si="81"/>
        <v>768.68399999999997</v>
      </c>
    </row>
    <row r="113" spans="2:12" x14ac:dyDescent="0.2">
      <c r="B113" s="1" t="s">
        <v>173</v>
      </c>
      <c r="I113" s="1">
        <v>1794.46</v>
      </c>
    </row>
    <row r="114" spans="2:12" x14ac:dyDescent="0.2">
      <c r="B114" s="1" t="s">
        <v>74</v>
      </c>
      <c r="C114" s="1">
        <v>0</v>
      </c>
      <c r="D114" s="3">
        <v>0</v>
      </c>
      <c r="E114" s="1">
        <v>0</v>
      </c>
      <c r="F114" s="1">
        <v>0</v>
      </c>
      <c r="G114" s="1">
        <v>-400</v>
      </c>
      <c r="H114" s="1">
        <v>0</v>
      </c>
      <c r="I114" s="1">
        <v>0</v>
      </c>
      <c r="K114" s="1">
        <v>-800</v>
      </c>
      <c r="L114" s="1">
        <v>-1033.45</v>
      </c>
    </row>
    <row r="115" spans="2:12" x14ac:dyDescent="0.2">
      <c r="B115" s="1" t="s">
        <v>75</v>
      </c>
      <c r="C115" s="1">
        <v>26.027999999999999</v>
      </c>
      <c r="D115" s="1">
        <v>34.716999999999999</v>
      </c>
      <c r="E115" s="1">
        <v>57.817999999999998</v>
      </c>
      <c r="F115" s="1">
        <v>51.427</v>
      </c>
      <c r="G115" s="1">
        <v>268.88099999999997</v>
      </c>
      <c r="H115" s="1">
        <v>118.75</v>
      </c>
      <c r="I115" s="1">
        <v>143.244</v>
      </c>
      <c r="J115" s="1">
        <v>302.012</v>
      </c>
      <c r="K115" s="1">
        <v>351.60199999999998</v>
      </c>
      <c r="L115" s="1">
        <v>169.066</v>
      </c>
    </row>
    <row r="116" spans="2:12" x14ac:dyDescent="0.2">
      <c r="B116" s="1" t="s">
        <v>76</v>
      </c>
      <c r="C116" s="1">
        <v>-400.101</v>
      </c>
      <c r="D116" s="1">
        <v>-645.14599999999996</v>
      </c>
      <c r="E116" s="1">
        <v>-2500.1</v>
      </c>
      <c r="F116" s="1">
        <v>-2500</v>
      </c>
      <c r="G116" s="1">
        <v>-2000</v>
      </c>
      <c r="H116" s="1">
        <v>-1599.998</v>
      </c>
      <c r="I116" s="1">
        <v>-1700</v>
      </c>
      <c r="J116" s="1">
        <v>-963.74800000000005</v>
      </c>
      <c r="K116" s="1">
        <v>-3536.3960000000002</v>
      </c>
      <c r="L116" s="1">
        <v>-1654.327</v>
      </c>
    </row>
    <row r="117" spans="2:12" x14ac:dyDescent="0.2">
      <c r="B117" s="1" t="s">
        <v>77</v>
      </c>
      <c r="G117" s="1">
        <v>-1.825</v>
      </c>
      <c r="H117" s="1">
        <v>-1.883</v>
      </c>
      <c r="I117" s="1">
        <v>-2.024</v>
      </c>
      <c r="J117" s="1">
        <v>-2.5529999999999999</v>
      </c>
      <c r="K117" s="1">
        <v>-27.87</v>
      </c>
      <c r="L117" s="1">
        <v>-6.1139999999999999</v>
      </c>
    </row>
    <row r="118" spans="2:12" x14ac:dyDescent="0.2">
      <c r="B118" s="1" t="s">
        <v>78</v>
      </c>
      <c r="C118" s="1">
        <v>0</v>
      </c>
      <c r="D118" s="1">
        <v>-38.92</v>
      </c>
      <c r="E118" s="1">
        <v>-32.826000000000001</v>
      </c>
      <c r="F118" s="1">
        <v>-3.7</v>
      </c>
      <c r="H118" s="1">
        <v>-6.25</v>
      </c>
      <c r="I118" s="1">
        <v>-9.0839999999999996</v>
      </c>
      <c r="J118" s="1">
        <v>-14.409000000000001</v>
      </c>
      <c r="K118" s="1">
        <v>-15.651999999999999</v>
      </c>
      <c r="L118" s="1">
        <v>21.957000000000001</v>
      </c>
    </row>
    <row r="119" spans="2:12" s="3" customFormat="1" x14ac:dyDescent="0.2">
      <c r="B119" s="3" t="s">
        <v>79</v>
      </c>
      <c r="C119" s="3">
        <f t="shared" ref="C119:H119" si="82">+SUM(C114:C118)</f>
        <v>-374.07299999999998</v>
      </c>
      <c r="D119" s="3">
        <f t="shared" si="82"/>
        <v>-649.34899999999993</v>
      </c>
      <c r="E119" s="3">
        <f t="shared" si="82"/>
        <v>-2475.1079999999997</v>
      </c>
      <c r="F119" s="3">
        <f t="shared" si="82"/>
        <v>-2452.2729999999997</v>
      </c>
      <c r="G119" s="3">
        <f t="shared" si="82"/>
        <v>-2132.944</v>
      </c>
      <c r="H119" s="3">
        <f t="shared" si="82"/>
        <v>-1489.3810000000001</v>
      </c>
      <c r="I119" s="3">
        <f>+SUM(I113:I118)</f>
        <v>226.59599999999995</v>
      </c>
      <c r="J119" s="3">
        <f>+SUM(J113:J118)</f>
        <v>-678.69800000000009</v>
      </c>
      <c r="K119" s="3">
        <f>+SUM(K114:K118)</f>
        <v>-4028.3160000000003</v>
      </c>
      <c r="L119" s="3">
        <f>+SUM(L114:L118)</f>
        <v>-2502.8680000000004</v>
      </c>
    </row>
    <row r="120" spans="2:12" s="3" customFormat="1" x14ac:dyDescent="0.2"/>
    <row r="121" spans="2:12" x14ac:dyDescent="0.2">
      <c r="B121" s="1" t="s">
        <v>66</v>
      </c>
      <c r="C121" s="1">
        <v>26.422999999999998</v>
      </c>
      <c r="D121" s="1">
        <v>39.625999999999998</v>
      </c>
      <c r="E121" s="1">
        <v>-122.70699999999999</v>
      </c>
      <c r="F121" s="1">
        <v>139.34200000000001</v>
      </c>
      <c r="G121" s="1">
        <v>-95.79</v>
      </c>
      <c r="H121" s="1">
        <v>-122.723</v>
      </c>
      <c r="I121" s="1">
        <v>153.452</v>
      </c>
      <c r="J121" s="1">
        <v>-351.27</v>
      </c>
      <c r="K121" s="1">
        <v>150.14599999999999</v>
      </c>
      <c r="L121" s="1">
        <v>287.471</v>
      </c>
    </row>
    <row r="122" spans="2:12" x14ac:dyDescent="0.2">
      <c r="B122" s="1" t="s">
        <v>97</v>
      </c>
      <c r="C122" s="1">
        <f t="shared" ref="C122:L122" si="83">SUM(C121,C119,C111,C105)</f>
        <v>1567.4340000000011</v>
      </c>
      <c r="D122" s="1">
        <f t="shared" si="83"/>
        <v>928.24600000000032</v>
      </c>
      <c r="E122" s="1">
        <f t="shared" si="83"/>
        <v>-309.42899999999895</v>
      </c>
      <c r="F122" s="1">
        <f t="shared" si="83"/>
        <v>-238.32100000000014</v>
      </c>
      <c r="G122" s="1">
        <f t="shared" si="83"/>
        <v>-91.926000000002205</v>
      </c>
      <c r="H122" s="1">
        <f t="shared" si="83"/>
        <v>-399.54399999999987</v>
      </c>
      <c r="I122" s="1">
        <f t="shared" si="83"/>
        <v>832.0399999999986</v>
      </c>
      <c r="J122" s="1">
        <f t="shared" si="83"/>
        <v>348.212499999996</v>
      </c>
      <c r="K122" s="1">
        <f t="shared" si="83"/>
        <v>-603.30900000000065</v>
      </c>
      <c r="L122" s="1">
        <f t="shared" si="83"/>
        <v>976.54499999999939</v>
      </c>
    </row>
    <row r="123" spans="2:12" x14ac:dyDescent="0.2">
      <c r="B123" s="1" t="s">
        <v>98</v>
      </c>
      <c r="C123" s="1">
        <v>5170.5820000000003</v>
      </c>
      <c r="D123" s="1">
        <f>+C124</f>
        <v>6738.0160000000014</v>
      </c>
      <c r="E123" s="1">
        <f>+D124</f>
        <v>7666.2620000000015</v>
      </c>
      <c r="F123" s="1">
        <f>+E124</f>
        <v>7356.8330000000024</v>
      </c>
      <c r="G123" s="1">
        <v>7118.5150000000003</v>
      </c>
      <c r="H123" s="1">
        <v>7204.0280000000002</v>
      </c>
      <c r="I123" s="1">
        <v>6627.0450000000001</v>
      </c>
      <c r="J123" s="1">
        <f>+I124</f>
        <v>7459.0849999999991</v>
      </c>
      <c r="K123" s="1">
        <v>7807.3370000000004</v>
      </c>
      <c r="L123" s="1">
        <v>7204.0280000000002</v>
      </c>
    </row>
    <row r="124" spans="2:12" x14ac:dyDescent="0.2">
      <c r="B124" s="1" t="s">
        <v>99</v>
      </c>
      <c r="C124" s="1">
        <f>SUM(C122:C123)</f>
        <v>6738.0160000000014</v>
      </c>
      <c r="D124" s="1">
        <f>SUM(D122:D123)</f>
        <v>7666.2620000000015</v>
      </c>
      <c r="E124" s="1">
        <f>SUM(E122:E123)</f>
        <v>7356.8330000000024</v>
      </c>
      <c r="F124" s="1">
        <f>SUM(F122:F123)</f>
        <v>7118.5120000000024</v>
      </c>
      <c r="G124" s="1">
        <f t="shared" ref="G124:L124" si="84">+SUM(G122:G123)</f>
        <v>7026.5889999999981</v>
      </c>
      <c r="H124" s="1">
        <f t="shared" si="84"/>
        <v>6804.4840000000004</v>
      </c>
      <c r="I124" s="1">
        <f t="shared" si="84"/>
        <v>7459.0849999999991</v>
      </c>
      <c r="J124" s="1">
        <f t="shared" si="84"/>
        <v>7807.2974999999951</v>
      </c>
      <c r="K124" s="1">
        <f t="shared" si="84"/>
        <v>7204.0280000000002</v>
      </c>
      <c r="L124" s="1">
        <f t="shared" si="84"/>
        <v>8180.5729999999994</v>
      </c>
    </row>
    <row r="126" spans="2:12" x14ac:dyDescent="0.2">
      <c r="B126" s="1" t="s">
        <v>80</v>
      </c>
      <c r="C126" s="1">
        <f t="shared" ref="C126:J126" si="85">+C105+C107</f>
        <v>2116.7180000000012</v>
      </c>
      <c r="D126" s="1">
        <f t="shared" si="85"/>
        <v>1339.2600000000002</v>
      </c>
      <c r="E126" s="1">
        <f t="shared" si="85"/>
        <v>1888.3860000000006</v>
      </c>
      <c r="F126" s="1">
        <f t="shared" si="85"/>
        <v>1581.3819999999994</v>
      </c>
      <c r="G126" s="1">
        <f t="shared" si="85"/>
        <v>2136.8079999999977</v>
      </c>
      <c r="H126" s="1">
        <f t="shared" si="85"/>
        <v>1212.5600000000002</v>
      </c>
      <c r="I126" s="1">
        <f t="shared" si="85"/>
        <v>2194.2379999999989</v>
      </c>
      <c r="J126" s="1">
        <f t="shared" si="85"/>
        <v>1378.1804999999961</v>
      </c>
      <c r="K126" s="1">
        <f>+K105+K107</f>
        <v>2660.9219999999996</v>
      </c>
      <c r="L126" s="1">
        <f>+L105+L107</f>
        <v>2267.3689999999997</v>
      </c>
    </row>
    <row r="127" spans="2:12" x14ac:dyDescent="0.2">
      <c r="B127" s="1" t="s">
        <v>176</v>
      </c>
      <c r="L127" s="1">
        <f>SUM(I126:L126)</f>
        <v>8500.7094999999936</v>
      </c>
    </row>
  </sheetData>
  <pageMargins left="0.7" right="0.7" top="0.75" bottom="0.75" header="0.3" footer="0.3"/>
  <ignoredErrors>
    <ignoredError sqref="F75:L75 B86:L90 K76:L85 B91 H91 K91:L91" formulaRange="1"/>
    <ignoredError sqref="B55:J74 B49:J52 B24:J43 B47:J47 B44:I44" formula="1"/>
    <ignoredError sqref="B75:E75 B76:J85" formula="1" formulaRange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6D7CF-58BF-9941-9FAB-2F4804EA7F06}">
  <dimension ref="B3:I23"/>
  <sheetViews>
    <sheetView workbookViewId="0">
      <selection activeCell="B3" sqref="B3:C23"/>
    </sheetView>
  </sheetViews>
  <sheetFormatPr baseColWidth="10" defaultRowHeight="16" x14ac:dyDescent="0.2"/>
  <sheetData>
    <row r="3" spans="2:9" x14ac:dyDescent="0.2">
      <c r="B3" s="1" t="s">
        <v>136</v>
      </c>
      <c r="C3" s="16" t="s">
        <v>137</v>
      </c>
    </row>
    <row r="4" spans="2:9" x14ac:dyDescent="0.2">
      <c r="B4" s="1" t="s">
        <v>102</v>
      </c>
      <c r="C4" s="1" t="s">
        <v>151</v>
      </c>
    </row>
    <row r="5" spans="2:9" x14ac:dyDescent="0.2">
      <c r="B5" s="1" t="s">
        <v>102</v>
      </c>
      <c r="C5" s="1" t="s">
        <v>100</v>
      </c>
    </row>
    <row r="6" spans="2:9" x14ac:dyDescent="0.2">
      <c r="B6" s="1" t="s">
        <v>103</v>
      </c>
      <c r="C6" s="1" t="s">
        <v>100</v>
      </c>
    </row>
    <row r="7" spans="2:9" x14ac:dyDescent="0.2">
      <c r="B7" s="1" t="s">
        <v>101</v>
      </c>
      <c r="C7" s="1" t="s">
        <v>104</v>
      </c>
      <c r="D7" s="20"/>
      <c r="E7" s="20"/>
      <c r="F7" s="20"/>
      <c r="G7" s="20"/>
      <c r="H7" s="20"/>
      <c r="I7" s="20"/>
    </row>
    <row r="8" spans="2:9" x14ac:dyDescent="0.2">
      <c r="B8" s="1" t="s">
        <v>105</v>
      </c>
      <c r="C8" s="1" t="s">
        <v>106</v>
      </c>
      <c r="D8" s="17"/>
      <c r="E8" s="17"/>
      <c r="F8" s="17"/>
      <c r="G8" s="17"/>
      <c r="H8" s="17"/>
      <c r="I8" s="17"/>
    </row>
    <row r="9" spans="2:9" x14ac:dyDescent="0.2">
      <c r="B9" s="1" t="s">
        <v>107</v>
      </c>
      <c r="C9" s="1" t="s">
        <v>108</v>
      </c>
      <c r="D9" s="17"/>
      <c r="E9" s="17"/>
      <c r="F9" s="17"/>
      <c r="G9" s="17"/>
      <c r="H9" s="17"/>
      <c r="I9" s="17"/>
    </row>
    <row r="10" spans="2:9" x14ac:dyDescent="0.2">
      <c r="B10" s="1" t="s">
        <v>110</v>
      </c>
      <c r="C10" s="1" t="s">
        <v>109</v>
      </c>
      <c r="D10" s="17"/>
      <c r="E10" s="17"/>
      <c r="F10" s="17"/>
      <c r="G10" s="17"/>
      <c r="H10" s="17"/>
      <c r="I10" s="17"/>
    </row>
    <row r="11" spans="2:9" x14ac:dyDescent="0.2">
      <c r="B11" s="1" t="s">
        <v>111</v>
      </c>
      <c r="C11" s="1" t="s">
        <v>112</v>
      </c>
      <c r="D11" s="17"/>
      <c r="E11" s="17"/>
      <c r="F11" s="17"/>
      <c r="G11" s="17"/>
      <c r="H11" s="17"/>
      <c r="I11" s="17"/>
    </row>
    <row r="12" spans="2:9" x14ac:dyDescent="0.2">
      <c r="B12" s="1" t="s">
        <v>114</v>
      </c>
      <c r="C12" s="1" t="s">
        <v>113</v>
      </c>
      <c r="D12" s="17"/>
      <c r="E12" s="17"/>
      <c r="F12" s="17"/>
      <c r="G12" s="17"/>
      <c r="H12" s="17"/>
      <c r="I12" s="17"/>
    </row>
    <row r="13" spans="2:9" x14ac:dyDescent="0.2">
      <c r="B13" s="1" t="s">
        <v>115</v>
      </c>
      <c r="C13" s="1" t="s">
        <v>116</v>
      </c>
      <c r="D13" s="20"/>
      <c r="E13" s="20"/>
      <c r="F13" s="20"/>
      <c r="G13" s="20"/>
      <c r="H13" s="20"/>
      <c r="I13" s="20"/>
    </row>
    <row r="14" spans="2:9" x14ac:dyDescent="0.2">
      <c r="B14" s="1" t="s">
        <v>118</v>
      </c>
      <c r="C14" s="1" t="s">
        <v>117</v>
      </c>
      <c r="D14" s="20"/>
      <c r="E14" s="20"/>
      <c r="F14" s="20"/>
      <c r="G14" s="20"/>
      <c r="H14" s="21"/>
      <c r="I14" s="20"/>
    </row>
    <row r="15" spans="2:9" x14ac:dyDescent="0.2">
      <c r="B15" s="1" t="s">
        <v>119</v>
      </c>
      <c r="C15" s="1" t="s">
        <v>120</v>
      </c>
      <c r="D15" s="21"/>
      <c r="E15" s="21"/>
      <c r="F15" s="21"/>
      <c r="G15" s="21"/>
      <c r="H15" s="21"/>
      <c r="I15" s="21"/>
    </row>
    <row r="16" spans="2:9" x14ac:dyDescent="0.2">
      <c r="B16" s="1" t="s">
        <v>121</v>
      </c>
      <c r="C16" s="12" t="s">
        <v>135</v>
      </c>
      <c r="D16" s="21"/>
      <c r="E16" s="21"/>
      <c r="F16" s="21"/>
      <c r="G16" s="21"/>
      <c r="H16" s="21"/>
      <c r="I16" s="21"/>
    </row>
    <row r="17" spans="2:9" x14ac:dyDescent="0.2">
      <c r="B17" s="1" t="s">
        <v>122</v>
      </c>
      <c r="C17" s="1" t="s">
        <v>123</v>
      </c>
      <c r="D17" s="21"/>
      <c r="E17" s="21"/>
      <c r="F17" s="21"/>
      <c r="G17" s="21"/>
      <c r="H17" s="21"/>
      <c r="I17" s="21"/>
    </row>
    <row r="18" spans="2:9" x14ac:dyDescent="0.2">
      <c r="B18" s="1" t="s">
        <v>125</v>
      </c>
      <c r="C18" s="1" t="s">
        <v>124</v>
      </c>
      <c r="D18" s="21"/>
      <c r="E18" s="21"/>
      <c r="F18" s="21"/>
      <c r="G18" s="21"/>
      <c r="H18" s="21"/>
      <c r="I18" s="21"/>
    </row>
    <row r="19" spans="2:9" x14ac:dyDescent="0.2">
      <c r="B19" s="1" t="s">
        <v>126</v>
      </c>
      <c r="C19" s="1" t="s">
        <v>127</v>
      </c>
    </row>
    <row r="20" spans="2:9" x14ac:dyDescent="0.2">
      <c r="B20" s="1" t="s">
        <v>128</v>
      </c>
      <c r="C20" s="1" t="s">
        <v>129</v>
      </c>
    </row>
    <row r="21" spans="2:9" x14ac:dyDescent="0.2">
      <c r="B21" s="1" t="s">
        <v>130</v>
      </c>
      <c r="C21" s="1" t="s">
        <v>131</v>
      </c>
    </row>
    <row r="22" spans="2:9" x14ac:dyDescent="0.2">
      <c r="B22" s="1" t="s">
        <v>132</v>
      </c>
      <c r="C22" s="1" t="s">
        <v>150</v>
      </c>
    </row>
    <row r="23" spans="2:9" x14ac:dyDescent="0.2">
      <c r="B23" s="1" t="s">
        <v>133</v>
      </c>
      <c r="C23" s="1" t="s">
        <v>134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Management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 Brannon</dc:creator>
  <cp:lastModifiedBy>Jameel Brannon</cp:lastModifiedBy>
  <dcterms:created xsi:type="dcterms:W3CDTF">2025-06-23T00:52:37Z</dcterms:created>
  <dcterms:modified xsi:type="dcterms:W3CDTF">2025-09-29T03:39:51Z</dcterms:modified>
</cp:coreProperties>
</file>