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Coking Coal/"/>
    </mc:Choice>
  </mc:AlternateContent>
  <xr:revisionPtr revIDLastSave="0" documentId="13_ncr:1_{7977AB6D-65AF-4D46-B8EE-60DC974186A6}" xr6:coauthVersionLast="47" xr6:coauthVersionMax="47" xr10:uidLastSave="{00000000-0000-0000-0000-000000000000}"/>
  <bookViews>
    <workbookView xWindow="14760" yWindow="9380" windowWidth="32380" windowHeight="16440" xr2:uid="{E5C60E8D-9472-AF49-92A5-C10A9E6811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4" i="1"/>
  <c r="M35" i="1" s="1"/>
  <c r="M33" i="1"/>
  <c r="P26" i="1"/>
  <c r="P21" i="1"/>
  <c r="P22" i="1" s="1"/>
  <c r="P20" i="1"/>
  <c r="M26" i="1"/>
  <c r="M21" i="1"/>
  <c r="M22" i="1" s="1"/>
  <c r="M20" i="1"/>
  <c r="P13" i="1"/>
  <c r="P8" i="1"/>
  <c r="P9" i="1" s="1"/>
  <c r="P7" i="1"/>
  <c r="M8" i="1"/>
  <c r="M9" i="1"/>
  <c r="M13" i="1"/>
  <c r="M7" i="1"/>
  <c r="J6" i="1"/>
  <c r="M20" i="2"/>
  <c r="M19" i="2"/>
  <c r="I12" i="2"/>
  <c r="I14" i="2" s="1"/>
  <c r="I16" i="2" s="1"/>
  <c r="L5" i="2"/>
  <c r="K5" i="2"/>
  <c r="J5" i="2"/>
  <c r="I5" i="2"/>
  <c r="H5" i="2"/>
  <c r="G5" i="2"/>
  <c r="F5" i="2"/>
  <c r="E5" i="2"/>
  <c r="D5" i="2"/>
  <c r="C5" i="2"/>
  <c r="M5" i="2"/>
  <c r="M12" i="2" s="1"/>
  <c r="M14" i="2" s="1"/>
  <c r="M16" i="2" s="1"/>
  <c r="G8" i="1"/>
  <c r="G9" i="1" s="1"/>
  <c r="F9" i="1"/>
  <c r="F7" i="1"/>
  <c r="F10" i="1" s="1"/>
  <c r="J7" i="1" s="1"/>
  <c r="M21" i="2" l="1"/>
  <c r="P23" i="1"/>
  <c r="M10" i="1"/>
  <c r="M11" i="1" s="1"/>
  <c r="M12" i="1" s="1"/>
  <c r="M14" i="1" s="1"/>
  <c r="M15" i="1" s="1"/>
  <c r="M23" i="1"/>
  <c r="M24" i="1" s="1"/>
  <c r="M25" i="1" s="1"/>
  <c r="M27" i="1" s="1"/>
  <c r="M28" i="1" s="1"/>
  <c r="P10" i="1"/>
  <c r="P11" i="1" s="1"/>
  <c r="M36" i="1"/>
  <c r="M37" i="1" s="1"/>
  <c r="M38" i="1" s="1"/>
  <c r="M40" i="1" s="1"/>
  <c r="M42" i="1" s="1"/>
  <c r="P12" i="1"/>
  <c r="P14" i="1" s="1"/>
  <c r="P15" i="1" s="1"/>
  <c r="P24" i="1" l="1"/>
  <c r="P25" i="1" s="1"/>
  <c r="P27" i="1" s="1"/>
  <c r="P28" i="1" s="1"/>
</calcChain>
</file>

<file path=xl/sharedStrings.xml><?xml version="1.0" encoding="utf-8"?>
<sst xmlns="http://schemas.openxmlformats.org/spreadsheetml/2006/main" count="115" uniqueCount="66">
  <si>
    <t>P</t>
  </si>
  <si>
    <t>S</t>
  </si>
  <si>
    <t>MC</t>
  </si>
  <si>
    <t>C</t>
  </si>
  <si>
    <t>D</t>
  </si>
  <si>
    <t>EV</t>
  </si>
  <si>
    <t>Q324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</si>
  <si>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</si>
  <si>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</si>
  <si>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</si>
  <si>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</si>
  <si>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</si>
  <si>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</si>
  <si>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</si>
  <si>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</si>
  <si>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</si>
  <si>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</si>
  <si>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</si>
  <si>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 xml:space="preserve">Coal </t>
  </si>
  <si>
    <t>Other</t>
  </si>
  <si>
    <t xml:space="preserve">Total Revenues </t>
  </si>
  <si>
    <t xml:space="preserve">cost of coal </t>
  </si>
  <si>
    <t>Accretion on asset retirement</t>
  </si>
  <si>
    <t xml:space="preserve">Amortization </t>
  </si>
  <si>
    <t>SG&amp;A</t>
  </si>
  <si>
    <t>Other op loss</t>
  </si>
  <si>
    <t>Other op income</t>
  </si>
  <si>
    <t>Operating Income</t>
  </si>
  <si>
    <t xml:space="preserve">Other </t>
  </si>
  <si>
    <t xml:space="preserve">EBT </t>
  </si>
  <si>
    <t>Taxes</t>
  </si>
  <si>
    <t xml:space="preserve">Net Income </t>
  </si>
  <si>
    <t>Growth Analysis Y/Y</t>
  </si>
  <si>
    <t xml:space="preserve">CEO </t>
  </si>
  <si>
    <t>CFO</t>
  </si>
  <si>
    <t>produces/sells metallurgical coal 93% vol</t>
  </si>
  <si>
    <t>operates 21 active mines in VA and West VA</t>
  </si>
  <si>
    <t xml:space="preserve">Market Overview </t>
  </si>
  <si>
    <t xml:space="preserve">world steel assoc (wsa) reports sif downward revisions in 2024 steel demand </t>
  </si>
  <si>
    <t xml:space="preserve">china largest steel producer experienced a 6.1% y/y drop in step 24 steel prod highlighting continued pressure </t>
  </si>
  <si>
    <t>india remains an exception with robust steel demand expected to continue into 2025</t>
  </si>
  <si>
    <t xml:space="preserve">met coal prices dropped q323, post q3 prices remained stable but weak with slight downward movement </t>
  </si>
  <si>
    <t>PM data indicates contraction in manufacturing activity  (47.3)</t>
  </si>
  <si>
    <t xml:space="preserve">77% of AMR rev comes from exports making it highly exposed to global market conditions </t>
  </si>
  <si>
    <t>issued a WARN act notice to the idel checkmate powellton mine starting dec 24 citing coal prices and unfav economics</t>
  </si>
  <si>
    <t>9m ebitda</t>
  </si>
  <si>
    <t>annualized</t>
  </si>
  <si>
    <t>EV/EBITDA</t>
  </si>
  <si>
    <t xml:space="preserve">Current </t>
  </si>
  <si>
    <t>Price Per Ton</t>
  </si>
  <si>
    <t>Non-GAAP cost per ton</t>
  </si>
  <si>
    <t>Spread Per Ton</t>
  </si>
  <si>
    <t>EBITDA</t>
  </si>
  <si>
    <t>Implied EV</t>
  </si>
  <si>
    <t>Implied Market Cap</t>
  </si>
  <si>
    <t>Implied Stock Price</t>
  </si>
  <si>
    <t>Shares</t>
  </si>
  <si>
    <t>Q3 sales vol mtons</t>
  </si>
  <si>
    <t>Current</t>
  </si>
  <si>
    <t>Upside</t>
  </si>
  <si>
    <t>Math @ $132.76/ Ton  Q3 Realized priced</t>
  </si>
  <si>
    <t xml:space="preserve">Math @ $150/Ton </t>
  </si>
  <si>
    <t xml:space="preserve">Math @ $170/Ton </t>
  </si>
  <si>
    <t xml:space="preserve">Math @ $160/Ton </t>
  </si>
  <si>
    <t xml:space="preserve">Math @ $140/Ton 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</si>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</sst>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sz val="10"/>
      <color rgb="FFFF000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3" fontId="1" fillId="0" borderId="1" xfId="0" applyNumberFormat="1" applyFon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0" fillId="0" borderId="7" xfId="0" applyNumberFormat="1" applyBorder="1"/>
    <xf numFmtId="9" fontId="0" fillId="0" borderId="8" xfId="0" applyNumberFormat="1" applyBorder="1"/>
    <xf numFmtId="9" fontId="1" fillId="0" borderId="8" xfId="0" applyNumberFormat="1" applyFont="1" applyBorder="1"/>
    <xf numFmtId="9" fontId="3" fillId="0" borderId="8" xfId="0" applyNumberFormat="1" applyFont="1" applyBorder="1"/>
    <xf numFmtId="3" fontId="0" fillId="2" borderId="7" xfId="0" applyNumberFormat="1" applyFill="1" applyBorder="1"/>
    <xf numFmtId="9" fontId="3" fillId="2" borderId="8" xfId="0" applyNumberFormat="1" applyFont="1" applyFill="1" applyBorder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223F-B8FA-FD40-AFF9-113458BD9F4F}">
  <dimension ref="B2:P52"/>
  <sheetViews>
    <sheetView showGridLines="0" tabSelected="1" topLeftCell="C1" workbookViewId="0">
      <selection activeCell="I11" sqref="I11"/>
    </sheetView>
  </sheetViews>
  <sheetFormatPr baseColWidth="10" defaultRowHeight="13"/>
  <cols>
    <col min="1" max="4" width="10.83203125" style="1"/>
    <col min="5" max="5" width="3.6640625" style="1" customWidth="1"/>
    <col min="6" max="11" width="10.83203125" style="1"/>
    <col min="12" max="12" width="28.5" style="1" bestFit="1" customWidth="1"/>
    <col min="13" max="14" width="10.83203125" style="1"/>
    <col min="15" max="15" width="19.5" style="1" bestFit="1" customWidth="1"/>
    <col min="16" max="16384" width="10.83203125" style="1"/>
  </cols>
  <sheetData>
    <row r="2" spans="2:16">
      <c r="L2" s="24" t="s">
        <v>65</v>
      </c>
      <c r="M2" s="24"/>
      <c r="N2" s="24"/>
      <c r="O2" s="24"/>
      <c r="P2" s="24"/>
    </row>
    <row r="4" spans="2:16">
      <c r="B4" s="1" t="s">
        <v>33</v>
      </c>
      <c r="I4" s="2" t="s">
        <v>48</v>
      </c>
      <c r="L4" s="11" t="s">
        <v>62</v>
      </c>
      <c r="M4" s="6"/>
      <c r="O4" s="11" t="s">
        <v>63</v>
      </c>
      <c r="P4" s="6"/>
    </row>
    <row r="5" spans="2:16">
      <c r="B5" s="1" t="s">
        <v>34</v>
      </c>
      <c r="E5" s="1" t="s">
        <v>0</v>
      </c>
      <c r="F5" s="1">
        <v>200</v>
      </c>
      <c r="I5" s="1" t="s">
        <v>45</v>
      </c>
      <c r="J5" s="1">
        <v>354.6</v>
      </c>
      <c r="L5" s="7" t="s">
        <v>49</v>
      </c>
      <c r="M5" s="8">
        <v>170</v>
      </c>
      <c r="O5" s="7" t="s">
        <v>49</v>
      </c>
      <c r="P5" s="8">
        <v>160</v>
      </c>
    </row>
    <row r="6" spans="2:16">
      <c r="E6" s="1" t="s">
        <v>1</v>
      </c>
      <c r="F6" s="1">
        <v>13.01601</v>
      </c>
      <c r="G6" s="1" t="s">
        <v>6</v>
      </c>
      <c r="I6" s="1" t="s">
        <v>46</v>
      </c>
      <c r="J6" s="1">
        <f>+J5/9*12</f>
        <v>472.80000000000007</v>
      </c>
      <c r="L6" s="7" t="s">
        <v>50</v>
      </c>
      <c r="M6" s="8">
        <v>114.27</v>
      </c>
      <c r="O6" s="7" t="s">
        <v>50</v>
      </c>
      <c r="P6" s="8">
        <v>114.27</v>
      </c>
    </row>
    <row r="7" spans="2:16">
      <c r="E7" s="1" t="s">
        <v>2</v>
      </c>
      <c r="F7" s="1">
        <f>+F6*F5</f>
        <v>2603.2019999999998</v>
      </c>
      <c r="I7" s="1" t="s">
        <v>47</v>
      </c>
      <c r="J7" s="5">
        <f>+F10/J6</f>
        <v>4.4951882402707266</v>
      </c>
      <c r="L7" s="7" t="s">
        <v>51</v>
      </c>
      <c r="M7" s="8">
        <f>+M5-M6</f>
        <v>55.730000000000004</v>
      </c>
      <c r="O7" s="7" t="s">
        <v>51</v>
      </c>
      <c r="P7" s="8">
        <f>+P5-P6</f>
        <v>45.730000000000004</v>
      </c>
    </row>
    <row r="8" spans="2:16">
      <c r="E8" s="1" t="s">
        <v>3</v>
      </c>
      <c r="F8" s="1">
        <v>484.56</v>
      </c>
      <c r="G8" s="1" t="str">
        <f>+G6</f>
        <v>Q324</v>
      </c>
      <c r="L8" s="7" t="s">
        <v>57</v>
      </c>
      <c r="M8" s="8">
        <f>4148/10^3</f>
        <v>4.1479999999999997</v>
      </c>
      <c r="O8" s="7" t="s">
        <v>57</v>
      </c>
      <c r="P8" s="8">
        <f>4148/10^3</f>
        <v>4.1479999999999997</v>
      </c>
    </row>
    <row r="9" spans="2:16">
      <c r="B9" s="1" t="s">
        <v>35</v>
      </c>
      <c r="E9" s="1" t="s">
        <v>4</v>
      </c>
      <c r="F9" s="1">
        <f>3.101+3.582</f>
        <v>6.6829999999999998</v>
      </c>
      <c r="G9" s="1" t="str">
        <f>+G8</f>
        <v>Q324</v>
      </c>
      <c r="L9" s="7" t="s">
        <v>46</v>
      </c>
      <c r="M9" s="8">
        <f>+M8*4</f>
        <v>16.591999999999999</v>
      </c>
      <c r="O9" s="7" t="s">
        <v>46</v>
      </c>
      <c r="P9" s="8">
        <f>+P8*4</f>
        <v>16.591999999999999</v>
      </c>
    </row>
    <row r="10" spans="2:16">
      <c r="B10" s="1" t="s">
        <v>36</v>
      </c>
      <c r="E10" s="1" t="s">
        <v>5</v>
      </c>
      <c r="F10" s="1">
        <f>+F7-F8+F9</f>
        <v>2125.3249999999998</v>
      </c>
      <c r="L10" s="7" t="s">
        <v>52</v>
      </c>
      <c r="M10" s="8">
        <f>+M7*M9</f>
        <v>924.67215999999996</v>
      </c>
      <c r="O10" s="7" t="s">
        <v>52</v>
      </c>
      <c r="P10" s="8">
        <f>+P7*P9</f>
        <v>758.75216</v>
      </c>
    </row>
    <row r="11" spans="2:16">
      <c r="L11" s="7" t="s">
        <v>53</v>
      </c>
      <c r="M11" s="8">
        <f>+M10*J7</f>
        <v>4156.5754197377319</v>
      </c>
      <c r="O11" s="7" t="s">
        <v>53</v>
      </c>
      <c r="P11" s="8">
        <f>+P10*$J$7</f>
        <v>3410.7337869120129</v>
      </c>
    </row>
    <row r="12" spans="2:16">
      <c r="L12" s="7" t="s">
        <v>54</v>
      </c>
      <c r="M12" s="8">
        <f>+M11-F9+F8</f>
        <v>4634.4524197377323</v>
      </c>
      <c r="O12" s="7" t="s">
        <v>54</v>
      </c>
      <c r="P12" s="8">
        <f>+P11-F21+F20</f>
        <v>3410.7337869120129</v>
      </c>
    </row>
    <row r="13" spans="2:16">
      <c r="B13" s="1" t="s">
        <v>37</v>
      </c>
      <c r="L13" s="7" t="s">
        <v>56</v>
      </c>
      <c r="M13" s="8">
        <f>+F6</f>
        <v>13.01601</v>
      </c>
      <c r="O13" s="7" t="s">
        <v>56</v>
      </c>
      <c r="P13" s="8">
        <f>+$F$6</f>
        <v>13.01601</v>
      </c>
    </row>
    <row r="14" spans="2:16">
      <c r="B14" s="1" t="s">
        <v>38</v>
      </c>
      <c r="L14" s="9" t="s">
        <v>55</v>
      </c>
      <c r="M14" s="10">
        <f>+M12/F6</f>
        <v>356.05784105403518</v>
      </c>
      <c r="O14" s="9" t="s">
        <v>55</v>
      </c>
      <c r="P14" s="10">
        <f>+P12/P13</f>
        <v>262.04142336338197</v>
      </c>
    </row>
    <row r="15" spans="2:16">
      <c r="B15" s="1" t="s">
        <v>39</v>
      </c>
      <c r="L15" s="18" t="s">
        <v>59</v>
      </c>
      <c r="M15" s="19">
        <f>+M14/F5-1</f>
        <v>0.78028920527017598</v>
      </c>
      <c r="O15" s="18" t="s">
        <v>59</v>
      </c>
      <c r="P15" s="19">
        <f>+P14/F5-1</f>
        <v>0.31020711681690982</v>
      </c>
    </row>
    <row r="16" spans="2:16">
      <c r="B16" s="1" t="s">
        <v>40</v>
      </c>
    </row>
    <row r="17" spans="2:16">
      <c r="B17" s="1" t="s">
        <v>41</v>
      </c>
      <c r="L17" s="11" t="s">
        <v>61</v>
      </c>
      <c r="M17" s="6"/>
      <c r="O17" s="11" t="s">
        <v>64</v>
      </c>
      <c r="P17" s="6"/>
    </row>
    <row r="18" spans="2:16">
      <c r="B18" s="1" t="s">
        <v>42</v>
      </c>
      <c r="L18" s="7" t="s">
        <v>49</v>
      </c>
      <c r="M18" s="8">
        <v>150</v>
      </c>
      <c r="O18" s="7" t="s">
        <v>49</v>
      </c>
      <c r="P18" s="8">
        <v>140</v>
      </c>
    </row>
    <row r="19" spans="2:16">
      <c r="B19" s="1" t="s">
        <v>43</v>
      </c>
      <c r="L19" s="7" t="s">
        <v>50</v>
      </c>
      <c r="M19" s="8">
        <v>114.27</v>
      </c>
      <c r="O19" s="7" t="s">
        <v>50</v>
      </c>
      <c r="P19" s="8">
        <v>114.27</v>
      </c>
    </row>
    <row r="20" spans="2:16">
      <c r="B20" s="1" t="s">
        <v>44</v>
      </c>
      <c r="L20" s="7" t="s">
        <v>51</v>
      </c>
      <c r="M20" s="8">
        <f>+M18-M19</f>
        <v>35.730000000000004</v>
      </c>
      <c r="O20" s="7" t="s">
        <v>51</v>
      </c>
      <c r="P20" s="8">
        <f>+P18-P19</f>
        <v>25.730000000000004</v>
      </c>
    </row>
    <row r="21" spans="2:16">
      <c r="L21" s="7" t="s">
        <v>57</v>
      </c>
      <c r="M21" s="8">
        <f>4148/10^3</f>
        <v>4.1479999999999997</v>
      </c>
      <c r="O21" s="7" t="s">
        <v>57</v>
      </c>
      <c r="P21" s="8">
        <f>4148/10^3</f>
        <v>4.1479999999999997</v>
      </c>
    </row>
    <row r="22" spans="2:16">
      <c r="L22" s="7" t="s">
        <v>46</v>
      </c>
      <c r="M22" s="8">
        <f>+M21*4</f>
        <v>16.591999999999999</v>
      </c>
      <c r="O22" s="7" t="s">
        <v>46</v>
      </c>
      <c r="P22" s="8">
        <f>+P21*4</f>
        <v>16.591999999999999</v>
      </c>
    </row>
    <row r="23" spans="2:16">
      <c r="L23" s="7" t="s">
        <v>52</v>
      </c>
      <c r="M23" s="8">
        <f>+M20*M22</f>
        <v>592.83216000000004</v>
      </c>
      <c r="O23" s="7" t="s">
        <v>52</v>
      </c>
      <c r="P23" s="8">
        <f>+P20*P22</f>
        <v>426.91216000000003</v>
      </c>
    </row>
    <row r="24" spans="2:16">
      <c r="L24" s="7" t="s">
        <v>53</v>
      </c>
      <c r="M24" s="8">
        <f>+M23*$J$7</f>
        <v>2664.8921540862939</v>
      </c>
      <c r="O24" s="7" t="s">
        <v>53</v>
      </c>
      <c r="P24" s="8">
        <f>+P23*$J$7</f>
        <v>1919.0505212605749</v>
      </c>
    </row>
    <row r="25" spans="2:16">
      <c r="L25" s="7" t="s">
        <v>54</v>
      </c>
      <c r="M25" s="8">
        <f>+M24-F33+F32</f>
        <v>2664.8921540862939</v>
      </c>
      <c r="O25" s="7" t="s">
        <v>54</v>
      </c>
      <c r="P25" s="8">
        <f>+P24-F45+F44</f>
        <v>1919.0505212605749</v>
      </c>
    </row>
    <row r="26" spans="2:16">
      <c r="L26" s="7" t="s">
        <v>56</v>
      </c>
      <c r="M26" s="8">
        <f>+$F$6</f>
        <v>13.01601</v>
      </c>
      <c r="O26" s="7" t="s">
        <v>56</v>
      </c>
      <c r="P26" s="8">
        <f>+$F$6</f>
        <v>13.01601</v>
      </c>
    </row>
    <row r="27" spans="2:16">
      <c r="L27" s="9" t="s">
        <v>55</v>
      </c>
      <c r="M27" s="10">
        <f>+M25/M26</f>
        <v>204.73955951833887</v>
      </c>
      <c r="O27" s="9" t="s">
        <v>55</v>
      </c>
      <c r="P27" s="10">
        <f>+P25/P26</f>
        <v>147.43769567329582</v>
      </c>
    </row>
    <row r="28" spans="2:16">
      <c r="L28" s="18" t="s">
        <v>59</v>
      </c>
      <c r="M28" s="20">
        <f>+M27/F5-1</f>
        <v>2.3697797591694325E-2</v>
      </c>
      <c r="O28" s="18" t="s">
        <v>59</v>
      </c>
      <c r="P28" s="21">
        <f>+P27/F5-1</f>
        <v>-0.26281152163352095</v>
      </c>
    </row>
    <row r="29" spans="2:16">
      <c r="L29" s="2"/>
    </row>
    <row r="30" spans="2:16">
      <c r="L30" s="17" t="s">
        <v>60</v>
      </c>
      <c r="M30" s="12"/>
    </row>
    <row r="31" spans="2:16">
      <c r="L31" s="13" t="s">
        <v>49</v>
      </c>
      <c r="M31" s="14">
        <v>132.76</v>
      </c>
    </row>
    <row r="32" spans="2:16">
      <c r="L32" s="13" t="s">
        <v>50</v>
      </c>
      <c r="M32" s="14">
        <v>114.27</v>
      </c>
    </row>
    <row r="33" spans="12:13">
      <c r="L33" s="13" t="s">
        <v>51</v>
      </c>
      <c r="M33" s="14">
        <f>+M31-M32</f>
        <v>18.489999999999995</v>
      </c>
    </row>
    <row r="34" spans="12:13">
      <c r="L34" s="13" t="s">
        <v>57</v>
      </c>
      <c r="M34" s="14">
        <f>4148/10^3</f>
        <v>4.1479999999999997</v>
      </c>
    </row>
    <row r="35" spans="12:13">
      <c r="L35" s="13" t="s">
        <v>46</v>
      </c>
      <c r="M35" s="14">
        <f>+M34*4</f>
        <v>16.591999999999999</v>
      </c>
    </row>
    <row r="36" spans="12:13">
      <c r="L36" s="13" t="s">
        <v>52</v>
      </c>
      <c r="M36" s="14">
        <f>+M33*M35</f>
        <v>306.78607999999991</v>
      </c>
    </row>
    <row r="37" spans="12:13">
      <c r="L37" s="13" t="s">
        <v>53</v>
      </c>
      <c r="M37" s="14">
        <f>+M36*$J$7</f>
        <v>1379.0611790947539</v>
      </c>
    </row>
    <row r="38" spans="12:13">
      <c r="L38" s="13" t="s">
        <v>54</v>
      </c>
      <c r="M38" s="14">
        <f>+M37-F58+F57</f>
        <v>1379.0611790947539</v>
      </c>
    </row>
    <row r="39" spans="12:13">
      <c r="L39" s="13" t="s">
        <v>56</v>
      </c>
      <c r="M39" s="14">
        <f>+$F$6</f>
        <v>13.01601</v>
      </c>
    </row>
    <row r="40" spans="12:13">
      <c r="L40" s="15" t="s">
        <v>55</v>
      </c>
      <c r="M40" s="16">
        <f>+M38/M39</f>
        <v>105.95114624948459</v>
      </c>
    </row>
    <row r="41" spans="12:13">
      <c r="L41" s="13" t="s">
        <v>58</v>
      </c>
      <c r="M41" s="14">
        <v>200</v>
      </c>
    </row>
    <row r="42" spans="12:13">
      <c r="L42" s="22" t="s">
        <v>59</v>
      </c>
      <c r="M42" s="23">
        <f>+M40/M41-1</f>
        <v>-0.47024426875257708</v>
      </c>
    </row>
    <row r="52" spans="12:12">
      <c r="L52" s="2"/>
    </row>
  </sheetData>
  <mergeCells count="1">
    <mergeCell ref="L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3A56-6AA8-FF42-9AA7-B85081F67B0B}">
  <dimension ref="B2:N21"/>
  <sheetViews>
    <sheetView zoomScale="18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baseColWidth="10" defaultRowHeight="13"/>
  <cols>
    <col min="1" max="1" width="2.1640625" style="1" customWidth="1"/>
    <col min="2" max="2" width="10.83203125" style="1"/>
    <col min="3" max="8" width="5.5" style="1" bestFit="1" customWidth="1"/>
    <col min="9" max="9" width="7.6640625" style="1" bestFit="1" customWidth="1"/>
    <col min="10" max="12" width="5.5" style="1" bestFit="1" customWidth="1"/>
    <col min="13" max="13" width="7.6640625" style="1" bestFit="1" customWidth="1"/>
    <col min="14" max="14" width="5.5" style="1" bestFit="1" customWidth="1"/>
    <col min="15" max="16384" width="10.83203125" style="1"/>
  </cols>
  <sheetData>
    <row r="2" spans="2:14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6</v>
      </c>
      <c r="N2" s="1" t="s">
        <v>17</v>
      </c>
    </row>
    <row r="3" spans="2:14">
      <c r="B3" s="1" t="s">
        <v>18</v>
      </c>
      <c r="I3" s="1">
        <v>738998</v>
      </c>
      <c r="M3" s="1">
        <v>669783</v>
      </c>
    </row>
    <row r="4" spans="2:14">
      <c r="B4" s="1" t="s">
        <v>19</v>
      </c>
      <c r="I4" s="1">
        <v>2822</v>
      </c>
      <c r="M4" s="1">
        <v>2114</v>
      </c>
    </row>
    <row r="5" spans="2:14" s="2" customFormat="1">
      <c r="B5" s="2" t="s">
        <v>20</v>
      </c>
      <c r="C5" s="2">
        <f t="shared" ref="C5:L5" si="0">+SUM(C3:C4)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741820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>+SUM(M3:M4)</f>
        <v>671897</v>
      </c>
    </row>
    <row r="6" spans="2:14">
      <c r="B6" s="1" t="s">
        <v>21</v>
      </c>
      <c r="I6" s="1">
        <v>564608</v>
      </c>
      <c r="M6" s="1">
        <v>598725</v>
      </c>
    </row>
    <row r="7" spans="2:14">
      <c r="B7" s="1" t="s">
        <v>22</v>
      </c>
      <c r="I7" s="1">
        <v>32582</v>
      </c>
      <c r="M7" s="1">
        <v>42414</v>
      </c>
    </row>
    <row r="8" spans="2:14">
      <c r="B8" s="1" t="s">
        <v>23</v>
      </c>
      <c r="I8" s="1">
        <v>6376</v>
      </c>
      <c r="M8" s="1">
        <v>6326</v>
      </c>
    </row>
    <row r="9" spans="2:14">
      <c r="B9" s="1" t="s">
        <v>24</v>
      </c>
      <c r="I9" s="1">
        <v>2069</v>
      </c>
      <c r="M9" s="1">
        <v>1675</v>
      </c>
    </row>
    <row r="10" spans="2:14">
      <c r="B10" s="1" t="s">
        <v>25</v>
      </c>
      <c r="I10" s="1">
        <v>18053</v>
      </c>
      <c r="M10" s="1">
        <v>15987</v>
      </c>
    </row>
    <row r="11" spans="2:14">
      <c r="B11" s="1" t="s">
        <v>26</v>
      </c>
      <c r="I11" s="1">
        <v>973</v>
      </c>
      <c r="M11" s="1">
        <v>1461</v>
      </c>
    </row>
    <row r="12" spans="2:14">
      <c r="B12" s="1" t="s">
        <v>27</v>
      </c>
      <c r="I12" s="1">
        <f>+I5-SUM(I6:I11)</f>
        <v>117159</v>
      </c>
      <c r="M12" s="1">
        <f>+M5-SUM(M6:M11)</f>
        <v>5309</v>
      </c>
    </row>
    <row r="13" spans="2:14">
      <c r="B13" s="1" t="s">
        <v>28</v>
      </c>
      <c r="I13" s="1">
        <v>-4381</v>
      </c>
      <c r="M13" s="1">
        <v>-5592</v>
      </c>
    </row>
    <row r="14" spans="2:14">
      <c r="B14" s="1" t="s">
        <v>29</v>
      </c>
      <c r="I14" s="1">
        <f>+SUM(I12:I13)</f>
        <v>112778</v>
      </c>
      <c r="M14" s="1">
        <f>+SUM(M12:M13)</f>
        <v>-283</v>
      </c>
    </row>
    <row r="15" spans="2:14">
      <c r="B15" s="1" t="s">
        <v>30</v>
      </c>
      <c r="I15" s="1">
        <v>-18964</v>
      </c>
      <c r="M15" s="1">
        <v>4087</v>
      </c>
    </row>
    <row r="16" spans="2:14">
      <c r="B16" s="1" t="s">
        <v>31</v>
      </c>
      <c r="I16" s="1">
        <f>SUM(I14:I15)</f>
        <v>93814</v>
      </c>
      <c r="M16" s="1">
        <f>SUM(M14:M15)</f>
        <v>3804</v>
      </c>
    </row>
    <row r="18" spans="2:13">
      <c r="B18" s="4" t="s">
        <v>32</v>
      </c>
    </row>
    <row r="19" spans="2:13" s="3" customFormat="1">
      <c r="B19" s="1" t="s">
        <v>18</v>
      </c>
      <c r="M19" s="3">
        <f>+M3/I3-1</f>
        <v>-9.366060530610365E-2</v>
      </c>
    </row>
    <row r="20" spans="2:13">
      <c r="B20" s="1" t="s">
        <v>19</v>
      </c>
      <c r="M20" s="3">
        <f>+M4/I4-1</f>
        <v>-0.25088589652728566</v>
      </c>
    </row>
    <row r="21" spans="2:13">
      <c r="B21" s="2" t="s">
        <v>20</v>
      </c>
      <c r="M21" s="3">
        <f>+M5/I5-1</f>
        <v>-9.4258715052168984E-2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2024-12-25T20:44:18Z</dcterms:created>
  <dcterms:modified xsi:type="dcterms:W3CDTF">2025-01-16T04:05:39Z</dcterms:modified>
</cp:coreProperties>
</file>