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Basic Materials/agricultural inputs/"/>
    </mc:Choice>
  </mc:AlternateContent>
  <xr:revisionPtr revIDLastSave="0" documentId="13_ncr:1_{E08AFB4A-6175-F54D-B62C-D82676CFA86E}" xr6:coauthVersionLast="47" xr6:coauthVersionMax="47" xr10:uidLastSave="{00000000-0000-0000-0000-000000000000}"/>
  <bookViews>
    <workbookView xWindow="24760" yWindow="2140" windowWidth="27640" windowHeight="22740" xr2:uid="{DE92B9EB-E3BD-7E41-A29C-68FE7355BF8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1" i="2" l="1"/>
  <c r="Y31" i="2" s="1"/>
  <c r="Z31" i="2" s="1"/>
  <c r="AA31" i="2" s="1"/>
  <c r="AB31" i="2" s="1"/>
  <c r="AC31" i="2" s="1"/>
  <c r="AD31" i="2" s="1"/>
  <c r="AE31" i="2" s="1"/>
  <c r="W31" i="2"/>
  <c r="V31" i="2"/>
  <c r="W36" i="2"/>
  <c r="V36" i="2"/>
  <c r="AE33" i="2"/>
  <c r="AD33" i="2"/>
  <c r="AC33" i="2"/>
  <c r="AB33" i="2"/>
  <c r="AA33" i="2"/>
  <c r="Z33" i="2"/>
  <c r="Y33" i="2"/>
  <c r="X33" i="2"/>
  <c r="W33" i="2"/>
  <c r="AE55" i="2"/>
  <c r="AD55" i="2"/>
  <c r="AC55" i="2"/>
  <c r="AB55" i="2"/>
  <c r="AA55" i="2"/>
  <c r="Z55" i="2"/>
  <c r="Y55" i="2"/>
  <c r="X55" i="2"/>
  <c r="W55" i="2"/>
  <c r="V55" i="2"/>
  <c r="AE54" i="2"/>
  <c r="AA54" i="2"/>
  <c r="Z54" i="2"/>
  <c r="V51" i="2"/>
  <c r="V32" i="2"/>
  <c r="V52" i="2" s="1"/>
  <c r="X42" i="2"/>
  <c r="Y42" i="2" s="1"/>
  <c r="Z42" i="2" s="1"/>
  <c r="AA42" i="2" s="1"/>
  <c r="AB42" i="2" s="1"/>
  <c r="AC42" i="2" s="1"/>
  <c r="AD42" i="2" s="1"/>
  <c r="AE42" i="2" s="1"/>
  <c r="W42" i="2"/>
  <c r="V42" i="2"/>
  <c r="X43" i="2"/>
  <c r="Y43" i="2" s="1"/>
  <c r="Z43" i="2" s="1"/>
  <c r="AA43" i="2" s="1"/>
  <c r="AB43" i="2" s="1"/>
  <c r="AC43" i="2" s="1"/>
  <c r="AD43" i="2" s="1"/>
  <c r="AE43" i="2" s="1"/>
  <c r="W43" i="2"/>
  <c r="V43" i="2"/>
  <c r="X58" i="2"/>
  <c r="Y58" i="2" s="1"/>
  <c r="Z58" i="2" s="1"/>
  <c r="AA58" i="2" s="1"/>
  <c r="AB58" i="2" s="1"/>
  <c r="AC58" i="2" s="1"/>
  <c r="AD58" i="2" s="1"/>
  <c r="AE58" i="2" s="1"/>
  <c r="W58" i="2"/>
  <c r="V58" i="2"/>
  <c r="U58" i="2"/>
  <c r="J58" i="2"/>
  <c r="I58" i="2"/>
  <c r="H58" i="2"/>
  <c r="G58" i="2"/>
  <c r="F58" i="2"/>
  <c r="V11" i="2"/>
  <c r="V33" i="2" s="1"/>
  <c r="W10" i="2"/>
  <c r="X10" i="2" s="1"/>
  <c r="Y10" i="2" s="1"/>
  <c r="Z10" i="2" s="1"/>
  <c r="AA10" i="2" s="1"/>
  <c r="AB10" i="2" s="1"/>
  <c r="AC10" i="2" s="1"/>
  <c r="AD10" i="2" s="1"/>
  <c r="AE10" i="2" s="1"/>
  <c r="Y20" i="2"/>
  <c r="Z20" i="2" s="1"/>
  <c r="X20" i="2"/>
  <c r="W20" i="2"/>
  <c r="W17" i="2"/>
  <c r="X17" i="2" s="1"/>
  <c r="W16" i="2"/>
  <c r="X16" i="2" s="1"/>
  <c r="X35" i="2"/>
  <c r="W35" i="2"/>
  <c r="AE34" i="2"/>
  <c r="AD34" i="2"/>
  <c r="AD54" i="2" s="1"/>
  <c r="AC34" i="2"/>
  <c r="AC54" i="2" s="1"/>
  <c r="AB34" i="2"/>
  <c r="AB54" i="2" s="1"/>
  <c r="AA34" i="2"/>
  <c r="Z34" i="2"/>
  <c r="Y34" i="2"/>
  <c r="Y54" i="2" s="1"/>
  <c r="X34" i="2"/>
  <c r="X54" i="2" s="1"/>
  <c r="W34" i="2"/>
  <c r="V20" i="2"/>
  <c r="V35" i="2" s="1"/>
  <c r="X13" i="2"/>
  <c r="Y13" i="2" s="1"/>
  <c r="Z13" i="2" s="1"/>
  <c r="AA13" i="2" s="1"/>
  <c r="AB13" i="2" s="1"/>
  <c r="AC13" i="2" s="1"/>
  <c r="AD13" i="2" s="1"/>
  <c r="AE13" i="2" s="1"/>
  <c r="W13" i="2"/>
  <c r="W12" i="2"/>
  <c r="X12" i="2" s="1"/>
  <c r="Y12" i="2" s="1"/>
  <c r="Z12" i="2" s="1"/>
  <c r="AA12" i="2" s="1"/>
  <c r="AB12" i="2" s="1"/>
  <c r="AC12" i="2" s="1"/>
  <c r="AD12" i="2" s="1"/>
  <c r="AE12" i="2" s="1"/>
  <c r="W9" i="2"/>
  <c r="X9" i="2" s="1"/>
  <c r="Y9" i="2" s="1"/>
  <c r="Z9" i="2" s="1"/>
  <c r="AA9" i="2" s="1"/>
  <c r="AB9" i="2" s="1"/>
  <c r="AC9" i="2" s="1"/>
  <c r="AD9" i="2" s="1"/>
  <c r="AE9" i="2" s="1"/>
  <c r="V13" i="2"/>
  <c r="V12" i="2"/>
  <c r="V16" i="2"/>
  <c r="V9" i="2"/>
  <c r="T20" i="2"/>
  <c r="S20" i="2"/>
  <c r="R20" i="2"/>
  <c r="T19" i="2"/>
  <c r="S19" i="2"/>
  <c r="R19" i="2"/>
  <c r="T18" i="2"/>
  <c r="S18" i="2"/>
  <c r="R18" i="2"/>
  <c r="T17" i="2"/>
  <c r="S17" i="2"/>
  <c r="R17" i="2"/>
  <c r="T16" i="2"/>
  <c r="S16" i="2"/>
  <c r="R16" i="2"/>
  <c r="U20" i="2"/>
  <c r="U19" i="2"/>
  <c r="U18" i="2"/>
  <c r="U17" i="2"/>
  <c r="U16" i="2"/>
  <c r="U25" i="2"/>
  <c r="U24" i="2"/>
  <c r="U23" i="2"/>
  <c r="U22" i="2"/>
  <c r="C97" i="2"/>
  <c r="D96" i="2"/>
  <c r="E96" i="2" s="1"/>
  <c r="F96" i="2" s="1"/>
  <c r="D95" i="2"/>
  <c r="E95" i="2" s="1"/>
  <c r="H96" i="2"/>
  <c r="I96" i="2" s="1"/>
  <c r="J96" i="2" s="1"/>
  <c r="H95" i="2"/>
  <c r="G97" i="2"/>
  <c r="U97" i="2"/>
  <c r="T97" i="2"/>
  <c r="S97" i="2"/>
  <c r="J92" i="2"/>
  <c r="I92" i="2"/>
  <c r="H92" i="2"/>
  <c r="G92" i="2"/>
  <c r="F92" i="2"/>
  <c r="X36" i="2" l="1"/>
  <c r="V53" i="2"/>
  <c r="W51" i="2"/>
  <c r="X51" i="2"/>
  <c r="Y51" i="2"/>
  <c r="W11" i="2"/>
  <c r="X11" i="2"/>
  <c r="Y16" i="2"/>
  <c r="Y17" i="2"/>
  <c r="X32" i="2"/>
  <c r="X52" i="2" s="1"/>
  <c r="AA20" i="2"/>
  <c r="Z35" i="2"/>
  <c r="Y35" i="2"/>
  <c r="W32" i="2"/>
  <c r="W52" i="2" s="1"/>
  <c r="V34" i="2"/>
  <c r="V14" i="2"/>
  <c r="W14" i="2"/>
  <c r="X14" i="2"/>
  <c r="D97" i="2"/>
  <c r="E97" i="2"/>
  <c r="F95" i="2"/>
  <c r="H97" i="2"/>
  <c r="I95" i="2"/>
  <c r="J95" i="2" s="1"/>
  <c r="J97" i="2" s="1"/>
  <c r="F97" i="2"/>
  <c r="J88" i="2"/>
  <c r="I88" i="2"/>
  <c r="H88" i="2"/>
  <c r="G88" i="2"/>
  <c r="F88" i="2"/>
  <c r="J87" i="2"/>
  <c r="J93" i="2" s="1"/>
  <c r="I87" i="2"/>
  <c r="I93" i="2" s="1"/>
  <c r="H87" i="2"/>
  <c r="H93" i="2" s="1"/>
  <c r="G87" i="2"/>
  <c r="G93" i="2" s="1"/>
  <c r="F87" i="2"/>
  <c r="F93" i="2" s="1"/>
  <c r="G78" i="2"/>
  <c r="G85" i="2" s="1"/>
  <c r="G64" i="2"/>
  <c r="G71" i="2"/>
  <c r="H78" i="2"/>
  <c r="H85" i="2" s="1"/>
  <c r="H64" i="2"/>
  <c r="I64" i="2"/>
  <c r="I78" i="2"/>
  <c r="I85" i="2" s="1"/>
  <c r="F78" i="2"/>
  <c r="F85" i="2" s="1"/>
  <c r="J78" i="2"/>
  <c r="J85" i="2" s="1"/>
  <c r="F64" i="2"/>
  <c r="J64" i="2"/>
  <c r="J91" i="2" s="1"/>
  <c r="U53" i="2"/>
  <c r="U55" i="2"/>
  <c r="U54" i="2"/>
  <c r="U52" i="2"/>
  <c r="U51" i="2"/>
  <c r="J6" i="2"/>
  <c r="J5" i="2"/>
  <c r="J4" i="2"/>
  <c r="J3" i="2"/>
  <c r="U7" i="2"/>
  <c r="U14" i="2"/>
  <c r="J35" i="2"/>
  <c r="J34" i="2"/>
  <c r="J33" i="2"/>
  <c r="J32" i="2"/>
  <c r="J31" i="2"/>
  <c r="U36" i="2"/>
  <c r="T36" i="2"/>
  <c r="AI66" i="2"/>
  <c r="AI64" i="2"/>
  <c r="AI62" i="2"/>
  <c r="O36" i="2"/>
  <c r="O14" i="2"/>
  <c r="Q55" i="2"/>
  <c r="Q54" i="2"/>
  <c r="Q53" i="2"/>
  <c r="Q52" i="2"/>
  <c r="Q51" i="2"/>
  <c r="P36" i="2"/>
  <c r="R55" i="2"/>
  <c r="R54" i="2"/>
  <c r="R53" i="2"/>
  <c r="R52" i="2"/>
  <c r="R51" i="2"/>
  <c r="Q36" i="2"/>
  <c r="Q14" i="2"/>
  <c r="T55" i="2"/>
  <c r="S55" i="2"/>
  <c r="T54" i="2"/>
  <c r="S54" i="2"/>
  <c r="T53" i="2"/>
  <c r="S53" i="2"/>
  <c r="T52" i="2"/>
  <c r="S52" i="2"/>
  <c r="S51" i="2"/>
  <c r="T51" i="2"/>
  <c r="R42" i="2"/>
  <c r="S42" i="2"/>
  <c r="S25" i="2"/>
  <c r="R25" i="2"/>
  <c r="S24" i="2"/>
  <c r="R24" i="2"/>
  <c r="S23" i="2"/>
  <c r="R23" i="2"/>
  <c r="S22" i="2"/>
  <c r="R22" i="2"/>
  <c r="T25" i="2"/>
  <c r="T24" i="2"/>
  <c r="T23" i="2"/>
  <c r="T22" i="2"/>
  <c r="T14" i="2"/>
  <c r="S14" i="2"/>
  <c r="R14" i="2"/>
  <c r="S36" i="2"/>
  <c r="R36" i="2"/>
  <c r="R41" i="2" s="1"/>
  <c r="R44" i="2" s="1"/>
  <c r="R46" i="2" s="1"/>
  <c r="R48" i="2" s="1"/>
  <c r="F7" i="2"/>
  <c r="F35" i="2"/>
  <c r="F34" i="2"/>
  <c r="F33" i="2"/>
  <c r="F32" i="2"/>
  <c r="F31" i="2"/>
  <c r="R7" i="2"/>
  <c r="S7" i="2"/>
  <c r="T7" i="2"/>
  <c r="E7" i="2"/>
  <c r="F47" i="2"/>
  <c r="F45" i="2"/>
  <c r="F43" i="2"/>
  <c r="F40" i="2"/>
  <c r="F39" i="2"/>
  <c r="F38" i="2"/>
  <c r="F37" i="2"/>
  <c r="M2" i="2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G55" i="2"/>
  <c r="G54" i="2"/>
  <c r="G53" i="2"/>
  <c r="G52" i="2"/>
  <c r="G51" i="2"/>
  <c r="I55" i="2"/>
  <c r="I54" i="2"/>
  <c r="I53" i="2"/>
  <c r="I52" i="2"/>
  <c r="I51" i="2"/>
  <c r="C42" i="2"/>
  <c r="G42" i="2"/>
  <c r="C36" i="2"/>
  <c r="C41" i="2" s="1"/>
  <c r="G36" i="2"/>
  <c r="C7" i="2"/>
  <c r="G7" i="2"/>
  <c r="D7" i="2"/>
  <c r="H7" i="2"/>
  <c r="E36" i="2"/>
  <c r="E41" i="2" s="1"/>
  <c r="I36" i="2"/>
  <c r="I41" i="2" s="1"/>
  <c r="I44" i="2" s="1"/>
  <c r="I46" i="2" s="1"/>
  <c r="I48" i="2" s="1"/>
  <c r="I7" i="2"/>
  <c r="H55" i="2"/>
  <c r="H54" i="2"/>
  <c r="H53" i="2"/>
  <c r="H52" i="2"/>
  <c r="H51" i="2"/>
  <c r="D36" i="2"/>
  <c r="D41" i="2" s="1"/>
  <c r="H36" i="2"/>
  <c r="H41" i="2" s="1"/>
  <c r="D42" i="2"/>
  <c r="H42" i="2"/>
  <c r="E42" i="2"/>
  <c r="G6" i="1"/>
  <c r="G9" i="1" s="1"/>
  <c r="AI69" i="2" s="1"/>
  <c r="H7" i="1"/>
  <c r="H8" i="1" s="1"/>
  <c r="Y36" i="2" l="1"/>
  <c r="X53" i="2"/>
  <c r="W53" i="2"/>
  <c r="V56" i="2"/>
  <c r="V54" i="2"/>
  <c r="W54" i="2"/>
  <c r="Y11" i="2"/>
  <c r="Z11" i="2" s="1"/>
  <c r="AA11" i="2" s="1"/>
  <c r="AB11" i="2" s="1"/>
  <c r="AC11" i="2" s="1"/>
  <c r="AD11" i="2" s="1"/>
  <c r="AE11" i="2" s="1"/>
  <c r="AB20" i="2"/>
  <c r="AA35" i="2"/>
  <c r="Z17" i="2"/>
  <c r="Y32" i="2"/>
  <c r="Y52" i="2" s="1"/>
  <c r="Z16" i="2"/>
  <c r="R56" i="2"/>
  <c r="U27" i="2"/>
  <c r="I97" i="2"/>
  <c r="J99" i="2" s="1"/>
  <c r="I99" i="2"/>
  <c r="S27" i="2"/>
  <c r="H89" i="2"/>
  <c r="J51" i="2"/>
  <c r="J52" i="2"/>
  <c r="J53" i="2"/>
  <c r="J55" i="2"/>
  <c r="I89" i="2"/>
  <c r="I90" i="2" s="1"/>
  <c r="H99" i="2"/>
  <c r="S56" i="2"/>
  <c r="J89" i="2"/>
  <c r="G99" i="2"/>
  <c r="F99" i="2"/>
  <c r="J54" i="2"/>
  <c r="J7" i="2"/>
  <c r="U56" i="2"/>
  <c r="S41" i="2"/>
  <c r="S44" i="2" s="1"/>
  <c r="S46" i="2" s="1"/>
  <c r="S48" i="2" s="1"/>
  <c r="R27" i="2"/>
  <c r="J71" i="2"/>
  <c r="F89" i="2"/>
  <c r="H71" i="2"/>
  <c r="H91" i="2"/>
  <c r="G89" i="2"/>
  <c r="F71" i="2"/>
  <c r="F91" i="2"/>
  <c r="Q56" i="2"/>
  <c r="J36" i="2"/>
  <c r="I71" i="2"/>
  <c r="I91" i="2"/>
  <c r="G91" i="2"/>
  <c r="U37" i="2"/>
  <c r="J37" i="2" s="1"/>
  <c r="U40" i="2"/>
  <c r="J40" i="2" s="1"/>
  <c r="U39" i="2"/>
  <c r="T41" i="2"/>
  <c r="T44" i="2" s="1"/>
  <c r="T46" i="2" s="1"/>
  <c r="T48" i="2" s="1"/>
  <c r="U48" i="2" s="1"/>
  <c r="V48" i="2" s="1"/>
  <c r="W48" i="2" s="1"/>
  <c r="X48" i="2" s="1"/>
  <c r="Y48" i="2" s="1"/>
  <c r="Z48" i="2" s="1"/>
  <c r="AA48" i="2" s="1"/>
  <c r="AB48" i="2" s="1"/>
  <c r="AC48" i="2" s="1"/>
  <c r="AD48" i="2" s="1"/>
  <c r="AE48" i="2" s="1"/>
  <c r="U38" i="2"/>
  <c r="J38" i="2" s="1"/>
  <c r="T56" i="2"/>
  <c r="T27" i="2"/>
  <c r="G56" i="2"/>
  <c r="F42" i="2"/>
  <c r="F36" i="2"/>
  <c r="C44" i="2"/>
  <c r="I56" i="2"/>
  <c r="G41" i="2"/>
  <c r="G44" i="2" s="1"/>
  <c r="G46" i="2" s="1"/>
  <c r="H44" i="2"/>
  <c r="H46" i="2" s="1"/>
  <c r="H48" i="2" s="1"/>
  <c r="H90" i="2" s="1"/>
  <c r="H56" i="2"/>
  <c r="D44" i="2"/>
  <c r="D46" i="2" s="1"/>
  <c r="E44" i="2"/>
  <c r="E46" i="2" s="1"/>
  <c r="Z36" i="2" l="1"/>
  <c r="Z51" i="2"/>
  <c r="Y53" i="2"/>
  <c r="W56" i="2"/>
  <c r="X56" i="2"/>
  <c r="Y14" i="2"/>
  <c r="AA16" i="2"/>
  <c r="AA17" i="2"/>
  <c r="Z32" i="2"/>
  <c r="Z52" i="2" s="1"/>
  <c r="AC20" i="2"/>
  <c r="AB35" i="2"/>
  <c r="Z14" i="2"/>
  <c r="Y56" i="2"/>
  <c r="J56" i="2"/>
  <c r="G48" i="2"/>
  <c r="E48" i="2"/>
  <c r="D48" i="2"/>
  <c r="V40" i="2"/>
  <c r="W40" i="2" s="1"/>
  <c r="V37" i="2"/>
  <c r="W37" i="2" s="1"/>
  <c r="X37" i="2" s="1"/>
  <c r="G90" i="2"/>
  <c r="F41" i="2"/>
  <c r="V39" i="2"/>
  <c r="W39" i="2" s="1"/>
  <c r="X39" i="2" s="1"/>
  <c r="J39" i="2"/>
  <c r="U41" i="2"/>
  <c r="V38" i="2"/>
  <c r="W38" i="2" s="1"/>
  <c r="X38" i="2" s="1"/>
  <c r="U43" i="2"/>
  <c r="J43" i="2" s="1"/>
  <c r="C46" i="2"/>
  <c r="F44" i="2"/>
  <c r="AA36" i="2" l="1"/>
  <c r="AA51" i="2"/>
  <c r="Z53" i="2"/>
  <c r="AB17" i="2"/>
  <c r="AA32" i="2"/>
  <c r="AA52" i="2" s="1"/>
  <c r="AC35" i="2"/>
  <c r="AD20" i="2"/>
  <c r="AB16" i="2"/>
  <c r="Y39" i="2"/>
  <c r="Y37" i="2"/>
  <c r="Y38" i="2"/>
  <c r="AA14" i="2"/>
  <c r="Z56" i="2"/>
  <c r="W41" i="2"/>
  <c r="C48" i="2"/>
  <c r="F100" i="2"/>
  <c r="V41" i="2"/>
  <c r="U42" i="2"/>
  <c r="J41" i="2"/>
  <c r="X40" i="2"/>
  <c r="Y40" i="2" s="1"/>
  <c r="F46" i="2"/>
  <c r="AB36" i="2" l="1"/>
  <c r="AB51" i="2"/>
  <c r="AA53" i="2"/>
  <c r="AA56" i="2"/>
  <c r="AE20" i="2"/>
  <c r="AD35" i="2"/>
  <c r="AC16" i="2"/>
  <c r="AC17" i="2"/>
  <c r="AB32" i="2"/>
  <c r="AB52" i="2" s="1"/>
  <c r="AB14" i="2"/>
  <c r="Z38" i="2"/>
  <c r="Z39" i="2"/>
  <c r="Z37" i="2"/>
  <c r="V44" i="2"/>
  <c r="F48" i="2"/>
  <c r="F90" i="2" s="1"/>
  <c r="I100" i="2"/>
  <c r="H100" i="2"/>
  <c r="G100" i="2"/>
  <c r="J42" i="2"/>
  <c r="U44" i="2"/>
  <c r="X41" i="2"/>
  <c r="Z40" i="2"/>
  <c r="Y41" i="2"/>
  <c r="AC36" i="2" l="1"/>
  <c r="AC51" i="2"/>
  <c r="AB53" i="2"/>
  <c r="AD16" i="2"/>
  <c r="AC32" i="2"/>
  <c r="AC52" i="2" s="1"/>
  <c r="AD17" i="2"/>
  <c r="AE35" i="2"/>
  <c r="AA39" i="2"/>
  <c r="AA37" i="2"/>
  <c r="AC14" i="2"/>
  <c r="AB56" i="2"/>
  <c r="AA38" i="2"/>
  <c r="W44" i="2"/>
  <c r="J44" i="2"/>
  <c r="U45" i="2"/>
  <c r="Z41" i="2"/>
  <c r="AA40" i="2"/>
  <c r="AD36" i="2" l="1"/>
  <c r="AD51" i="2"/>
  <c r="AC53" i="2"/>
  <c r="AC56" i="2"/>
  <c r="AE17" i="2"/>
  <c r="AD32" i="2"/>
  <c r="AD52" i="2" s="1"/>
  <c r="AE16" i="2"/>
  <c r="AB38" i="2"/>
  <c r="AD14" i="2"/>
  <c r="AB39" i="2"/>
  <c r="AB37" i="2"/>
  <c r="Y44" i="2"/>
  <c r="U46" i="2"/>
  <c r="J45" i="2"/>
  <c r="V45" i="2"/>
  <c r="AA41" i="2"/>
  <c r="AB40" i="2"/>
  <c r="AE51" i="2" l="1"/>
  <c r="AE36" i="2"/>
  <c r="AE53" i="2"/>
  <c r="AD53" i="2"/>
  <c r="AC39" i="2"/>
  <c r="AC37" i="2"/>
  <c r="AE32" i="2"/>
  <c r="AE52" i="2" s="1"/>
  <c r="Z44" i="2"/>
  <c r="X44" i="2"/>
  <c r="AD56" i="2"/>
  <c r="AC38" i="2"/>
  <c r="V46" i="2"/>
  <c r="V47" i="2" s="1"/>
  <c r="W45" i="2"/>
  <c r="W46" i="2" s="1"/>
  <c r="J46" i="2"/>
  <c r="U47" i="2"/>
  <c r="J47" i="2" s="1"/>
  <c r="AB41" i="2"/>
  <c r="AC40" i="2"/>
  <c r="AE56" i="2" l="1"/>
  <c r="AE14" i="2"/>
  <c r="AD38" i="2"/>
  <c r="AA44" i="2"/>
  <c r="X45" i="2"/>
  <c r="X46" i="2" s="1"/>
  <c r="X47" i="2" s="1"/>
  <c r="AD39" i="2"/>
  <c r="AD37" i="2"/>
  <c r="J48" i="2"/>
  <c r="J90" i="2" s="1"/>
  <c r="J100" i="2"/>
  <c r="J102" i="2" s="1"/>
  <c r="AI70" i="2"/>
  <c r="W47" i="2"/>
  <c r="AC41" i="2"/>
  <c r="AD40" i="2"/>
  <c r="AE38" i="2" l="1"/>
  <c r="AE37" i="2"/>
  <c r="Y45" i="2"/>
  <c r="Z45" i="2" s="1"/>
  <c r="Z46" i="2" s="1"/>
  <c r="Z47" i="2" s="1"/>
  <c r="AE39" i="2"/>
  <c r="AB44" i="2"/>
  <c r="AD41" i="2"/>
  <c r="AE40" i="2"/>
  <c r="AE41" i="2" l="1"/>
  <c r="AA45" i="2"/>
  <c r="AA46" i="2" s="1"/>
  <c r="AA47" i="2" s="1"/>
  <c r="Y46" i="2"/>
  <c r="Y47" i="2" s="1"/>
  <c r="AC44" i="2"/>
  <c r="AB45" i="2" l="1"/>
  <c r="AB46" i="2" s="1"/>
  <c r="AB47" i="2" s="1"/>
  <c r="AD44" i="2"/>
  <c r="AE44" i="2"/>
  <c r="AC45" i="2" l="1"/>
  <c r="AD45" i="2" s="1"/>
  <c r="AD46" i="2" s="1"/>
  <c r="AD47" i="2" s="1"/>
  <c r="AE45" i="2" l="1"/>
  <c r="AE46" i="2" s="1"/>
  <c r="AE47" i="2" s="1"/>
  <c r="AC46" i="2"/>
  <c r="AC47" i="2" s="1"/>
  <c r="AF46" i="2"/>
  <c r="AG46" i="2" s="1"/>
  <c r="AH46" i="2" s="1"/>
  <c r="AI46" i="2" s="1"/>
  <c r="AJ46" i="2" s="1"/>
  <c r="AK46" i="2" s="1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BA46" i="2" s="1"/>
  <c r="BB46" i="2" s="1"/>
  <c r="BC46" i="2" s="1"/>
  <c r="BD46" i="2" s="1"/>
  <c r="BE46" i="2" s="1"/>
  <c r="BF46" i="2" s="1"/>
  <c r="BG46" i="2" s="1"/>
  <c r="BH46" i="2" s="1"/>
  <c r="BI46" i="2" s="1"/>
  <c r="BJ46" i="2" s="1"/>
  <c r="BK46" i="2" s="1"/>
  <c r="BL46" i="2" s="1"/>
  <c r="BM46" i="2" s="1"/>
  <c r="BN46" i="2" s="1"/>
  <c r="BO46" i="2" s="1"/>
  <c r="BP46" i="2" s="1"/>
  <c r="BQ46" i="2" s="1"/>
  <c r="BR46" i="2" s="1"/>
  <c r="BS46" i="2" s="1"/>
  <c r="BT46" i="2" s="1"/>
  <c r="BU46" i="2" s="1"/>
  <c r="BV46" i="2" s="1"/>
  <c r="BW46" i="2" s="1"/>
  <c r="BX46" i="2" s="1"/>
  <c r="BY46" i="2" s="1"/>
  <c r="BZ46" i="2" s="1"/>
  <c r="CA46" i="2" s="1"/>
  <c r="CB46" i="2" s="1"/>
  <c r="CC46" i="2" s="1"/>
  <c r="CD46" i="2" s="1"/>
  <c r="CE46" i="2" s="1"/>
  <c r="CF46" i="2" s="1"/>
  <c r="CG46" i="2" s="1"/>
  <c r="CH46" i="2" s="1"/>
  <c r="CI46" i="2" s="1"/>
  <c r="CJ46" i="2" s="1"/>
  <c r="CK46" i="2" s="1"/>
  <c r="CL46" i="2" s="1"/>
  <c r="CM46" i="2" s="1"/>
  <c r="CN46" i="2" s="1"/>
  <c r="CO46" i="2" s="1"/>
  <c r="CP46" i="2" s="1"/>
  <c r="CQ46" i="2" s="1"/>
  <c r="CR46" i="2" s="1"/>
  <c r="CS46" i="2" s="1"/>
  <c r="CT46" i="2" s="1"/>
  <c r="CU46" i="2" s="1"/>
  <c r="CV46" i="2" s="1"/>
  <c r="CW46" i="2" s="1"/>
  <c r="CX46" i="2" s="1"/>
  <c r="CY46" i="2" s="1"/>
  <c r="CZ46" i="2" s="1"/>
  <c r="DA46" i="2" s="1"/>
  <c r="DB46" i="2" s="1"/>
  <c r="DC46" i="2" s="1"/>
  <c r="DD46" i="2" s="1"/>
  <c r="DE46" i="2" s="1"/>
  <c r="DF46" i="2" s="1"/>
  <c r="DG46" i="2" s="1"/>
  <c r="DH46" i="2" s="1"/>
  <c r="DI46" i="2" s="1"/>
  <c r="DJ46" i="2" s="1"/>
  <c r="DK46" i="2" s="1"/>
  <c r="DL46" i="2" s="1"/>
  <c r="DM46" i="2" s="1"/>
  <c r="DN46" i="2" s="1"/>
  <c r="DO46" i="2" s="1"/>
  <c r="DP46" i="2" s="1"/>
  <c r="DQ46" i="2" s="1"/>
  <c r="DR46" i="2" s="1"/>
  <c r="DS46" i="2" s="1"/>
  <c r="DT46" i="2" s="1"/>
  <c r="DU46" i="2" s="1"/>
  <c r="DV46" i="2" s="1"/>
  <c r="DW46" i="2" s="1"/>
  <c r="DX46" i="2" s="1"/>
  <c r="DY46" i="2" s="1"/>
  <c r="DZ46" i="2" s="1"/>
  <c r="EA46" i="2" s="1"/>
  <c r="EB46" i="2" s="1"/>
  <c r="EC46" i="2" s="1"/>
  <c r="ED46" i="2" s="1"/>
  <c r="EE46" i="2" s="1"/>
  <c r="EF46" i="2" s="1"/>
  <c r="EG46" i="2" s="1"/>
  <c r="EH46" i="2" s="1"/>
  <c r="EI46" i="2" s="1"/>
  <c r="EJ46" i="2" s="1"/>
  <c r="EK46" i="2" s="1"/>
  <c r="EL46" i="2" s="1"/>
  <c r="EM46" i="2" s="1"/>
  <c r="EN46" i="2" s="1"/>
  <c r="EO46" i="2" s="1"/>
  <c r="EP46" i="2" s="1"/>
  <c r="EQ46" i="2" s="1"/>
  <c r="ER46" i="2" s="1"/>
  <c r="ES46" i="2" s="1"/>
  <c r="ET46" i="2" s="1"/>
  <c r="EU46" i="2" s="1"/>
  <c r="EV46" i="2" s="1"/>
  <c r="EW46" i="2" s="1"/>
  <c r="EX46" i="2" s="1"/>
  <c r="EY46" i="2" s="1"/>
  <c r="EZ46" i="2" s="1"/>
  <c r="FA46" i="2" s="1"/>
  <c r="FB46" i="2" s="1"/>
  <c r="FC46" i="2" s="1"/>
  <c r="FD46" i="2" s="1"/>
  <c r="FE46" i="2" s="1"/>
  <c r="FF46" i="2" s="1"/>
  <c r="FG46" i="2" s="1"/>
  <c r="FH46" i="2" s="1"/>
  <c r="FI46" i="2" s="1"/>
  <c r="FJ46" i="2" s="1"/>
  <c r="FK46" i="2" s="1"/>
  <c r="FL46" i="2" s="1"/>
  <c r="FM46" i="2" s="1"/>
  <c r="FN46" i="2" s="1"/>
  <c r="FO46" i="2" s="1"/>
  <c r="FP46" i="2" s="1"/>
  <c r="FQ46" i="2" s="1"/>
  <c r="FR46" i="2" s="1"/>
  <c r="FS46" i="2" s="1"/>
  <c r="FT46" i="2" s="1"/>
  <c r="FU46" i="2" s="1"/>
  <c r="FV46" i="2" s="1"/>
  <c r="FW46" i="2" s="1"/>
  <c r="FX46" i="2" s="1"/>
  <c r="FY46" i="2" s="1"/>
  <c r="FZ46" i="2" s="1"/>
  <c r="GA46" i="2" s="1"/>
  <c r="GB46" i="2" s="1"/>
  <c r="GC46" i="2" s="1"/>
  <c r="GD46" i="2" s="1"/>
  <c r="GE46" i="2" s="1"/>
  <c r="GF46" i="2" s="1"/>
  <c r="GG46" i="2" s="1"/>
  <c r="GH46" i="2" s="1"/>
  <c r="GI46" i="2" s="1"/>
  <c r="GJ46" i="2" s="1"/>
  <c r="GK46" i="2" s="1"/>
  <c r="GL46" i="2" s="1"/>
  <c r="GM46" i="2" s="1"/>
  <c r="GN46" i="2" s="1"/>
  <c r="GO46" i="2" s="1"/>
  <c r="GP46" i="2" s="1"/>
  <c r="GQ46" i="2" s="1"/>
  <c r="GR46" i="2" s="1"/>
  <c r="GS46" i="2" s="1"/>
  <c r="GT46" i="2" s="1"/>
  <c r="GU46" i="2" s="1"/>
  <c r="GV46" i="2" s="1"/>
  <c r="GW46" i="2" s="1"/>
  <c r="GX46" i="2" s="1"/>
  <c r="GY46" i="2" s="1"/>
  <c r="GZ46" i="2" s="1"/>
  <c r="HA46" i="2" s="1"/>
  <c r="HB46" i="2" s="1"/>
  <c r="HC46" i="2" s="1"/>
  <c r="HD46" i="2" s="1"/>
  <c r="HE46" i="2" s="1"/>
  <c r="HF46" i="2" s="1"/>
  <c r="HG46" i="2" s="1"/>
  <c r="HH46" i="2" s="1"/>
  <c r="HI46" i="2" s="1"/>
  <c r="HJ46" i="2" s="1"/>
  <c r="HK46" i="2" s="1"/>
  <c r="HL46" i="2" s="1"/>
  <c r="HM46" i="2" s="1"/>
  <c r="HN46" i="2" s="1"/>
  <c r="HO46" i="2" s="1"/>
  <c r="HP46" i="2" s="1"/>
  <c r="HQ46" i="2" s="1"/>
  <c r="HR46" i="2" s="1"/>
  <c r="HS46" i="2" s="1"/>
  <c r="HT46" i="2" s="1"/>
  <c r="HU46" i="2" s="1"/>
  <c r="HV46" i="2" s="1"/>
  <c r="AI61" i="2" l="1"/>
  <c r="AI63" i="2" s="1"/>
  <c r="AI65" i="2" s="1"/>
  <c r="AI67" i="2" s="1"/>
</calcChain>
</file>

<file path=xl/sharedStrings.xml><?xml version="1.0" encoding="utf-8"?>
<sst xmlns="http://schemas.openxmlformats.org/spreadsheetml/2006/main" count="134" uniqueCount="108">
  <si>
    <t>P</t>
  </si>
  <si>
    <t>S</t>
  </si>
  <si>
    <t>MC</t>
  </si>
  <si>
    <t>C</t>
  </si>
  <si>
    <t>D</t>
  </si>
  <si>
    <t>EV</t>
  </si>
  <si>
    <t>Q324</t>
  </si>
  <si>
    <t>Q123</t>
  </si>
  <si>
    <t>Q223</t>
  </si>
  <si>
    <t>Q323</t>
  </si>
  <si>
    <t>Q423</t>
  </si>
  <si>
    <t>SG&amp;A</t>
  </si>
  <si>
    <t>Other</t>
  </si>
  <si>
    <t xml:space="preserve">Operating Income </t>
  </si>
  <si>
    <t>Equity In Earnings</t>
  </si>
  <si>
    <t>Q124</t>
  </si>
  <si>
    <t>Q224</t>
  </si>
  <si>
    <t>Q424</t>
  </si>
  <si>
    <t xml:space="preserve">Net Interest Income </t>
  </si>
  <si>
    <t>EBT</t>
  </si>
  <si>
    <t>Taxes</t>
  </si>
  <si>
    <t xml:space="preserve">Net Income </t>
  </si>
  <si>
    <t>Diluted</t>
  </si>
  <si>
    <t>EPS</t>
  </si>
  <si>
    <t>S Y/Y</t>
  </si>
  <si>
    <t xml:space="preserve">Ammonia </t>
  </si>
  <si>
    <t>Avg Nat Gas (MMBtu)</t>
  </si>
  <si>
    <t>Granular Urea</t>
  </si>
  <si>
    <t>Ammonium Nitrate Solution</t>
  </si>
  <si>
    <t>Ammonium Nitrate</t>
  </si>
  <si>
    <t>CEO</t>
  </si>
  <si>
    <t xml:space="preserve">CFO </t>
  </si>
  <si>
    <t>UAN</t>
  </si>
  <si>
    <t xml:space="preserve">Ammon Nitrate </t>
  </si>
  <si>
    <t xml:space="preserve">Total Production Volume in Tons </t>
  </si>
  <si>
    <t xml:space="preserve">Total Sales Volume in Tons </t>
  </si>
  <si>
    <t>Total Sales Volume in Tons %</t>
  </si>
  <si>
    <t xml:space="preserve">corn, wheat, barley </t>
  </si>
  <si>
    <t>corn, cotton, lettuce, tomamtoes, peppers</t>
  </si>
  <si>
    <t xml:space="preserve">corn.wheat, tobacco, pasture and hay </t>
  </si>
  <si>
    <t>E</t>
  </si>
  <si>
    <t xml:space="preserve">Equity Value </t>
  </si>
  <si>
    <t xml:space="preserve">Net Cash </t>
  </si>
  <si>
    <t>NPV</t>
  </si>
  <si>
    <t xml:space="preserve">Discount </t>
  </si>
  <si>
    <t xml:space="preserve">Terminal </t>
  </si>
  <si>
    <t>Shares</t>
  </si>
  <si>
    <t xml:space="preserve">Estimate </t>
  </si>
  <si>
    <t>Current</t>
  </si>
  <si>
    <t>Upside</t>
  </si>
  <si>
    <t>Notes</t>
  </si>
  <si>
    <t>Traditional ammonia is made by combining hydrogen (H₂) from natural gas and nitrogen (N₂) from the air.</t>
  </si>
  <si>
    <t>Making hydrogen from natural gas (steam methane reforming) releases large amounts of CO₂ as a byproduct.</t>
  </si>
  <si>
    <t>Ammonia (NH₃) production needs only hydrogen and nitrogen, not carbon, so excess CO₂ is vented unless captured.</t>
  </si>
  <si>
    <t>Urea (NH₂CONH₂) production uses some of the CO₂ by reacting it with ammonia, but not all CO₂ is used.</t>
  </si>
  <si>
    <t>There is always leftover CO₂ beyond what is needed for urea — today most fertilizer plants emit this excess CO₂.</t>
  </si>
  <si>
    <t>Switching to green hydrogen (electrolysis of water using renewable energy) would eliminate CO₂ emissions but remove the free CO₂ source for urea.</t>
  </si>
  <si>
    <t>If CF or others fully transition to green hydrogen, they would need to buy or capture CO₂ separately to continue making urea — increasing costs.</t>
  </si>
  <si>
    <t>Blue ammonia (natural gas + carbon capture) is a transitional solution that captures most CO₂ but still relies on fossil fuel feedstock.</t>
  </si>
  <si>
    <t>Clean ammonia strategy risks for CF include higher urea production costs, carbon sourcing challenges, and long-term profitability pressures if green ammonia fully replaces gas-based processes.</t>
  </si>
  <si>
    <t>CO₂ itself is not bad (plants breathe it), but excess CO₂ in the atmosphere traps heat and causes climate change?</t>
  </si>
  <si>
    <t>W Anthony Will</t>
  </si>
  <si>
    <t>Greg Cameron</t>
  </si>
  <si>
    <t xml:space="preserve">Cash </t>
  </si>
  <si>
    <t>A/R</t>
  </si>
  <si>
    <t>Inventories</t>
  </si>
  <si>
    <t>Prepaid I/t</t>
  </si>
  <si>
    <t>OCA</t>
  </si>
  <si>
    <t xml:space="preserve">Current Assets </t>
  </si>
  <si>
    <t>PPE</t>
  </si>
  <si>
    <t>Investment in affil</t>
  </si>
  <si>
    <t>Goodwill</t>
  </si>
  <si>
    <t>Intangible assets</t>
  </si>
  <si>
    <t>Op Lease</t>
  </si>
  <si>
    <t>OA</t>
  </si>
  <si>
    <t xml:space="preserve">Total Assets </t>
  </si>
  <si>
    <t>TL + E</t>
  </si>
  <si>
    <t>A/P</t>
  </si>
  <si>
    <t>Income tax payable</t>
  </si>
  <si>
    <t>Customer advances</t>
  </si>
  <si>
    <t>Current Op L</t>
  </si>
  <si>
    <t>OCL</t>
  </si>
  <si>
    <t>Current Liab</t>
  </si>
  <si>
    <t>LTD</t>
  </si>
  <si>
    <t>Deferred i/t</t>
  </si>
  <si>
    <t>Op Lease Liab</t>
  </si>
  <si>
    <t>Supply Contract Liab</t>
  </si>
  <si>
    <t>OL</t>
  </si>
  <si>
    <t>Net Cash</t>
  </si>
  <si>
    <t>Total Debt</t>
  </si>
  <si>
    <t>Total Cash</t>
  </si>
  <si>
    <t>Current Ratio</t>
  </si>
  <si>
    <t xml:space="preserve">Net Cash Per Share </t>
  </si>
  <si>
    <t xml:space="preserve">Tangible Book Vakue </t>
  </si>
  <si>
    <t>Debt to Equity</t>
  </si>
  <si>
    <t>CFFO</t>
  </si>
  <si>
    <t>Capex</t>
  </si>
  <si>
    <t>FCF</t>
  </si>
  <si>
    <t>4Q FCF</t>
  </si>
  <si>
    <t>4Q NI</t>
  </si>
  <si>
    <t xml:space="preserve">Press Release </t>
  </si>
  <si>
    <t>nat gas shortage Iran/Egypt (would be an indication less nitrogen is made which impacts ammonia prod) + china restrictions on urea exports</t>
  </si>
  <si>
    <t xml:space="preserve">u.s corn planting projected to increase, good for nitrogen fertilizer demand </t>
  </si>
  <si>
    <t xml:space="preserve">Brazil has record high urea imports </t>
  </si>
  <si>
    <t>India inventories are low; they'll need to purchase soon</t>
  </si>
  <si>
    <t>Europe; 25% of ammonia and 20% of urea capacity offline --&gt; weak european supply</t>
  </si>
  <si>
    <t xml:space="preserve">Russia: urea exports growing </t>
  </si>
  <si>
    <t xml:space="preserve">CF Industries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</si>
</sst>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\x"/>
    <numFmt numFmtId="171" formatCode="#,##0.0"/>
  </numFmts>
  <fonts count="7">
    <font>
      <sz val="10"/>
      <color theme="1"/>
      <name val="ArialMT"/>
      <family val="2"/>
    </font>
    <font>
      <b/>
      <sz val="10"/>
      <color theme="1"/>
      <name val="ArialMT"/>
    </font>
    <font>
      <sz val="10"/>
      <color rgb="FF000000"/>
      <name val="ArialMT"/>
      <family val="2"/>
    </font>
    <font>
      <b/>
      <sz val="10"/>
      <color rgb="FF000000"/>
      <name val="ArialMT"/>
      <family val="2"/>
    </font>
    <font>
      <sz val="10"/>
      <color theme="1"/>
      <name val="ArialMT"/>
    </font>
    <font>
      <u/>
      <sz val="10"/>
      <color theme="10"/>
      <name val="ArialMT"/>
      <family val="2"/>
    </font>
    <font>
      <u/>
      <sz val="10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0" fontId="2" fillId="0" borderId="0" xfId="0" applyFont="1"/>
    <xf numFmtId="0" fontId="3" fillId="0" borderId="0" xfId="0" applyFont="1"/>
    <xf numFmtId="9" fontId="2" fillId="0" borderId="0" xfId="0" applyNumberFormat="1" applyFont="1"/>
    <xf numFmtId="3" fontId="1" fillId="0" borderId="0" xfId="0" applyNumberFormat="1" applyFont="1"/>
    <xf numFmtId="1" fontId="0" fillId="0" borderId="0" xfId="0" applyNumberFormat="1"/>
    <xf numFmtId="3" fontId="4" fillId="0" borderId="0" xfId="0" applyNumberFormat="1" applyFont="1"/>
    <xf numFmtId="9" fontId="4" fillId="0" borderId="0" xfId="0" applyNumberFormat="1" applyFont="1"/>
    <xf numFmtId="10" fontId="0" fillId="0" borderId="0" xfId="0" applyNumberFormat="1"/>
    <xf numFmtId="3" fontId="6" fillId="0" borderId="0" xfId="0" applyNumberFormat="1" applyFont="1"/>
    <xf numFmtId="170" fontId="0" fillId="0" borderId="0" xfId="0" applyNumberFormat="1"/>
    <xf numFmtId="171" fontId="0" fillId="0" borderId="0" xfId="0" applyNumberFormat="1"/>
    <xf numFmtId="171" fontId="4" fillId="0" borderId="0" xfId="0" applyNumberFormat="1" applyFont="1"/>
    <xf numFmtId="3" fontId="5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745834</xdr:colOff>
      <xdr:row>1</xdr:row>
      <xdr:rowOff>141111</xdr:rowOff>
    </xdr:from>
    <xdr:to>
      <xdr:col>12</xdr:col>
      <xdr:colOff>575105</xdr:colOff>
      <xdr:row>14</xdr:row>
      <xdr:rowOff>37158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08DF59-BD3F-5BE4-D18C-9710A2ED8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33674" y="305741"/>
          <a:ext cx="3121863" cy="20362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562429</xdr:colOff>
      <xdr:row>0</xdr:row>
      <xdr:rowOff>9071</xdr:rowOff>
    </xdr:from>
    <xdr:to>
      <xdr:col>21</xdr:col>
      <xdr:colOff>9071</xdr:colOff>
      <xdr:row>96</xdr:row>
      <xdr:rowOff>27214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CC384E7-5E35-B5BB-0828-22A1C73775CE}"/>
            </a:ext>
          </a:extLst>
        </xdr:cNvPr>
        <xdr:cNvCxnSpPr/>
      </xdr:nvCxnSpPr>
      <xdr:spPr>
        <a:xfrm flipH="1">
          <a:off x="11620500" y="9071"/>
          <a:ext cx="72571" cy="1569357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r.cfindustries.com/Investors/news/news-details/2025/CF-Industries-Holdings-Inc.-Reports-Full-Year-2024-Net-Earnings-of-1.22-Billion-Adjusted-EBITDA-of-2.28-Billion/default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C08B4-9973-8846-9A2D-BFA261F007AC}">
  <dimension ref="B2:H39"/>
  <sheetViews>
    <sheetView tabSelected="1" zoomScale="162" workbookViewId="0">
      <selection activeCell="B3" sqref="B3"/>
    </sheetView>
  </sheetViews>
  <sheetFormatPr baseColWidth="10" defaultRowHeight="13"/>
  <cols>
    <col min="1" max="1" width="2.33203125" style="1" customWidth="1"/>
    <col min="2" max="2" width="21.6640625" style="1" customWidth="1"/>
    <col min="3" max="3" width="14.6640625" style="1" bestFit="1" customWidth="1"/>
    <col min="4" max="4" width="6.6640625" style="1" bestFit="1" customWidth="1"/>
    <col min="5" max="5" width="5.5" style="1" bestFit="1" customWidth="1"/>
    <col min="6" max="6" width="3.6640625" style="1" bestFit="1" customWidth="1"/>
    <col min="7" max="7" width="6.6640625" style="1" bestFit="1" customWidth="1"/>
    <col min="8" max="8" width="5.5" style="1" bestFit="1" customWidth="1"/>
    <col min="9" max="16384" width="10.83203125" style="1"/>
  </cols>
  <sheetData>
    <row r="2" spans="2:8">
      <c r="B2" s="1" t="s">
        <v>107</v>
      </c>
    </row>
    <row r="3" spans="2:8">
      <c r="B3" s="1" t="s">
        <v>30</v>
      </c>
      <c r="C3" s="1" t="s">
        <v>61</v>
      </c>
    </row>
    <row r="4" spans="2:8">
      <c r="B4" s="1" t="s">
        <v>31</v>
      </c>
      <c r="C4" s="1" t="s">
        <v>62</v>
      </c>
      <c r="F4" s="1" t="s">
        <v>0</v>
      </c>
      <c r="G4" s="2">
        <v>78.52</v>
      </c>
    </row>
    <row r="5" spans="2:8">
      <c r="F5" s="1" t="s">
        <v>1</v>
      </c>
      <c r="G5" s="1">
        <v>169.53680299999999</v>
      </c>
      <c r="H5" s="1" t="s">
        <v>17</v>
      </c>
    </row>
    <row r="6" spans="2:8">
      <c r="F6" s="1" t="s">
        <v>2</v>
      </c>
      <c r="G6" s="1">
        <f>+G4*G5</f>
        <v>13312.029771559999</v>
      </c>
    </row>
    <row r="7" spans="2:8">
      <c r="F7" s="1" t="s">
        <v>3</v>
      </c>
      <c r="G7" s="1">
        <v>1614</v>
      </c>
      <c r="H7" s="1" t="str">
        <f>+H5</f>
        <v>Q424</v>
      </c>
    </row>
    <row r="8" spans="2:8">
      <c r="F8" s="1" t="s">
        <v>4</v>
      </c>
      <c r="G8" s="1">
        <v>2971</v>
      </c>
      <c r="H8" s="1" t="str">
        <f>+H7</f>
        <v>Q424</v>
      </c>
    </row>
    <row r="9" spans="2:8">
      <c r="F9" s="1" t="s">
        <v>5</v>
      </c>
      <c r="G9" s="1">
        <f>+G6-G7+G8</f>
        <v>14669.029771559999</v>
      </c>
    </row>
    <row r="11" spans="2:8">
      <c r="B11" s="1" t="s">
        <v>37</v>
      </c>
      <c r="C11" s="6"/>
      <c r="D11" s="6"/>
      <c r="E11" s="6"/>
      <c r="F11" s="6"/>
      <c r="G11" s="6"/>
    </row>
    <row r="12" spans="2:8">
      <c r="B12" s="1" t="s">
        <v>38</v>
      </c>
      <c r="C12" s="7"/>
      <c r="D12" s="5"/>
      <c r="E12" s="5"/>
      <c r="F12" s="5"/>
      <c r="G12" s="5"/>
    </row>
    <row r="13" spans="2:8">
      <c r="B13" s="1" t="s">
        <v>39</v>
      </c>
      <c r="C13" s="7"/>
      <c r="D13" s="5"/>
      <c r="E13" s="5"/>
      <c r="F13" s="5"/>
      <c r="G13" s="5"/>
    </row>
    <row r="14" spans="2:8">
      <c r="B14" s="6"/>
      <c r="C14" s="5"/>
      <c r="D14" s="5"/>
      <c r="E14" s="5"/>
      <c r="F14" s="5"/>
      <c r="G14" s="5"/>
    </row>
    <row r="19" spans="2:2">
      <c r="B19" s="13" t="s">
        <v>50</v>
      </c>
    </row>
    <row r="20" spans="2:2">
      <c r="B20" s="1" t="s">
        <v>51</v>
      </c>
    </row>
    <row r="21" spans="2:2">
      <c r="B21" s="1" t="s">
        <v>52</v>
      </c>
    </row>
    <row r="22" spans="2:2">
      <c r="B22" s="1" t="s">
        <v>53</v>
      </c>
    </row>
    <row r="23" spans="2:2">
      <c r="B23" s="1" t="s">
        <v>54</v>
      </c>
    </row>
    <row r="24" spans="2:2">
      <c r="B24" s="1" t="s">
        <v>55</v>
      </c>
    </row>
    <row r="25" spans="2:2">
      <c r="B25" s="1" t="s">
        <v>56</v>
      </c>
    </row>
    <row r="26" spans="2:2">
      <c r="B26" s="1" t="s">
        <v>57</v>
      </c>
    </row>
    <row r="27" spans="2:2">
      <c r="B27" s="1" t="s">
        <v>60</v>
      </c>
    </row>
    <row r="28" spans="2:2">
      <c r="B28" s="1" t="s">
        <v>58</v>
      </c>
    </row>
    <row r="29" spans="2:2">
      <c r="B29" s="1" t="s">
        <v>59</v>
      </c>
    </row>
    <row r="33" spans="2:3">
      <c r="B33" s="1" t="s">
        <v>100</v>
      </c>
    </row>
    <row r="34" spans="2:3">
      <c r="B34" s="17" t="s">
        <v>17</v>
      </c>
      <c r="C34" s="1" t="s">
        <v>101</v>
      </c>
    </row>
    <row r="35" spans="2:3">
      <c r="C35" s="1" t="s">
        <v>102</v>
      </c>
    </row>
    <row r="36" spans="2:3">
      <c r="C36" s="1" t="s">
        <v>103</v>
      </c>
    </row>
    <row r="37" spans="2:3">
      <c r="C37" s="1" t="s">
        <v>104</v>
      </c>
    </row>
    <row r="38" spans="2:3">
      <c r="C38" s="1" t="s">
        <v>105</v>
      </c>
    </row>
    <row r="39" spans="2:3">
      <c r="C39" s="1" t="s">
        <v>106</v>
      </c>
    </row>
  </sheetData>
  <hyperlinks>
    <hyperlink ref="B34" r:id="rId1" xr:uid="{1E1175D6-23D5-5746-ACCF-2022A3E77497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2779-C107-134F-B221-50ECC749D8A7}">
  <dimension ref="B2:HV102"/>
  <sheetViews>
    <sheetView zoomScale="140" workbookViewId="0">
      <pane xSplit="2" ySplit="2" topLeftCell="R29" activePane="bottomRight" state="frozen"/>
      <selection pane="topRight" activeCell="C1" sqref="C1"/>
      <selection pane="bottomLeft" activeCell="A3" sqref="A3"/>
      <selection pane="bottomRight" activeCell="V33" sqref="V33"/>
    </sheetView>
  </sheetViews>
  <sheetFormatPr baseColWidth="10" defaultRowHeight="13"/>
  <cols>
    <col min="1" max="1" width="0.83203125" style="1" customWidth="1"/>
    <col min="2" max="2" width="28.6640625" style="1" bestFit="1" customWidth="1"/>
    <col min="3" max="5" width="5.6640625" style="1" bestFit="1" customWidth="1"/>
    <col min="6" max="10" width="6.6640625" style="1" bestFit="1" customWidth="1"/>
    <col min="11" max="11" width="10.83203125" style="1"/>
    <col min="12" max="14" width="5.1640625" style="1" bestFit="1" customWidth="1"/>
    <col min="15" max="15" width="6.6640625" style="1" bestFit="1" customWidth="1"/>
    <col min="16" max="16" width="5.6640625" style="1" bestFit="1" customWidth="1"/>
    <col min="17" max="18" width="6.6640625" style="1" bestFit="1" customWidth="1"/>
    <col min="19" max="19" width="6.5" style="1" customWidth="1"/>
    <col min="20" max="20" width="6.6640625" style="1" bestFit="1" customWidth="1"/>
    <col min="21" max="21" width="8.1640625" style="1" bestFit="1" customWidth="1"/>
    <col min="22" max="33" width="6.6640625" style="1" bestFit="1" customWidth="1"/>
    <col min="34" max="34" width="8.1640625" style="1" bestFit="1" customWidth="1"/>
    <col min="35" max="35" width="6.6640625" style="1" bestFit="1" customWidth="1"/>
    <col min="36" max="188" width="5.6640625" style="1" bestFit="1" customWidth="1"/>
    <col min="189" max="230" width="6.6640625" style="1" bestFit="1" customWidth="1"/>
    <col min="231" max="16384" width="10.83203125" style="1"/>
  </cols>
  <sheetData>
    <row r="2" spans="2:230" s="9" customFormat="1">
      <c r="C2" s="9" t="s">
        <v>7</v>
      </c>
      <c r="D2" s="9" t="s">
        <v>8</v>
      </c>
      <c r="E2" s="9" t="s">
        <v>9</v>
      </c>
      <c r="F2" s="9" t="s">
        <v>10</v>
      </c>
      <c r="G2" s="9" t="s">
        <v>15</v>
      </c>
      <c r="H2" s="9" t="s">
        <v>16</v>
      </c>
      <c r="I2" s="9" t="s">
        <v>6</v>
      </c>
      <c r="J2" s="9" t="s">
        <v>17</v>
      </c>
      <c r="L2" s="9">
        <v>2015</v>
      </c>
      <c r="M2" s="9">
        <f>+L2+1</f>
        <v>2016</v>
      </c>
      <c r="N2" s="9">
        <f t="shared" ref="N2:AE2" si="0">+M2+1</f>
        <v>2017</v>
      </c>
      <c r="O2" s="9">
        <f t="shared" si="0"/>
        <v>2018</v>
      </c>
      <c r="P2" s="9">
        <f t="shared" si="0"/>
        <v>2019</v>
      </c>
      <c r="Q2" s="9">
        <f t="shared" si="0"/>
        <v>2020</v>
      </c>
      <c r="R2" s="9">
        <f t="shared" si="0"/>
        <v>2021</v>
      </c>
      <c r="S2" s="9">
        <f t="shared" si="0"/>
        <v>2022</v>
      </c>
      <c r="T2" s="9">
        <f t="shared" si="0"/>
        <v>2023</v>
      </c>
      <c r="U2" s="9">
        <f t="shared" si="0"/>
        <v>2024</v>
      </c>
      <c r="V2" s="9">
        <f t="shared" si="0"/>
        <v>2025</v>
      </c>
      <c r="W2" s="9">
        <f t="shared" si="0"/>
        <v>2026</v>
      </c>
      <c r="X2" s="9">
        <f t="shared" si="0"/>
        <v>2027</v>
      </c>
      <c r="Y2" s="9">
        <f t="shared" si="0"/>
        <v>2028</v>
      </c>
      <c r="Z2" s="9">
        <f t="shared" si="0"/>
        <v>2029</v>
      </c>
      <c r="AA2" s="9">
        <f t="shared" si="0"/>
        <v>2030</v>
      </c>
      <c r="AB2" s="9">
        <f t="shared" si="0"/>
        <v>2031</v>
      </c>
      <c r="AC2" s="9">
        <f t="shared" si="0"/>
        <v>2032</v>
      </c>
      <c r="AD2" s="9">
        <f t="shared" si="0"/>
        <v>2033</v>
      </c>
      <c r="AE2" s="9">
        <f t="shared" si="0"/>
        <v>2034</v>
      </c>
      <c r="AF2" s="9">
        <f t="shared" ref="AF2:CQ2" si="1">+AE2+1</f>
        <v>2035</v>
      </c>
      <c r="AG2" s="9">
        <f t="shared" si="1"/>
        <v>2036</v>
      </c>
      <c r="AH2" s="9">
        <f t="shared" si="1"/>
        <v>2037</v>
      </c>
      <c r="AI2" s="9">
        <f t="shared" si="1"/>
        <v>2038</v>
      </c>
      <c r="AJ2" s="9">
        <f t="shared" si="1"/>
        <v>2039</v>
      </c>
      <c r="AK2" s="9">
        <f t="shared" si="1"/>
        <v>2040</v>
      </c>
      <c r="AL2" s="9">
        <f t="shared" si="1"/>
        <v>2041</v>
      </c>
      <c r="AM2" s="9">
        <f t="shared" si="1"/>
        <v>2042</v>
      </c>
      <c r="AN2" s="9">
        <f t="shared" si="1"/>
        <v>2043</v>
      </c>
      <c r="AO2" s="9">
        <f t="shared" si="1"/>
        <v>2044</v>
      </c>
      <c r="AP2" s="9">
        <f t="shared" si="1"/>
        <v>2045</v>
      </c>
      <c r="AQ2" s="9">
        <f t="shared" si="1"/>
        <v>2046</v>
      </c>
      <c r="AR2" s="9">
        <f t="shared" si="1"/>
        <v>2047</v>
      </c>
      <c r="AS2" s="9">
        <f t="shared" si="1"/>
        <v>2048</v>
      </c>
      <c r="AT2" s="9">
        <f t="shared" si="1"/>
        <v>2049</v>
      </c>
      <c r="AU2" s="9">
        <f t="shared" si="1"/>
        <v>2050</v>
      </c>
      <c r="AV2" s="9">
        <f t="shared" si="1"/>
        <v>2051</v>
      </c>
      <c r="AW2" s="9">
        <f t="shared" si="1"/>
        <v>2052</v>
      </c>
      <c r="AX2" s="9">
        <f t="shared" si="1"/>
        <v>2053</v>
      </c>
      <c r="AY2" s="9">
        <f t="shared" si="1"/>
        <v>2054</v>
      </c>
      <c r="AZ2" s="9">
        <f t="shared" si="1"/>
        <v>2055</v>
      </c>
      <c r="BA2" s="9">
        <f t="shared" si="1"/>
        <v>2056</v>
      </c>
      <c r="BB2" s="9">
        <f t="shared" si="1"/>
        <v>2057</v>
      </c>
      <c r="BC2" s="9">
        <f t="shared" si="1"/>
        <v>2058</v>
      </c>
      <c r="BD2" s="9">
        <f t="shared" si="1"/>
        <v>2059</v>
      </c>
      <c r="BE2" s="9">
        <f t="shared" si="1"/>
        <v>2060</v>
      </c>
      <c r="BF2" s="9">
        <f t="shared" si="1"/>
        <v>2061</v>
      </c>
      <c r="BG2" s="9">
        <f t="shared" si="1"/>
        <v>2062</v>
      </c>
      <c r="BH2" s="9">
        <f t="shared" si="1"/>
        <v>2063</v>
      </c>
      <c r="BI2" s="9">
        <f t="shared" si="1"/>
        <v>2064</v>
      </c>
      <c r="BJ2" s="9">
        <f t="shared" si="1"/>
        <v>2065</v>
      </c>
      <c r="BK2" s="9">
        <f t="shared" si="1"/>
        <v>2066</v>
      </c>
      <c r="BL2" s="9">
        <f t="shared" si="1"/>
        <v>2067</v>
      </c>
      <c r="BM2" s="9">
        <f t="shared" si="1"/>
        <v>2068</v>
      </c>
      <c r="BN2" s="9">
        <f t="shared" si="1"/>
        <v>2069</v>
      </c>
      <c r="BO2" s="9">
        <f t="shared" si="1"/>
        <v>2070</v>
      </c>
      <c r="BP2" s="9">
        <f t="shared" si="1"/>
        <v>2071</v>
      </c>
      <c r="BQ2" s="9">
        <f t="shared" si="1"/>
        <v>2072</v>
      </c>
      <c r="BR2" s="9">
        <f t="shared" si="1"/>
        <v>2073</v>
      </c>
      <c r="BS2" s="9">
        <f t="shared" si="1"/>
        <v>2074</v>
      </c>
      <c r="BT2" s="9">
        <f t="shared" si="1"/>
        <v>2075</v>
      </c>
      <c r="BU2" s="9">
        <f t="shared" si="1"/>
        <v>2076</v>
      </c>
      <c r="BV2" s="9">
        <f t="shared" si="1"/>
        <v>2077</v>
      </c>
      <c r="BW2" s="9">
        <f t="shared" si="1"/>
        <v>2078</v>
      </c>
      <c r="BX2" s="9">
        <f t="shared" si="1"/>
        <v>2079</v>
      </c>
      <c r="BY2" s="9">
        <f t="shared" si="1"/>
        <v>2080</v>
      </c>
      <c r="BZ2" s="9">
        <f t="shared" si="1"/>
        <v>2081</v>
      </c>
      <c r="CA2" s="9">
        <f t="shared" si="1"/>
        <v>2082</v>
      </c>
      <c r="CB2" s="9">
        <f t="shared" si="1"/>
        <v>2083</v>
      </c>
      <c r="CC2" s="9">
        <f t="shared" si="1"/>
        <v>2084</v>
      </c>
      <c r="CD2" s="9">
        <f t="shared" si="1"/>
        <v>2085</v>
      </c>
      <c r="CE2" s="9">
        <f t="shared" si="1"/>
        <v>2086</v>
      </c>
      <c r="CF2" s="9">
        <f t="shared" si="1"/>
        <v>2087</v>
      </c>
      <c r="CG2" s="9">
        <f t="shared" si="1"/>
        <v>2088</v>
      </c>
      <c r="CH2" s="9">
        <f t="shared" si="1"/>
        <v>2089</v>
      </c>
      <c r="CI2" s="9">
        <f t="shared" si="1"/>
        <v>2090</v>
      </c>
      <c r="CJ2" s="9">
        <f t="shared" si="1"/>
        <v>2091</v>
      </c>
      <c r="CK2" s="9">
        <f t="shared" si="1"/>
        <v>2092</v>
      </c>
      <c r="CL2" s="9">
        <f t="shared" si="1"/>
        <v>2093</v>
      </c>
      <c r="CM2" s="9">
        <f t="shared" si="1"/>
        <v>2094</v>
      </c>
      <c r="CN2" s="9">
        <f t="shared" si="1"/>
        <v>2095</v>
      </c>
      <c r="CO2" s="9">
        <f t="shared" si="1"/>
        <v>2096</v>
      </c>
      <c r="CP2" s="9">
        <f t="shared" si="1"/>
        <v>2097</v>
      </c>
      <c r="CQ2" s="9">
        <f t="shared" si="1"/>
        <v>2098</v>
      </c>
      <c r="CR2" s="9">
        <f t="shared" ref="CR2:FC2" si="2">+CQ2+1</f>
        <v>2099</v>
      </c>
      <c r="CS2" s="9">
        <f t="shared" si="2"/>
        <v>2100</v>
      </c>
      <c r="CT2" s="9">
        <f t="shared" si="2"/>
        <v>2101</v>
      </c>
      <c r="CU2" s="9">
        <f t="shared" si="2"/>
        <v>2102</v>
      </c>
      <c r="CV2" s="9">
        <f t="shared" si="2"/>
        <v>2103</v>
      </c>
      <c r="CW2" s="9">
        <f t="shared" si="2"/>
        <v>2104</v>
      </c>
      <c r="CX2" s="9">
        <f t="shared" si="2"/>
        <v>2105</v>
      </c>
      <c r="CY2" s="9">
        <f t="shared" si="2"/>
        <v>2106</v>
      </c>
      <c r="CZ2" s="9">
        <f t="shared" si="2"/>
        <v>2107</v>
      </c>
      <c r="DA2" s="9">
        <f t="shared" si="2"/>
        <v>2108</v>
      </c>
      <c r="DB2" s="9">
        <f t="shared" si="2"/>
        <v>2109</v>
      </c>
      <c r="DC2" s="9">
        <f t="shared" si="2"/>
        <v>2110</v>
      </c>
      <c r="DD2" s="9">
        <f t="shared" si="2"/>
        <v>2111</v>
      </c>
      <c r="DE2" s="9">
        <f t="shared" si="2"/>
        <v>2112</v>
      </c>
      <c r="DF2" s="9">
        <f t="shared" si="2"/>
        <v>2113</v>
      </c>
      <c r="DG2" s="9">
        <f t="shared" si="2"/>
        <v>2114</v>
      </c>
      <c r="DH2" s="9">
        <f t="shared" si="2"/>
        <v>2115</v>
      </c>
      <c r="DI2" s="9">
        <f t="shared" si="2"/>
        <v>2116</v>
      </c>
      <c r="DJ2" s="9">
        <f t="shared" si="2"/>
        <v>2117</v>
      </c>
      <c r="DK2" s="9">
        <f t="shared" si="2"/>
        <v>2118</v>
      </c>
      <c r="DL2" s="9">
        <f t="shared" si="2"/>
        <v>2119</v>
      </c>
      <c r="DM2" s="9">
        <f t="shared" si="2"/>
        <v>2120</v>
      </c>
      <c r="DN2" s="9">
        <f t="shared" si="2"/>
        <v>2121</v>
      </c>
      <c r="DO2" s="9">
        <f t="shared" si="2"/>
        <v>2122</v>
      </c>
      <c r="DP2" s="9">
        <f t="shared" si="2"/>
        <v>2123</v>
      </c>
      <c r="DQ2" s="9">
        <f t="shared" si="2"/>
        <v>2124</v>
      </c>
      <c r="DR2" s="9">
        <f t="shared" si="2"/>
        <v>2125</v>
      </c>
      <c r="DS2" s="9">
        <f t="shared" si="2"/>
        <v>2126</v>
      </c>
      <c r="DT2" s="9">
        <f t="shared" si="2"/>
        <v>2127</v>
      </c>
      <c r="DU2" s="9">
        <f t="shared" si="2"/>
        <v>2128</v>
      </c>
      <c r="DV2" s="9">
        <f t="shared" si="2"/>
        <v>2129</v>
      </c>
      <c r="DW2" s="9">
        <f t="shared" si="2"/>
        <v>2130</v>
      </c>
      <c r="DX2" s="9">
        <f t="shared" si="2"/>
        <v>2131</v>
      </c>
      <c r="DY2" s="9">
        <f t="shared" si="2"/>
        <v>2132</v>
      </c>
      <c r="DZ2" s="9">
        <f t="shared" si="2"/>
        <v>2133</v>
      </c>
      <c r="EA2" s="9">
        <f t="shared" si="2"/>
        <v>2134</v>
      </c>
      <c r="EB2" s="9">
        <f t="shared" si="2"/>
        <v>2135</v>
      </c>
      <c r="EC2" s="9">
        <f t="shared" si="2"/>
        <v>2136</v>
      </c>
      <c r="ED2" s="9">
        <f t="shared" si="2"/>
        <v>2137</v>
      </c>
      <c r="EE2" s="9">
        <f t="shared" si="2"/>
        <v>2138</v>
      </c>
      <c r="EF2" s="9">
        <f t="shared" si="2"/>
        <v>2139</v>
      </c>
      <c r="EG2" s="9">
        <f t="shared" si="2"/>
        <v>2140</v>
      </c>
      <c r="EH2" s="9">
        <f t="shared" si="2"/>
        <v>2141</v>
      </c>
      <c r="EI2" s="9">
        <f t="shared" si="2"/>
        <v>2142</v>
      </c>
      <c r="EJ2" s="9">
        <f t="shared" si="2"/>
        <v>2143</v>
      </c>
      <c r="EK2" s="9">
        <f t="shared" si="2"/>
        <v>2144</v>
      </c>
      <c r="EL2" s="9">
        <f t="shared" si="2"/>
        <v>2145</v>
      </c>
      <c r="EM2" s="9">
        <f t="shared" si="2"/>
        <v>2146</v>
      </c>
      <c r="EN2" s="9">
        <f t="shared" si="2"/>
        <v>2147</v>
      </c>
      <c r="EO2" s="9">
        <f t="shared" si="2"/>
        <v>2148</v>
      </c>
      <c r="EP2" s="9">
        <f t="shared" si="2"/>
        <v>2149</v>
      </c>
      <c r="EQ2" s="9">
        <f t="shared" si="2"/>
        <v>2150</v>
      </c>
      <c r="ER2" s="9">
        <f t="shared" si="2"/>
        <v>2151</v>
      </c>
      <c r="ES2" s="9">
        <f t="shared" si="2"/>
        <v>2152</v>
      </c>
      <c r="ET2" s="9">
        <f t="shared" si="2"/>
        <v>2153</v>
      </c>
      <c r="EU2" s="9">
        <f t="shared" si="2"/>
        <v>2154</v>
      </c>
      <c r="EV2" s="9">
        <f t="shared" si="2"/>
        <v>2155</v>
      </c>
      <c r="EW2" s="9">
        <f t="shared" si="2"/>
        <v>2156</v>
      </c>
      <c r="EX2" s="9">
        <f t="shared" si="2"/>
        <v>2157</v>
      </c>
      <c r="EY2" s="9">
        <f t="shared" si="2"/>
        <v>2158</v>
      </c>
      <c r="EZ2" s="9">
        <f t="shared" si="2"/>
        <v>2159</v>
      </c>
      <c r="FA2" s="9">
        <f t="shared" si="2"/>
        <v>2160</v>
      </c>
      <c r="FB2" s="9">
        <f t="shared" si="2"/>
        <v>2161</v>
      </c>
      <c r="FC2" s="9">
        <f t="shared" si="2"/>
        <v>2162</v>
      </c>
      <c r="FD2" s="9">
        <f t="shared" ref="FD2:HO2" si="3">+FC2+1</f>
        <v>2163</v>
      </c>
      <c r="FE2" s="9">
        <f t="shared" si="3"/>
        <v>2164</v>
      </c>
      <c r="FF2" s="9">
        <f t="shared" si="3"/>
        <v>2165</v>
      </c>
      <c r="FG2" s="9">
        <f t="shared" si="3"/>
        <v>2166</v>
      </c>
      <c r="FH2" s="9">
        <f t="shared" si="3"/>
        <v>2167</v>
      </c>
      <c r="FI2" s="9">
        <f t="shared" si="3"/>
        <v>2168</v>
      </c>
      <c r="FJ2" s="9">
        <f t="shared" si="3"/>
        <v>2169</v>
      </c>
      <c r="FK2" s="9">
        <f t="shared" si="3"/>
        <v>2170</v>
      </c>
      <c r="FL2" s="9">
        <f t="shared" si="3"/>
        <v>2171</v>
      </c>
      <c r="FM2" s="9">
        <f t="shared" si="3"/>
        <v>2172</v>
      </c>
      <c r="FN2" s="9">
        <f t="shared" si="3"/>
        <v>2173</v>
      </c>
      <c r="FO2" s="9">
        <f t="shared" si="3"/>
        <v>2174</v>
      </c>
      <c r="FP2" s="9">
        <f t="shared" si="3"/>
        <v>2175</v>
      </c>
      <c r="FQ2" s="9">
        <f t="shared" si="3"/>
        <v>2176</v>
      </c>
      <c r="FR2" s="9">
        <f t="shared" si="3"/>
        <v>2177</v>
      </c>
      <c r="FS2" s="9">
        <f t="shared" si="3"/>
        <v>2178</v>
      </c>
      <c r="FT2" s="9">
        <f t="shared" si="3"/>
        <v>2179</v>
      </c>
      <c r="FU2" s="9">
        <f t="shared" si="3"/>
        <v>2180</v>
      </c>
      <c r="FV2" s="9">
        <f t="shared" si="3"/>
        <v>2181</v>
      </c>
      <c r="FW2" s="9">
        <f t="shared" si="3"/>
        <v>2182</v>
      </c>
      <c r="FX2" s="9">
        <f t="shared" si="3"/>
        <v>2183</v>
      </c>
      <c r="FY2" s="9">
        <f t="shared" si="3"/>
        <v>2184</v>
      </c>
      <c r="FZ2" s="9">
        <f t="shared" si="3"/>
        <v>2185</v>
      </c>
      <c r="GA2" s="9">
        <f t="shared" si="3"/>
        <v>2186</v>
      </c>
      <c r="GB2" s="9">
        <f t="shared" si="3"/>
        <v>2187</v>
      </c>
      <c r="GC2" s="9">
        <f t="shared" si="3"/>
        <v>2188</v>
      </c>
      <c r="GD2" s="9">
        <f t="shared" si="3"/>
        <v>2189</v>
      </c>
      <c r="GE2" s="9">
        <f t="shared" si="3"/>
        <v>2190</v>
      </c>
      <c r="GF2" s="9">
        <f t="shared" si="3"/>
        <v>2191</v>
      </c>
      <c r="GG2" s="9">
        <f t="shared" si="3"/>
        <v>2192</v>
      </c>
      <c r="GH2" s="9">
        <f t="shared" si="3"/>
        <v>2193</v>
      </c>
      <c r="GI2" s="9">
        <f t="shared" si="3"/>
        <v>2194</v>
      </c>
      <c r="GJ2" s="9">
        <f t="shared" si="3"/>
        <v>2195</v>
      </c>
      <c r="GK2" s="9">
        <f t="shared" si="3"/>
        <v>2196</v>
      </c>
      <c r="GL2" s="9">
        <f t="shared" si="3"/>
        <v>2197</v>
      </c>
      <c r="GM2" s="9">
        <f t="shared" si="3"/>
        <v>2198</v>
      </c>
      <c r="GN2" s="9">
        <f t="shared" si="3"/>
        <v>2199</v>
      </c>
      <c r="GO2" s="9">
        <f t="shared" si="3"/>
        <v>2200</v>
      </c>
      <c r="GP2" s="9">
        <f t="shared" si="3"/>
        <v>2201</v>
      </c>
      <c r="GQ2" s="9">
        <f t="shared" si="3"/>
        <v>2202</v>
      </c>
      <c r="GR2" s="9">
        <f t="shared" si="3"/>
        <v>2203</v>
      </c>
      <c r="GS2" s="9">
        <f t="shared" si="3"/>
        <v>2204</v>
      </c>
      <c r="GT2" s="9">
        <f t="shared" si="3"/>
        <v>2205</v>
      </c>
      <c r="GU2" s="9">
        <f t="shared" si="3"/>
        <v>2206</v>
      </c>
      <c r="GV2" s="9">
        <f t="shared" si="3"/>
        <v>2207</v>
      </c>
      <c r="GW2" s="9">
        <f t="shared" si="3"/>
        <v>2208</v>
      </c>
      <c r="GX2" s="9">
        <f t="shared" si="3"/>
        <v>2209</v>
      </c>
      <c r="GY2" s="9">
        <f t="shared" si="3"/>
        <v>2210</v>
      </c>
      <c r="GZ2" s="9">
        <f t="shared" si="3"/>
        <v>2211</v>
      </c>
      <c r="HA2" s="9">
        <f t="shared" si="3"/>
        <v>2212</v>
      </c>
      <c r="HB2" s="9">
        <f t="shared" si="3"/>
        <v>2213</v>
      </c>
      <c r="HC2" s="9">
        <f t="shared" si="3"/>
        <v>2214</v>
      </c>
      <c r="HD2" s="9">
        <f t="shared" si="3"/>
        <v>2215</v>
      </c>
      <c r="HE2" s="9">
        <f t="shared" si="3"/>
        <v>2216</v>
      </c>
      <c r="HF2" s="9">
        <f t="shared" si="3"/>
        <v>2217</v>
      </c>
      <c r="HG2" s="9">
        <f t="shared" si="3"/>
        <v>2218</v>
      </c>
      <c r="HH2" s="9">
        <f t="shared" si="3"/>
        <v>2219</v>
      </c>
      <c r="HI2" s="9">
        <f t="shared" si="3"/>
        <v>2220</v>
      </c>
      <c r="HJ2" s="9">
        <f t="shared" si="3"/>
        <v>2221</v>
      </c>
      <c r="HK2" s="9">
        <f t="shared" si="3"/>
        <v>2222</v>
      </c>
      <c r="HL2" s="9">
        <f t="shared" si="3"/>
        <v>2223</v>
      </c>
      <c r="HM2" s="9">
        <f t="shared" si="3"/>
        <v>2224</v>
      </c>
      <c r="HN2" s="9">
        <f t="shared" si="3"/>
        <v>2225</v>
      </c>
      <c r="HO2" s="9">
        <f t="shared" si="3"/>
        <v>2226</v>
      </c>
      <c r="HP2" s="9">
        <f t="shared" ref="HP2:HV2" si="4">+HO2+1</f>
        <v>2227</v>
      </c>
      <c r="HQ2" s="9">
        <f t="shared" si="4"/>
        <v>2228</v>
      </c>
      <c r="HR2" s="9">
        <f t="shared" si="4"/>
        <v>2229</v>
      </c>
      <c r="HS2" s="9">
        <f t="shared" si="4"/>
        <v>2230</v>
      </c>
      <c r="HT2" s="9">
        <f t="shared" si="4"/>
        <v>2231</v>
      </c>
      <c r="HU2" s="9">
        <f t="shared" si="4"/>
        <v>2232</v>
      </c>
      <c r="HV2" s="9">
        <f t="shared" si="4"/>
        <v>2233</v>
      </c>
    </row>
    <row r="3" spans="2:230">
      <c r="B3" s="1" t="s">
        <v>25</v>
      </c>
      <c r="C3" s="1">
        <v>2359</v>
      </c>
      <c r="D3" s="1">
        <v>2359</v>
      </c>
      <c r="E3" s="1">
        <v>2238</v>
      </c>
      <c r="F3" s="1">
        <v>2525</v>
      </c>
      <c r="G3" s="1">
        <v>2148</v>
      </c>
      <c r="H3" s="1">
        <v>2148</v>
      </c>
      <c r="I3" s="1">
        <v>2433</v>
      </c>
      <c r="J3" s="1">
        <f>+U3-SUM(G3:I3)</f>
        <v>3071</v>
      </c>
      <c r="R3" s="1">
        <v>9349</v>
      </c>
      <c r="S3" s="1">
        <v>9807</v>
      </c>
      <c r="T3" s="1">
        <v>9496</v>
      </c>
      <c r="U3" s="1">
        <v>9800</v>
      </c>
    </row>
    <row r="4" spans="2:230">
      <c r="B4" s="1" t="s">
        <v>27</v>
      </c>
      <c r="C4" s="1">
        <v>1211</v>
      </c>
      <c r="D4" s="1">
        <v>1211</v>
      </c>
      <c r="E4" s="1">
        <v>1081</v>
      </c>
      <c r="F4" s="1">
        <v>1130</v>
      </c>
      <c r="G4" s="1">
        <v>959</v>
      </c>
      <c r="H4" s="1">
        <v>959</v>
      </c>
      <c r="I4" s="1">
        <v>1167</v>
      </c>
      <c r="J4" s="1">
        <f>+U4-SUM(G4:I4)</f>
        <v>1319</v>
      </c>
      <c r="R4" s="1">
        <v>4123</v>
      </c>
      <c r="S4" s="1">
        <v>4561</v>
      </c>
      <c r="T4" s="1">
        <v>4544</v>
      </c>
      <c r="U4" s="1">
        <v>4404</v>
      </c>
    </row>
    <row r="5" spans="2:230">
      <c r="B5" s="1" t="s">
        <v>32</v>
      </c>
      <c r="C5" s="1">
        <v>1598</v>
      </c>
      <c r="D5" s="1">
        <v>1598</v>
      </c>
      <c r="E5" s="1">
        <v>1749</v>
      </c>
      <c r="F5" s="1">
        <v>1840</v>
      </c>
      <c r="G5" s="1">
        <v>1631</v>
      </c>
      <c r="H5" s="1">
        <v>1631</v>
      </c>
      <c r="I5" s="1">
        <v>1521</v>
      </c>
      <c r="J5" s="1">
        <f>+U5-SUM(G5:I5)</f>
        <v>1970</v>
      </c>
      <c r="R5" s="1">
        <v>6763</v>
      </c>
      <c r="S5" s="1">
        <v>6706</v>
      </c>
      <c r="T5" s="1">
        <v>6852</v>
      </c>
      <c r="U5" s="1">
        <v>6753</v>
      </c>
    </row>
    <row r="6" spans="2:230">
      <c r="B6" s="1" t="s">
        <v>33</v>
      </c>
      <c r="C6" s="1">
        <v>388</v>
      </c>
      <c r="D6" s="1">
        <v>388</v>
      </c>
      <c r="E6" s="1">
        <v>416</v>
      </c>
      <c r="F6" s="1">
        <v>355</v>
      </c>
      <c r="G6" s="1">
        <v>341</v>
      </c>
      <c r="H6" s="1">
        <v>341</v>
      </c>
      <c r="I6" s="1">
        <v>364</v>
      </c>
      <c r="J6" s="1">
        <f>+U6-SUM(G6:I6)</f>
        <v>346</v>
      </c>
      <c r="R6" s="1">
        <v>1646</v>
      </c>
      <c r="S6" s="1">
        <v>1517</v>
      </c>
      <c r="T6" s="1">
        <v>1520</v>
      </c>
      <c r="U6" s="1">
        <v>1392</v>
      </c>
    </row>
    <row r="7" spans="2:230" s="8" customFormat="1">
      <c r="B7" s="8" t="s">
        <v>34</v>
      </c>
      <c r="C7" s="8">
        <f t="shared" ref="C7:J7" si="5">+SUM(C3:C6)</f>
        <v>5556</v>
      </c>
      <c r="D7" s="8">
        <f t="shared" si="5"/>
        <v>5556</v>
      </c>
      <c r="E7" s="8">
        <f t="shared" si="5"/>
        <v>5484</v>
      </c>
      <c r="F7" s="8">
        <f t="shared" si="5"/>
        <v>5850</v>
      </c>
      <c r="G7" s="8">
        <f t="shared" si="5"/>
        <v>5079</v>
      </c>
      <c r="H7" s="8">
        <f t="shared" si="5"/>
        <v>5079</v>
      </c>
      <c r="I7" s="8">
        <f t="shared" si="5"/>
        <v>5485</v>
      </c>
      <c r="J7" s="8">
        <f t="shared" si="5"/>
        <v>6706</v>
      </c>
      <c r="R7" s="8">
        <f>+SUM(R3:R6)</f>
        <v>21881</v>
      </c>
      <c r="S7" s="8">
        <f>+SUM(S3:S6)</f>
        <v>22591</v>
      </c>
      <c r="T7" s="8">
        <f>+SUM(T3:T6)</f>
        <v>22412</v>
      </c>
      <c r="U7" s="8">
        <f>+SUM(U3:U6)</f>
        <v>22349</v>
      </c>
    </row>
    <row r="8" spans="2:230" s="8" customFormat="1"/>
    <row r="9" spans="2:230" s="10" customFormat="1">
      <c r="B9" s="10" t="s">
        <v>25</v>
      </c>
      <c r="O9" s="1">
        <v>3135</v>
      </c>
      <c r="Q9" s="10">
        <v>3767</v>
      </c>
      <c r="R9" s="10">
        <v>3589</v>
      </c>
      <c r="S9" s="10">
        <v>3300</v>
      </c>
      <c r="T9" s="10">
        <v>3546</v>
      </c>
      <c r="U9" s="10">
        <v>4085</v>
      </c>
      <c r="V9" s="10">
        <f>+U9*1.01</f>
        <v>4125.8500000000004</v>
      </c>
      <c r="W9" s="10">
        <f t="shared" ref="W9:AG9" si="6">+V9*1.01</f>
        <v>4167.1085000000003</v>
      </c>
      <c r="X9" s="10">
        <f t="shared" si="6"/>
        <v>4208.7795850000002</v>
      </c>
      <c r="Y9" s="10">
        <f t="shared" si="6"/>
        <v>4250.8673808500007</v>
      </c>
      <c r="Z9" s="10">
        <f t="shared" si="6"/>
        <v>4293.3760546585008</v>
      </c>
      <c r="AA9" s="10">
        <f t="shared" si="6"/>
        <v>4336.3098152050861</v>
      </c>
      <c r="AB9" s="10">
        <f t="shared" si="6"/>
        <v>4379.6729133571371</v>
      </c>
      <c r="AC9" s="10">
        <f t="shared" si="6"/>
        <v>4423.4696424907088</v>
      </c>
      <c r="AD9" s="10">
        <f t="shared" si="6"/>
        <v>4467.7043389156161</v>
      </c>
      <c r="AE9" s="10">
        <f t="shared" si="6"/>
        <v>4512.3813823047722</v>
      </c>
    </row>
    <row r="10" spans="2:230" s="10" customFormat="1">
      <c r="B10" s="10" t="s">
        <v>27</v>
      </c>
      <c r="O10" s="1">
        <v>4898</v>
      </c>
      <c r="Q10" s="10">
        <v>5148</v>
      </c>
      <c r="R10" s="10">
        <v>4290</v>
      </c>
      <c r="S10" s="10">
        <v>4572</v>
      </c>
      <c r="T10" s="10">
        <v>4570</v>
      </c>
      <c r="U10" s="10">
        <v>4522</v>
      </c>
      <c r="V10" s="10">
        <v>4300</v>
      </c>
      <c r="W10" s="10">
        <f t="shared" ref="W10:AG10" si="7">+V10*0.9</f>
        <v>3870</v>
      </c>
      <c r="X10" s="10">
        <f t="shared" si="7"/>
        <v>3483</v>
      </c>
      <c r="Y10" s="10">
        <f t="shared" si="7"/>
        <v>3134.7000000000003</v>
      </c>
      <c r="Z10" s="10">
        <f>+Y10*0.95</f>
        <v>2977.9650000000001</v>
      </c>
      <c r="AA10" s="10">
        <f t="shared" ref="AA10:AG11" si="8">+Z10*0.95</f>
        <v>2829.06675</v>
      </c>
      <c r="AB10" s="10">
        <f t="shared" si="8"/>
        <v>2687.6134124999999</v>
      </c>
      <c r="AC10" s="10">
        <f t="shared" si="8"/>
        <v>2553.2327418749996</v>
      </c>
      <c r="AD10" s="10">
        <f t="shared" si="8"/>
        <v>2425.5711047812497</v>
      </c>
      <c r="AE10" s="10">
        <f t="shared" si="8"/>
        <v>2304.2925495421873</v>
      </c>
    </row>
    <row r="11" spans="2:230" s="10" customFormat="1">
      <c r="B11" s="10" t="s">
        <v>32</v>
      </c>
      <c r="O11" s="1">
        <v>7042</v>
      </c>
      <c r="Q11" s="10">
        <v>6843</v>
      </c>
      <c r="R11" s="10">
        <v>6584</v>
      </c>
      <c r="S11" s="10">
        <v>6788</v>
      </c>
      <c r="T11" s="10">
        <v>7237</v>
      </c>
      <c r="U11" s="10">
        <v>6771</v>
      </c>
      <c r="V11" s="10">
        <f>+U11-500</f>
        <v>6271</v>
      </c>
      <c r="W11" s="10">
        <f t="shared" ref="W11:Y11" si="9">+V11*0.9</f>
        <v>5643.9000000000005</v>
      </c>
      <c r="X11" s="10">
        <f t="shared" si="9"/>
        <v>5079.51</v>
      </c>
      <c r="Y11" s="10">
        <f t="shared" si="9"/>
        <v>4571.5590000000002</v>
      </c>
      <c r="Z11" s="10">
        <f>+Y11*0.95</f>
        <v>4342.9810500000003</v>
      </c>
      <c r="AA11" s="10">
        <f t="shared" si="8"/>
        <v>4125.8319975000004</v>
      </c>
      <c r="AB11" s="10">
        <f t="shared" si="8"/>
        <v>3919.540397625</v>
      </c>
      <c r="AC11" s="10">
        <f t="shared" si="8"/>
        <v>3723.5633777437497</v>
      </c>
      <c r="AD11" s="10">
        <f t="shared" si="8"/>
        <v>3537.3852088565623</v>
      </c>
      <c r="AE11" s="10">
        <f t="shared" si="8"/>
        <v>3360.5159484137339</v>
      </c>
    </row>
    <row r="12" spans="2:230" s="10" customFormat="1">
      <c r="B12" s="10" t="s">
        <v>33</v>
      </c>
      <c r="O12" s="1">
        <v>2002</v>
      </c>
      <c r="Q12" s="10">
        <v>2216</v>
      </c>
      <c r="R12" s="10">
        <v>1720</v>
      </c>
      <c r="S12" s="10">
        <v>1594</v>
      </c>
      <c r="T12" s="10">
        <v>1571</v>
      </c>
      <c r="U12" s="10">
        <v>1464</v>
      </c>
      <c r="V12" s="10">
        <f>+U12*0.95</f>
        <v>1390.8</v>
      </c>
      <c r="W12" s="10">
        <f t="shared" ref="W12:AG12" si="10">+V12*0.95</f>
        <v>1321.26</v>
      </c>
      <c r="X12" s="10">
        <f t="shared" si="10"/>
        <v>1255.1969999999999</v>
      </c>
      <c r="Y12" s="10">
        <f t="shared" si="10"/>
        <v>1192.4371499999997</v>
      </c>
      <c r="Z12" s="10">
        <f t="shared" si="10"/>
        <v>1132.8152924999997</v>
      </c>
      <c r="AA12" s="10">
        <f t="shared" si="10"/>
        <v>1076.1745278749997</v>
      </c>
      <c r="AB12" s="10">
        <f t="shared" si="10"/>
        <v>1022.3658014812497</v>
      </c>
      <c r="AC12" s="10">
        <f t="shared" si="10"/>
        <v>971.24751140718718</v>
      </c>
      <c r="AD12" s="10">
        <f t="shared" si="10"/>
        <v>922.68513583682773</v>
      </c>
      <c r="AE12" s="10">
        <f t="shared" si="10"/>
        <v>876.55087904498635</v>
      </c>
    </row>
    <row r="13" spans="2:230" s="10" customFormat="1">
      <c r="B13" s="10" t="s">
        <v>12</v>
      </c>
      <c r="O13" s="1">
        <v>2252</v>
      </c>
      <c r="Q13" s="10">
        <v>2322</v>
      </c>
      <c r="R13" s="10">
        <v>2318</v>
      </c>
      <c r="S13" s="10">
        <v>2077</v>
      </c>
      <c r="T13" s="10">
        <v>2206</v>
      </c>
      <c r="U13" s="10">
        <v>2101</v>
      </c>
      <c r="V13" s="10">
        <f>+U13*0.9</f>
        <v>1890.9</v>
      </c>
      <c r="W13" s="10">
        <f t="shared" ref="W13:AG13" si="11">+V13*0.9</f>
        <v>1701.8100000000002</v>
      </c>
      <c r="X13" s="10">
        <f t="shared" si="11"/>
        <v>1531.6290000000001</v>
      </c>
      <c r="Y13" s="10">
        <f t="shared" si="11"/>
        <v>1378.4661000000001</v>
      </c>
      <c r="Z13" s="10">
        <f t="shared" si="11"/>
        <v>1240.61949</v>
      </c>
      <c r="AA13" s="10">
        <f t="shared" si="11"/>
        <v>1116.5575410000001</v>
      </c>
      <c r="AB13" s="10">
        <f t="shared" si="11"/>
        <v>1004.9017869000002</v>
      </c>
      <c r="AC13" s="10">
        <f t="shared" si="11"/>
        <v>904.41160821000017</v>
      </c>
      <c r="AD13" s="10">
        <f t="shared" si="11"/>
        <v>813.97044738900013</v>
      </c>
      <c r="AE13" s="10">
        <f t="shared" si="11"/>
        <v>732.57340265010009</v>
      </c>
    </row>
    <row r="14" spans="2:230" s="8" customFormat="1">
      <c r="B14" s="8" t="s">
        <v>35</v>
      </c>
      <c r="O14" s="8">
        <f>+SUM(O9:O13)</f>
        <v>19329</v>
      </c>
      <c r="Q14" s="8">
        <f>+SUM(Q9:Q13)</f>
        <v>20296</v>
      </c>
      <c r="R14" s="8">
        <f>+SUM(R9:R13)</f>
        <v>18501</v>
      </c>
      <c r="S14" s="8">
        <f>+SUM(S9:S13)</f>
        <v>18331</v>
      </c>
      <c r="T14" s="8">
        <f>+SUM(T9:T13)</f>
        <v>19130</v>
      </c>
      <c r="U14" s="8">
        <f>+SUM(U9:U13)</f>
        <v>18943</v>
      </c>
      <c r="V14" s="8">
        <f t="shared" ref="V14:AG14" si="12">+SUM(V9:V13)</f>
        <v>17978.55</v>
      </c>
      <c r="W14" s="8">
        <f t="shared" si="12"/>
        <v>16704.0785</v>
      </c>
      <c r="X14" s="8">
        <f t="shared" si="12"/>
        <v>15558.115585000001</v>
      </c>
      <c r="Y14" s="8">
        <f t="shared" si="12"/>
        <v>14528.02963085</v>
      </c>
      <c r="Z14" s="8">
        <f t="shared" si="12"/>
        <v>13987.756887158503</v>
      </c>
      <c r="AA14" s="8">
        <f t="shared" si="12"/>
        <v>13483.940631580088</v>
      </c>
      <c r="AB14" s="8">
        <f t="shared" si="12"/>
        <v>13014.094311863386</v>
      </c>
      <c r="AC14" s="8">
        <f t="shared" si="12"/>
        <v>12575.924881726647</v>
      </c>
      <c r="AD14" s="8">
        <f t="shared" si="12"/>
        <v>12167.316235779255</v>
      </c>
      <c r="AE14" s="8">
        <f t="shared" si="12"/>
        <v>11786.314161955777</v>
      </c>
    </row>
    <row r="15" spans="2:230" s="8" customFormat="1"/>
    <row r="16" spans="2:230" s="8" customFormat="1">
      <c r="R16" s="16">
        <f t="shared" ref="R16:U20" si="13">+R9/R31</f>
        <v>2.0083939563514268</v>
      </c>
      <c r="S16" s="16">
        <f t="shared" si="13"/>
        <v>1.0679611650485437</v>
      </c>
      <c r="T16" s="16">
        <f t="shared" si="13"/>
        <v>2.1119714115544967</v>
      </c>
      <c r="U16" s="16">
        <f>+U9/U31</f>
        <v>2.3531105990783412</v>
      </c>
      <c r="V16" s="16">
        <f>+U16*1.01</f>
        <v>2.3766417050691246</v>
      </c>
      <c r="W16" s="16">
        <f t="shared" ref="W16:AG16" si="14">+V16*1.01</f>
        <v>2.4004081221198157</v>
      </c>
      <c r="X16" s="16">
        <f t="shared" si="14"/>
        <v>2.424412203341014</v>
      </c>
      <c r="Y16" s="16">
        <f t="shared" si="14"/>
        <v>2.448656325374424</v>
      </c>
      <c r="Z16" s="16">
        <f t="shared" si="14"/>
        <v>2.4731428886281681</v>
      </c>
      <c r="AA16" s="16">
        <f t="shared" si="14"/>
        <v>2.4978743175144498</v>
      </c>
      <c r="AB16" s="16">
        <f t="shared" si="14"/>
        <v>2.5228530606895943</v>
      </c>
      <c r="AC16" s="16">
        <f t="shared" si="14"/>
        <v>2.5480815912964903</v>
      </c>
      <c r="AD16" s="16">
        <f t="shared" si="14"/>
        <v>2.5735624072094554</v>
      </c>
      <c r="AE16" s="16">
        <f t="shared" si="14"/>
        <v>2.5992980312815499</v>
      </c>
      <c r="AF16" s="16"/>
      <c r="AG16" s="16"/>
    </row>
    <row r="17" spans="2:33" s="8" customFormat="1">
      <c r="R17" s="16">
        <f t="shared" si="13"/>
        <v>2.2819148936170213</v>
      </c>
      <c r="S17" s="16">
        <f t="shared" si="13"/>
        <v>1.5809128630705394</v>
      </c>
      <c r="T17" s="16">
        <f t="shared" si="13"/>
        <v>2.5068568294020843</v>
      </c>
      <c r="U17" s="16">
        <f t="shared" ref="U17:U20" si="15">+U10/U32</f>
        <v>2.8262499999999999</v>
      </c>
      <c r="V17" s="16">
        <v>3</v>
      </c>
      <c r="W17" s="16">
        <f t="shared" ref="W17:AG17" si="16">+V17</f>
        <v>3</v>
      </c>
      <c r="X17" s="16">
        <f t="shared" si="16"/>
        <v>3</v>
      </c>
      <c r="Y17" s="16">
        <f t="shared" si="16"/>
        <v>3</v>
      </c>
      <c r="Z17" s="16">
        <f t="shared" si="16"/>
        <v>3</v>
      </c>
      <c r="AA17" s="16">
        <f t="shared" si="16"/>
        <v>3</v>
      </c>
      <c r="AB17" s="16">
        <f t="shared" si="16"/>
        <v>3</v>
      </c>
      <c r="AC17" s="16">
        <f t="shared" si="16"/>
        <v>3</v>
      </c>
      <c r="AD17" s="16">
        <f t="shared" si="16"/>
        <v>3</v>
      </c>
      <c r="AE17" s="16">
        <f t="shared" si="16"/>
        <v>3</v>
      </c>
      <c r="AF17" s="16"/>
      <c r="AG17" s="16"/>
    </row>
    <row r="18" spans="2:33" s="8" customFormat="1">
      <c r="R18" s="16">
        <f t="shared" si="13"/>
        <v>3.6823266219239374</v>
      </c>
      <c r="S18" s="16">
        <f t="shared" si="13"/>
        <v>1.9003359462486002</v>
      </c>
      <c r="T18" s="16">
        <f t="shared" si="13"/>
        <v>3.4995164410058028</v>
      </c>
      <c r="U18" s="16">
        <f t="shared" si="15"/>
        <v>4.0351609058402857</v>
      </c>
      <c r="V18" s="16">
        <v>4.3</v>
      </c>
      <c r="W18" s="16">
        <v>4.3</v>
      </c>
      <c r="X18" s="16">
        <v>4.3</v>
      </c>
      <c r="Y18" s="16">
        <v>4.3</v>
      </c>
      <c r="Z18" s="16">
        <v>4.3</v>
      </c>
      <c r="AA18" s="16">
        <v>4.3</v>
      </c>
      <c r="AB18" s="16">
        <v>4.3</v>
      </c>
      <c r="AC18" s="16">
        <v>4.3</v>
      </c>
      <c r="AD18" s="16">
        <v>4.3</v>
      </c>
      <c r="AE18" s="16">
        <v>4.3</v>
      </c>
      <c r="AF18" s="16"/>
      <c r="AG18" s="16"/>
    </row>
    <row r="19" spans="2:33" s="8" customFormat="1">
      <c r="R19" s="16">
        <f t="shared" si="13"/>
        <v>3.3725490196078431</v>
      </c>
      <c r="S19" s="16">
        <f t="shared" si="13"/>
        <v>1.8863905325443786</v>
      </c>
      <c r="T19" s="16">
        <f t="shared" si="13"/>
        <v>3.1609657947686118</v>
      </c>
      <c r="U19" s="16">
        <f t="shared" si="15"/>
        <v>3.4940334128878283</v>
      </c>
      <c r="V19" s="16">
        <v>3.8</v>
      </c>
      <c r="W19" s="16">
        <v>3.8</v>
      </c>
      <c r="X19" s="16">
        <v>3.8</v>
      </c>
      <c r="Y19" s="16">
        <v>3.8</v>
      </c>
      <c r="Z19" s="16">
        <v>3.8</v>
      </c>
      <c r="AA19" s="16">
        <v>3.8</v>
      </c>
      <c r="AB19" s="16">
        <v>3.8</v>
      </c>
      <c r="AC19" s="16">
        <v>3.8</v>
      </c>
      <c r="AD19" s="16">
        <v>3.8</v>
      </c>
      <c r="AE19" s="16">
        <v>3.8</v>
      </c>
      <c r="AF19" s="16"/>
      <c r="AG19" s="16"/>
    </row>
    <row r="20" spans="2:33" s="8" customFormat="1">
      <c r="R20" s="16">
        <f t="shared" si="13"/>
        <v>4.0453752181500873</v>
      </c>
      <c r="S20" s="16">
        <f t="shared" si="13"/>
        <v>2.6391359593392631</v>
      </c>
      <c r="T20" s="16">
        <f t="shared" si="13"/>
        <v>3.9113475177304964</v>
      </c>
      <c r="U20" s="16">
        <f t="shared" si="15"/>
        <v>4.1769383697813121</v>
      </c>
      <c r="V20" s="16">
        <f>+U20</f>
        <v>4.1769383697813121</v>
      </c>
      <c r="W20" s="16">
        <f t="shared" ref="W20:AG20" si="17">+V20</f>
        <v>4.1769383697813121</v>
      </c>
      <c r="X20" s="16">
        <f t="shared" si="17"/>
        <v>4.1769383697813121</v>
      </c>
      <c r="Y20" s="16">
        <f t="shared" si="17"/>
        <v>4.1769383697813121</v>
      </c>
      <c r="Z20" s="16">
        <f t="shared" si="17"/>
        <v>4.1769383697813121</v>
      </c>
      <c r="AA20" s="16">
        <f t="shared" si="17"/>
        <v>4.1769383697813121</v>
      </c>
      <c r="AB20" s="16">
        <f t="shared" si="17"/>
        <v>4.1769383697813121</v>
      </c>
      <c r="AC20" s="16">
        <f t="shared" si="17"/>
        <v>4.1769383697813121</v>
      </c>
      <c r="AD20" s="16">
        <f t="shared" si="17"/>
        <v>4.1769383697813121</v>
      </c>
      <c r="AE20" s="16">
        <f t="shared" si="17"/>
        <v>4.1769383697813121</v>
      </c>
      <c r="AF20" s="16"/>
      <c r="AG20" s="16"/>
    </row>
    <row r="21" spans="2:33" s="8" customFormat="1"/>
    <row r="22" spans="2:33" s="11" customFormat="1">
      <c r="B22" s="10" t="s">
        <v>25</v>
      </c>
      <c r="R22" s="11">
        <f t="shared" ref="R22:S22" si="18">+R9/R3</f>
        <v>0.38389132527543052</v>
      </c>
      <c r="S22" s="11">
        <f t="shared" si="18"/>
        <v>0.33649434077699603</v>
      </c>
      <c r="T22" s="11">
        <f>+T9/T3</f>
        <v>0.37342038753159223</v>
      </c>
      <c r="U22" s="11">
        <f>+U9/U3</f>
        <v>0.41683673469387755</v>
      </c>
    </row>
    <row r="23" spans="2:33" s="11" customFormat="1">
      <c r="B23" s="10" t="s">
        <v>27</v>
      </c>
      <c r="R23" s="11">
        <f t="shared" ref="R23:S23" si="19">+R10/R4</f>
        <v>1.0405044870240117</v>
      </c>
      <c r="S23" s="11">
        <f t="shared" si="19"/>
        <v>1.0024117518088138</v>
      </c>
      <c r="T23" s="11">
        <f>+T10/T4</f>
        <v>1.0057218309859155</v>
      </c>
      <c r="U23" s="11">
        <f>+U10/U4</f>
        <v>1.0267938237965486</v>
      </c>
    </row>
    <row r="24" spans="2:33" s="11" customFormat="1">
      <c r="B24" s="10" t="s">
        <v>32</v>
      </c>
      <c r="R24" s="11">
        <f t="shared" ref="R24:S24" si="20">+R11/R5</f>
        <v>0.9735324560106462</v>
      </c>
      <c r="S24" s="11">
        <f t="shared" si="20"/>
        <v>1.0122278556516553</v>
      </c>
      <c r="T24" s="11">
        <f>+T11/T5</f>
        <v>1.056187974314069</v>
      </c>
      <c r="U24" s="11">
        <f>+U11/U5</f>
        <v>1.0026654820079965</v>
      </c>
    </row>
    <row r="25" spans="2:33" s="11" customFormat="1">
      <c r="B25" s="10" t="s">
        <v>33</v>
      </c>
      <c r="R25" s="11">
        <f t="shared" ref="R25:S25" si="21">+R12/R6</f>
        <v>1.0449574726609963</v>
      </c>
      <c r="S25" s="11">
        <f t="shared" si="21"/>
        <v>1.050758075148319</v>
      </c>
      <c r="T25" s="11">
        <f>+T12/T6</f>
        <v>1.0335526315789474</v>
      </c>
      <c r="U25" s="11">
        <f>+U12/U6</f>
        <v>1.0517241379310345</v>
      </c>
    </row>
    <row r="26" spans="2:33" s="11" customFormat="1">
      <c r="B26" s="10" t="s">
        <v>12</v>
      </c>
    </row>
    <row r="27" spans="2:33" s="3" customFormat="1">
      <c r="B27" s="8" t="s">
        <v>36</v>
      </c>
      <c r="R27" s="11">
        <f t="shared" ref="R27:S27" si="22">+R14/R7</f>
        <v>0.84552808372560673</v>
      </c>
      <c r="S27" s="11">
        <f t="shared" si="22"/>
        <v>0.81142933026426456</v>
      </c>
      <c r="T27" s="11">
        <f>+T14/T7</f>
        <v>0.85356059253971084</v>
      </c>
      <c r="U27" s="11">
        <f>+U14/U7</f>
        <v>0.84759944516533181</v>
      </c>
    </row>
    <row r="28" spans="2:33" s="8" customFormat="1"/>
    <row r="29" spans="2:33" s="2" customFormat="1">
      <c r="B29" s="2" t="s">
        <v>26</v>
      </c>
      <c r="C29" s="2">
        <v>2.68</v>
      </c>
      <c r="D29" s="2">
        <v>2.12</v>
      </c>
      <c r="E29" s="2">
        <v>2.58</v>
      </c>
      <c r="G29" s="2">
        <v>2.4300000000000002</v>
      </c>
      <c r="H29" s="2">
        <v>2.04</v>
      </c>
      <c r="I29" s="2">
        <v>2.08</v>
      </c>
      <c r="R29" s="2">
        <v>3.82</v>
      </c>
      <c r="S29" s="2">
        <v>6.38</v>
      </c>
      <c r="T29" s="2">
        <v>2.5299999999999998</v>
      </c>
    </row>
    <row r="30" spans="2:33" s="2" customFormat="1"/>
    <row r="31" spans="2:33">
      <c r="B31" s="1" t="s">
        <v>25</v>
      </c>
      <c r="C31" s="1">
        <v>424</v>
      </c>
      <c r="D31" s="1">
        <v>525</v>
      </c>
      <c r="E31" s="1">
        <v>235</v>
      </c>
      <c r="F31" s="1">
        <f>+T31-SUM(C31:E31)</f>
        <v>495</v>
      </c>
      <c r="G31" s="1">
        <v>402</v>
      </c>
      <c r="H31" s="1">
        <v>409</v>
      </c>
      <c r="I31" s="1">
        <v>353</v>
      </c>
      <c r="J31" s="1">
        <f>+U31-SUM(G31:I31)</f>
        <v>572</v>
      </c>
      <c r="O31" s="1">
        <v>1028</v>
      </c>
      <c r="P31" s="1">
        <v>1113</v>
      </c>
      <c r="Q31" s="1">
        <v>1020</v>
      </c>
      <c r="R31" s="1">
        <v>1787</v>
      </c>
      <c r="S31" s="1">
        <v>3090</v>
      </c>
      <c r="T31" s="1">
        <v>1679</v>
      </c>
      <c r="U31" s="1">
        <v>1736</v>
      </c>
      <c r="V31" s="1">
        <f>+U31*1.01</f>
        <v>1753.3600000000001</v>
      </c>
      <c r="W31" s="1">
        <f t="shared" ref="W31:AE31" si="23">+V31*1.01</f>
        <v>1770.8936000000001</v>
      </c>
      <c r="X31" s="1">
        <f t="shared" si="23"/>
        <v>1788.6025360000001</v>
      </c>
      <c r="Y31" s="1">
        <f t="shared" si="23"/>
        <v>1806.4885613600002</v>
      </c>
      <c r="Z31" s="1">
        <f t="shared" si="23"/>
        <v>1824.5534469736001</v>
      </c>
      <c r="AA31" s="1">
        <f t="shared" si="23"/>
        <v>1842.7989814433361</v>
      </c>
      <c r="AB31" s="1">
        <f t="shared" si="23"/>
        <v>1861.2269712577695</v>
      </c>
      <c r="AC31" s="1">
        <f t="shared" si="23"/>
        <v>1879.8392409703472</v>
      </c>
      <c r="AD31" s="1">
        <f t="shared" si="23"/>
        <v>1898.6376333800506</v>
      </c>
      <c r="AE31" s="1">
        <f t="shared" si="23"/>
        <v>1917.6240097138511</v>
      </c>
    </row>
    <row r="32" spans="2:33">
      <c r="B32" s="1" t="s">
        <v>27</v>
      </c>
      <c r="C32" s="1">
        <v>611</v>
      </c>
      <c r="D32" s="1">
        <v>460</v>
      </c>
      <c r="E32" s="1">
        <v>360</v>
      </c>
      <c r="F32" s="1">
        <f>+T32-SUM(C32:E32)</f>
        <v>392</v>
      </c>
      <c r="G32" s="1">
        <v>407</v>
      </c>
      <c r="H32" s="1">
        <v>457</v>
      </c>
      <c r="I32" s="1">
        <v>388</v>
      </c>
      <c r="J32" s="1">
        <f>+U32-SUM(G32:I32)</f>
        <v>348</v>
      </c>
      <c r="O32" s="1">
        <v>1322</v>
      </c>
      <c r="P32" s="1">
        <v>1342</v>
      </c>
      <c r="Q32" s="1">
        <v>1248</v>
      </c>
      <c r="R32" s="1">
        <v>1880</v>
      </c>
      <c r="S32" s="1">
        <v>2892</v>
      </c>
      <c r="T32" s="1">
        <v>1823</v>
      </c>
      <c r="U32" s="1">
        <v>1600</v>
      </c>
      <c r="V32" s="1">
        <f>+V10/V17</f>
        <v>1433.3333333333333</v>
      </c>
      <c r="W32" s="1">
        <f t="shared" ref="W32:AE32" si="24">+W10/W17</f>
        <v>1290</v>
      </c>
      <c r="X32" s="1">
        <f t="shared" si="24"/>
        <v>1161</v>
      </c>
      <c r="Y32" s="1">
        <f t="shared" si="24"/>
        <v>1044.9000000000001</v>
      </c>
      <c r="Z32" s="1">
        <f t="shared" si="24"/>
        <v>992.65500000000009</v>
      </c>
      <c r="AA32" s="1">
        <f t="shared" si="24"/>
        <v>943.02224999999999</v>
      </c>
      <c r="AB32" s="1">
        <f t="shared" si="24"/>
        <v>895.87113749999992</v>
      </c>
      <c r="AC32" s="1">
        <f t="shared" si="24"/>
        <v>851.07758062499988</v>
      </c>
      <c r="AD32" s="1">
        <f t="shared" si="24"/>
        <v>808.52370159374993</v>
      </c>
      <c r="AE32" s="1">
        <f t="shared" si="24"/>
        <v>768.09751651406248</v>
      </c>
    </row>
    <row r="33" spans="2:230">
      <c r="B33" s="1" t="s">
        <v>28</v>
      </c>
      <c r="C33" s="1">
        <v>667</v>
      </c>
      <c r="D33" s="1">
        <v>548</v>
      </c>
      <c r="E33" s="1">
        <v>435</v>
      </c>
      <c r="F33" s="1">
        <f>+T33-SUM(C33:E33)</f>
        <v>418</v>
      </c>
      <c r="G33" s="1">
        <v>425</v>
      </c>
      <c r="H33" s="1">
        <v>475</v>
      </c>
      <c r="I33" s="1">
        <v>406</v>
      </c>
      <c r="J33" s="1">
        <f>+U33-SUM(G33:I33)</f>
        <v>372</v>
      </c>
      <c r="O33" s="1">
        <v>1234</v>
      </c>
      <c r="P33" s="1">
        <v>1270</v>
      </c>
      <c r="Q33" s="1">
        <v>1063</v>
      </c>
      <c r="R33" s="1">
        <v>1788</v>
      </c>
      <c r="S33" s="1">
        <v>3572</v>
      </c>
      <c r="T33" s="1">
        <v>2068</v>
      </c>
      <c r="U33" s="1">
        <v>1678</v>
      </c>
      <c r="V33" s="1">
        <f>+V11/V18</f>
        <v>1458.372093023256</v>
      </c>
      <c r="W33" s="1">
        <f t="shared" ref="W33:AE33" si="25">+W11/W18</f>
        <v>1312.5348837209303</v>
      </c>
      <c r="X33" s="1">
        <f t="shared" si="25"/>
        <v>1181.2813953488373</v>
      </c>
      <c r="Y33" s="1">
        <f t="shared" si="25"/>
        <v>1063.1532558139536</v>
      </c>
      <c r="Z33" s="1">
        <f t="shared" si="25"/>
        <v>1009.9955930232559</v>
      </c>
      <c r="AA33" s="1">
        <f t="shared" si="25"/>
        <v>959.49581337209315</v>
      </c>
      <c r="AB33" s="1">
        <f t="shared" si="25"/>
        <v>911.52102270348837</v>
      </c>
      <c r="AC33" s="1">
        <f t="shared" si="25"/>
        <v>865.94497156831392</v>
      </c>
      <c r="AD33" s="1">
        <f t="shared" si="25"/>
        <v>822.64772298989828</v>
      </c>
      <c r="AE33" s="1">
        <f t="shared" si="25"/>
        <v>781.51533684040328</v>
      </c>
    </row>
    <row r="34" spans="2:230">
      <c r="B34" s="1" t="s">
        <v>29</v>
      </c>
      <c r="C34" s="1">
        <v>159</v>
      </c>
      <c r="D34" s="1">
        <v>104</v>
      </c>
      <c r="E34" s="1">
        <v>114</v>
      </c>
      <c r="F34" s="1">
        <f>+T34-SUM(C34:E34)</f>
        <v>120</v>
      </c>
      <c r="G34" s="1">
        <v>114</v>
      </c>
      <c r="H34" s="1">
        <v>98</v>
      </c>
      <c r="I34" s="1">
        <v>106</v>
      </c>
      <c r="J34" s="1">
        <f>+U34-SUM(G34:I34)</f>
        <v>101</v>
      </c>
      <c r="O34" s="1">
        <v>460</v>
      </c>
      <c r="P34" s="1">
        <v>506</v>
      </c>
      <c r="Q34" s="1">
        <v>455</v>
      </c>
      <c r="R34" s="1">
        <v>510</v>
      </c>
      <c r="S34" s="1">
        <v>845</v>
      </c>
      <c r="T34" s="1">
        <v>497</v>
      </c>
      <c r="U34" s="1">
        <v>419</v>
      </c>
      <c r="V34" s="1">
        <f>+V12/V19</f>
        <v>366</v>
      </c>
      <c r="W34" s="1">
        <f t="shared" ref="W34:AE34" si="26">+W12/W19</f>
        <v>347.7</v>
      </c>
      <c r="X34" s="1">
        <f t="shared" si="26"/>
        <v>330.315</v>
      </c>
      <c r="Y34" s="1">
        <f t="shared" si="26"/>
        <v>313.79924999999997</v>
      </c>
      <c r="Z34" s="1">
        <f t="shared" si="26"/>
        <v>298.10928749999994</v>
      </c>
      <c r="AA34" s="1">
        <f t="shared" si="26"/>
        <v>283.20382312499993</v>
      </c>
      <c r="AB34" s="1">
        <f t="shared" si="26"/>
        <v>269.04363196874993</v>
      </c>
      <c r="AC34" s="1">
        <f t="shared" si="26"/>
        <v>255.59145037031243</v>
      </c>
      <c r="AD34" s="1">
        <f t="shared" si="26"/>
        <v>242.81187785179679</v>
      </c>
      <c r="AE34" s="1">
        <f t="shared" si="26"/>
        <v>230.67128395920693</v>
      </c>
    </row>
    <row r="35" spans="2:230">
      <c r="B35" s="1" t="s">
        <v>12</v>
      </c>
      <c r="C35" s="1">
        <v>151</v>
      </c>
      <c r="D35" s="1">
        <v>138</v>
      </c>
      <c r="E35" s="1">
        <v>129</v>
      </c>
      <c r="F35" s="1">
        <f>+T35-SUM(C35:E35)</f>
        <v>146</v>
      </c>
      <c r="G35" s="1">
        <v>122</v>
      </c>
      <c r="H35" s="1">
        <v>133</v>
      </c>
      <c r="I35" s="1">
        <v>117</v>
      </c>
      <c r="J35" s="1">
        <f>+U35-SUM(G35:I35)</f>
        <v>131</v>
      </c>
      <c r="O35" s="1">
        <v>385</v>
      </c>
      <c r="P35" s="1">
        <v>359</v>
      </c>
      <c r="Q35" s="1">
        <v>338</v>
      </c>
      <c r="R35" s="1">
        <v>573</v>
      </c>
      <c r="S35" s="1">
        <v>787</v>
      </c>
      <c r="T35" s="1">
        <v>564</v>
      </c>
      <c r="U35" s="1">
        <v>503</v>
      </c>
      <c r="V35" s="1">
        <f>+V13/V20</f>
        <v>452.70000000000005</v>
      </c>
      <c r="W35" s="1">
        <f t="shared" ref="W35:AE35" si="27">+W13/W20</f>
        <v>407.43000000000006</v>
      </c>
      <c r="X35" s="1">
        <f t="shared" si="27"/>
        <v>366.68700000000001</v>
      </c>
      <c r="Y35" s="1">
        <f t="shared" si="27"/>
        <v>330.01830000000001</v>
      </c>
      <c r="Z35" s="1">
        <f t="shared" si="27"/>
        <v>297.01647000000003</v>
      </c>
      <c r="AA35" s="1">
        <f t="shared" si="27"/>
        <v>267.31482300000005</v>
      </c>
      <c r="AB35" s="1">
        <f t="shared" si="27"/>
        <v>240.58334070000004</v>
      </c>
      <c r="AC35" s="1">
        <f t="shared" si="27"/>
        <v>216.52500663000004</v>
      </c>
      <c r="AD35" s="1">
        <f t="shared" si="27"/>
        <v>194.87250596700002</v>
      </c>
      <c r="AE35" s="1">
        <f t="shared" si="27"/>
        <v>175.38525537030003</v>
      </c>
    </row>
    <row r="36" spans="2:230" s="8" customFormat="1">
      <c r="B36" s="8" t="s">
        <v>1</v>
      </c>
      <c r="C36" s="8">
        <f t="shared" ref="C36:I36" si="28">SUM(C31:C35)</f>
        <v>2012</v>
      </c>
      <c r="D36" s="8">
        <f t="shared" si="28"/>
        <v>1775</v>
      </c>
      <c r="E36" s="8">
        <f t="shared" si="28"/>
        <v>1273</v>
      </c>
      <c r="F36" s="8">
        <f t="shared" si="28"/>
        <v>1571</v>
      </c>
      <c r="G36" s="8">
        <f t="shared" si="28"/>
        <v>1470</v>
      </c>
      <c r="H36" s="8">
        <f t="shared" si="28"/>
        <v>1572</v>
      </c>
      <c r="I36" s="8">
        <f t="shared" si="28"/>
        <v>1370</v>
      </c>
      <c r="J36" s="8">
        <f>+U36-SUM(G36:I36)</f>
        <v>1524</v>
      </c>
      <c r="O36" s="8">
        <f t="shared" ref="O36:S36" si="29">+SUM(O31:O35)</f>
        <v>4429</v>
      </c>
      <c r="P36" s="8">
        <f t="shared" si="29"/>
        <v>4590</v>
      </c>
      <c r="Q36" s="8">
        <f t="shared" si="29"/>
        <v>4124</v>
      </c>
      <c r="R36" s="8">
        <f t="shared" si="29"/>
        <v>6538</v>
      </c>
      <c r="S36" s="8">
        <f t="shared" si="29"/>
        <v>11186</v>
      </c>
      <c r="T36" s="8">
        <f>+SUM(T31:T35)</f>
        <v>6631</v>
      </c>
      <c r="U36" s="8">
        <f>+SUM(U31:U35)</f>
        <v>5936</v>
      </c>
      <c r="V36" s="8">
        <f>SUM(V31:V35)</f>
        <v>5463.7654263565892</v>
      </c>
      <c r="W36" s="8">
        <f t="shared" ref="W36:AE36" si="30">SUM(W31:W35)</f>
        <v>5128.5584837209308</v>
      </c>
      <c r="X36" s="8">
        <f t="shared" si="30"/>
        <v>4827.8859313488374</v>
      </c>
      <c r="Y36" s="8">
        <f t="shared" si="30"/>
        <v>4558.3593671739536</v>
      </c>
      <c r="Z36" s="8">
        <f t="shared" si="30"/>
        <v>4422.3297974968555</v>
      </c>
      <c r="AA36" s="8">
        <f t="shared" si="30"/>
        <v>4295.8356909404283</v>
      </c>
      <c r="AB36" s="8">
        <f t="shared" si="30"/>
        <v>4178.2461041300085</v>
      </c>
      <c r="AC36" s="8">
        <f t="shared" si="30"/>
        <v>4068.9782501639734</v>
      </c>
      <c r="AD36" s="8">
        <f t="shared" si="30"/>
        <v>3967.4934417824957</v>
      </c>
      <c r="AE36" s="8">
        <f t="shared" si="30"/>
        <v>3873.2934023978237</v>
      </c>
    </row>
    <row r="37" spans="2:230">
      <c r="B37" s="1" t="s">
        <v>3</v>
      </c>
      <c r="C37" s="1">
        <v>1149</v>
      </c>
      <c r="D37" s="1">
        <v>971</v>
      </c>
      <c r="E37" s="1">
        <v>896</v>
      </c>
      <c r="F37" s="1">
        <f t="shared" ref="F37:F47" si="31">+T37-SUM(C37:E37)</f>
        <v>1070</v>
      </c>
      <c r="G37" s="1">
        <v>1061</v>
      </c>
      <c r="H37" s="1">
        <v>893</v>
      </c>
      <c r="I37" s="1">
        <v>926</v>
      </c>
      <c r="J37" s="1">
        <f>+U37-SUM(G37:I37)</f>
        <v>777.74332679837107</v>
      </c>
      <c r="R37" s="1">
        <v>4151</v>
      </c>
      <c r="S37" s="1">
        <v>5325</v>
      </c>
      <c r="T37" s="1">
        <v>4086</v>
      </c>
      <c r="U37" s="1">
        <f>+U$36*(T37/T$36)</f>
        <v>3657.7433267983711</v>
      </c>
      <c r="V37" s="1">
        <f t="shared" ref="V37:AE37" si="32">+V$36*(U37/U$36)</f>
        <v>3366.7539635187786</v>
      </c>
      <c r="W37" s="1">
        <f t="shared" si="32"/>
        <v>3160.2005677098055</v>
      </c>
      <c r="X37" s="1">
        <f t="shared" si="32"/>
        <v>2974.9271475631649</v>
      </c>
      <c r="Y37" s="1">
        <f t="shared" si="32"/>
        <v>2808.8457810696386</v>
      </c>
      <c r="Z37" s="1">
        <f t="shared" si="32"/>
        <v>2725.0248156495477</v>
      </c>
      <c r="AA37" s="1">
        <f t="shared" si="32"/>
        <v>2647.0795706805293</v>
      </c>
      <c r="AB37" s="1">
        <f t="shared" si="32"/>
        <v>2574.6212609674581</v>
      </c>
      <c r="AC37" s="1">
        <f t="shared" si="32"/>
        <v>2507.290775172673</v>
      </c>
      <c r="AD37" s="1">
        <f t="shared" si="32"/>
        <v>2444.7561760101457</v>
      </c>
      <c r="AE37" s="1">
        <f t="shared" si="32"/>
        <v>2386.7104271146895</v>
      </c>
    </row>
    <row r="38" spans="2:230">
      <c r="B38" s="1" t="s">
        <v>11</v>
      </c>
      <c r="C38" s="1">
        <v>74</v>
      </c>
      <c r="D38" s="1">
        <v>71</v>
      </c>
      <c r="E38" s="1">
        <v>68</v>
      </c>
      <c r="F38" s="1">
        <f t="shared" si="31"/>
        <v>76</v>
      </c>
      <c r="G38" s="1">
        <v>88</v>
      </c>
      <c r="H38" s="1">
        <v>76</v>
      </c>
      <c r="I38" s="1">
        <v>78</v>
      </c>
      <c r="J38" s="1">
        <f t="shared" ref="J38:J48" si="33">+U38-SUM(G38:I38)</f>
        <v>16.709696878298871</v>
      </c>
      <c r="R38" s="1">
        <v>223</v>
      </c>
      <c r="S38" s="1">
        <v>290</v>
      </c>
      <c r="T38" s="1">
        <v>289</v>
      </c>
      <c r="U38" s="1">
        <f>+U$36*(T38/T$36)</f>
        <v>258.70969687829887</v>
      </c>
      <c r="V38" s="1">
        <f t="shared" ref="V38:AE38" si="34">+V$36*(U38/U$36)</f>
        <v>238.12821719454894</v>
      </c>
      <c r="W38" s="1">
        <f t="shared" si="34"/>
        <v>223.5188360421277</v>
      </c>
      <c r="X38" s="1">
        <f t="shared" si="34"/>
        <v>210.41457309000359</v>
      </c>
      <c r="Y38" s="1">
        <f t="shared" si="34"/>
        <v>198.66775103502826</v>
      </c>
      <c r="Z38" s="1">
        <f t="shared" si="34"/>
        <v>192.73915118030328</v>
      </c>
      <c r="AA38" s="1">
        <f t="shared" si="34"/>
        <v>187.22613703540696</v>
      </c>
      <c r="AB38" s="1">
        <f t="shared" si="34"/>
        <v>182.10121008800667</v>
      </c>
      <c r="AC38" s="1">
        <f t="shared" si="34"/>
        <v>177.33897063751894</v>
      </c>
      <c r="AD38" s="1">
        <f t="shared" si="34"/>
        <v>172.91594098554381</v>
      </c>
      <c r="AE38" s="1">
        <f t="shared" si="34"/>
        <v>168.8104046588706</v>
      </c>
    </row>
    <row r="39" spans="2:230">
      <c r="B39" s="1" t="s">
        <v>12</v>
      </c>
      <c r="C39" s="1">
        <v>-0.35</v>
      </c>
      <c r="D39" s="1">
        <v>3</v>
      </c>
      <c r="E39" s="1">
        <v>13</v>
      </c>
      <c r="F39" s="1">
        <f t="shared" si="31"/>
        <v>-46.65</v>
      </c>
      <c r="G39" s="1">
        <v>17</v>
      </c>
      <c r="H39" s="1">
        <v>-39</v>
      </c>
      <c r="I39" s="1">
        <v>4</v>
      </c>
      <c r="J39" s="1">
        <f t="shared" si="33"/>
        <v>-9.7508671391946926</v>
      </c>
      <c r="R39" s="1">
        <v>-39</v>
      </c>
      <c r="S39" s="1">
        <v>10</v>
      </c>
      <c r="T39" s="1">
        <v>-31</v>
      </c>
      <c r="U39" s="1">
        <f>+U$36*(T39/T$36)</f>
        <v>-27.750867139194693</v>
      </c>
      <c r="V39" s="1">
        <f t="shared" ref="V39:AE39" si="35">+V$36*(U39/U$36)</f>
        <v>-25.543165166197298</v>
      </c>
      <c r="W39" s="1">
        <f t="shared" si="35"/>
        <v>-23.976068918013702</v>
      </c>
      <c r="X39" s="1">
        <f t="shared" si="35"/>
        <v>-22.570421334913885</v>
      </c>
      <c r="Y39" s="1">
        <f t="shared" si="35"/>
        <v>-21.310381598913072</v>
      </c>
      <c r="Z39" s="1">
        <f t="shared" si="35"/>
        <v>-20.674441822108662</v>
      </c>
      <c r="AA39" s="1">
        <f t="shared" si="35"/>
        <v>-20.083080443244349</v>
      </c>
      <c r="AB39" s="1">
        <f t="shared" si="35"/>
        <v>-19.533347794907293</v>
      </c>
      <c r="AC39" s="1">
        <f t="shared" si="35"/>
        <v>-19.022519341740789</v>
      </c>
      <c r="AD39" s="1">
        <f t="shared" si="35"/>
        <v>-18.548076714712316</v>
      </c>
      <c r="AE39" s="1">
        <f t="shared" si="35"/>
        <v>-18.107690465138372</v>
      </c>
    </row>
    <row r="40" spans="2:230">
      <c r="B40" s="1" t="s">
        <v>14</v>
      </c>
      <c r="C40" s="1">
        <v>17</v>
      </c>
      <c r="D40" s="1">
        <v>7</v>
      </c>
      <c r="E40" s="1">
        <v>-36</v>
      </c>
      <c r="F40" s="1">
        <f t="shared" si="31"/>
        <v>4</v>
      </c>
      <c r="G40" s="1">
        <v>0</v>
      </c>
      <c r="H40" s="1">
        <v>-3</v>
      </c>
      <c r="I40" s="1">
        <v>2</v>
      </c>
      <c r="J40" s="1">
        <f t="shared" si="33"/>
        <v>-6.1615141004373397</v>
      </c>
      <c r="R40" s="1">
        <v>47</v>
      </c>
      <c r="S40" s="1">
        <v>94</v>
      </c>
      <c r="T40" s="1">
        <v>-8</v>
      </c>
      <c r="U40" s="1">
        <f>+U$36*(T40/T$36)</f>
        <v>-7.1615141004373397</v>
      </c>
      <c r="V40" s="1">
        <f t="shared" ref="V40:AE40" si="36">+V$36*(U40/U$36)</f>
        <v>-6.5917845590186568</v>
      </c>
      <c r="W40" s="1">
        <f t="shared" si="36"/>
        <v>-6.1873726240035358</v>
      </c>
      <c r="X40" s="1">
        <f t="shared" si="36"/>
        <v>-5.8246248606229374</v>
      </c>
      <c r="Y40" s="1">
        <f t="shared" si="36"/>
        <v>-5.4994533158485339</v>
      </c>
      <c r="Z40" s="1">
        <f t="shared" si="36"/>
        <v>-5.3353398250602986</v>
      </c>
      <c r="AA40" s="1">
        <f t="shared" si="36"/>
        <v>-5.1827304369662839</v>
      </c>
      <c r="AB40" s="1">
        <f t="shared" si="36"/>
        <v>-5.0408639470728493</v>
      </c>
      <c r="AC40" s="1">
        <f t="shared" si="36"/>
        <v>-4.9090372494814938</v>
      </c>
      <c r="AD40" s="1">
        <f t="shared" si="36"/>
        <v>-4.7866004425064039</v>
      </c>
      <c r="AE40" s="1">
        <f t="shared" si="36"/>
        <v>-4.6729523781002245</v>
      </c>
    </row>
    <row r="41" spans="2:230">
      <c r="B41" s="1" t="s">
        <v>13</v>
      </c>
      <c r="C41" s="1">
        <f>+C36-SUM(C37:C39)+C40</f>
        <v>806.34999999999991</v>
      </c>
      <c r="D41" s="1">
        <f>+D36-SUM(D37:D39)+D40</f>
        <v>737</v>
      </c>
      <c r="E41" s="1">
        <f>+E36-SUM(E37:E39)+E40</f>
        <v>260</v>
      </c>
      <c r="F41" s="1">
        <f t="shared" si="31"/>
        <v>475.65000000000009</v>
      </c>
      <c r="G41" s="1">
        <f>+G36-SUM(G37:G39)+G40</f>
        <v>304</v>
      </c>
      <c r="H41" s="1">
        <f>+H36-SUM(H37:H39)+H40</f>
        <v>639</v>
      </c>
      <c r="I41" s="1">
        <f>+I36-SUM(I37:I39)+I40</f>
        <v>364</v>
      </c>
      <c r="J41" s="1">
        <f t="shared" si="33"/>
        <v>733.13632936208728</v>
      </c>
      <c r="R41" s="1">
        <f>+R36-SUM(R37:R39)+R40</f>
        <v>2250</v>
      </c>
      <c r="S41" s="1">
        <f>+S36-SUM(S37:S39)+S40</f>
        <v>5655</v>
      </c>
      <c r="T41" s="1">
        <f>+T36-SUM(T37:T39)+T40</f>
        <v>2279</v>
      </c>
      <c r="U41" s="1">
        <f>+U36-SUM(U37:U39)+U40</f>
        <v>2040.1363293620873</v>
      </c>
      <c r="V41" s="1">
        <f t="shared" ref="V41:AD41" si="37">+V36-SUM(V37:V39)+V40</f>
        <v>1877.8346262504404</v>
      </c>
      <c r="W41" s="1">
        <f t="shared" si="37"/>
        <v>1762.6277762630082</v>
      </c>
      <c r="X41" s="1">
        <f t="shared" si="37"/>
        <v>1659.2900071699601</v>
      </c>
      <c r="Y41" s="1">
        <f t="shared" si="37"/>
        <v>1566.6567633523512</v>
      </c>
      <c r="Z41" s="1">
        <f t="shared" si="37"/>
        <v>1519.9049326640527</v>
      </c>
      <c r="AA41" s="1">
        <f t="shared" si="37"/>
        <v>1476.43033323077</v>
      </c>
      <c r="AB41" s="1">
        <f t="shared" si="37"/>
        <v>1436.0161169223784</v>
      </c>
      <c r="AC41" s="1">
        <f t="shared" si="37"/>
        <v>1398.461986446041</v>
      </c>
      <c r="AD41" s="1">
        <f t="shared" si="37"/>
        <v>1363.5828010590121</v>
      </c>
      <c r="AE41" s="1">
        <f t="shared" ref="AE41" si="38">+AE36-SUM(AE37:AE39)+AE40</f>
        <v>1331.2073087113015</v>
      </c>
    </row>
    <row r="42" spans="2:230">
      <c r="B42" s="1" t="s">
        <v>18</v>
      </c>
      <c r="C42" s="1">
        <f>40-30</f>
        <v>10</v>
      </c>
      <c r="D42" s="1">
        <f>36-40</f>
        <v>-4</v>
      </c>
      <c r="E42" s="1">
        <f>39-45</f>
        <v>-6</v>
      </c>
      <c r="F42" s="1">
        <f t="shared" si="31"/>
        <v>150</v>
      </c>
      <c r="G42" s="1">
        <f>37-30</f>
        <v>7</v>
      </c>
      <c r="H42" s="1">
        <f>37-28</f>
        <v>9</v>
      </c>
      <c r="I42" s="1">
        <v>-32</v>
      </c>
      <c r="J42" s="1">
        <f t="shared" si="33"/>
        <v>150.27838938320014</v>
      </c>
      <c r="R42" s="1">
        <f>184-1</f>
        <v>183</v>
      </c>
      <c r="S42" s="1">
        <f>344-65</f>
        <v>279</v>
      </c>
      <c r="T42" s="1">
        <v>150</v>
      </c>
      <c r="U42" s="1">
        <f>+U$41*(T42/T$41)</f>
        <v>134.27838938320014</v>
      </c>
      <c r="V42" s="1">
        <f>+U42</f>
        <v>134.27838938320014</v>
      </c>
      <c r="W42" s="1">
        <f t="shared" ref="W42:AE42" si="39">+V42</f>
        <v>134.27838938320014</v>
      </c>
      <c r="X42" s="1">
        <f t="shared" si="39"/>
        <v>134.27838938320014</v>
      </c>
      <c r="Y42" s="1">
        <f t="shared" si="39"/>
        <v>134.27838938320014</v>
      </c>
      <c r="Z42" s="1">
        <f t="shared" si="39"/>
        <v>134.27838938320014</v>
      </c>
      <c r="AA42" s="1">
        <f t="shared" si="39"/>
        <v>134.27838938320014</v>
      </c>
      <c r="AB42" s="1">
        <f t="shared" si="39"/>
        <v>134.27838938320014</v>
      </c>
      <c r="AC42" s="1">
        <f t="shared" si="39"/>
        <v>134.27838938320014</v>
      </c>
      <c r="AD42" s="1">
        <f t="shared" si="39"/>
        <v>134.27838938320014</v>
      </c>
      <c r="AE42" s="1">
        <f t="shared" si="39"/>
        <v>134.27838938320014</v>
      </c>
    </row>
    <row r="43" spans="2:230">
      <c r="B43" s="1" t="s">
        <v>12</v>
      </c>
      <c r="C43" s="1">
        <v>-3</v>
      </c>
      <c r="D43" s="1">
        <v>-2</v>
      </c>
      <c r="E43" s="1">
        <v>-3</v>
      </c>
      <c r="F43" s="1">
        <f t="shared" si="31"/>
        <v>-150</v>
      </c>
      <c r="G43" s="1">
        <v>-4</v>
      </c>
      <c r="H43" s="1">
        <v>0</v>
      </c>
      <c r="I43" s="1">
        <v>-4</v>
      </c>
      <c r="J43" s="1">
        <f t="shared" si="33"/>
        <v>-133.43990348363749</v>
      </c>
      <c r="R43" s="1">
        <v>-16</v>
      </c>
      <c r="S43" s="1">
        <v>15</v>
      </c>
      <c r="T43" s="1">
        <v>-158</v>
      </c>
      <c r="U43" s="1">
        <f>+U$41*(T43/T$41)</f>
        <v>-141.43990348363749</v>
      </c>
      <c r="V43" s="1">
        <f>+U43</f>
        <v>-141.43990348363749</v>
      </c>
      <c r="W43" s="1">
        <f t="shared" ref="W43:AE43" si="40">+V43</f>
        <v>-141.43990348363749</v>
      </c>
      <c r="X43" s="1">
        <f t="shared" si="40"/>
        <v>-141.43990348363749</v>
      </c>
      <c r="Y43" s="1">
        <f t="shared" si="40"/>
        <v>-141.43990348363749</v>
      </c>
      <c r="Z43" s="1">
        <f t="shared" si="40"/>
        <v>-141.43990348363749</v>
      </c>
      <c r="AA43" s="1">
        <f t="shared" si="40"/>
        <v>-141.43990348363749</v>
      </c>
      <c r="AB43" s="1">
        <f t="shared" si="40"/>
        <v>-141.43990348363749</v>
      </c>
      <c r="AC43" s="1">
        <f t="shared" si="40"/>
        <v>-141.43990348363749</v>
      </c>
      <c r="AD43" s="1">
        <f t="shared" si="40"/>
        <v>-141.43990348363749</v>
      </c>
      <c r="AE43" s="1">
        <f t="shared" si="40"/>
        <v>-141.43990348363749</v>
      </c>
    </row>
    <row r="44" spans="2:230">
      <c r="B44" s="1" t="s">
        <v>19</v>
      </c>
      <c r="C44" s="1">
        <f>+C41-SUM(C42:C43)</f>
        <v>799.34999999999991</v>
      </c>
      <c r="D44" s="1">
        <f>+D41-SUM(D42:D43)</f>
        <v>743</v>
      </c>
      <c r="E44" s="1">
        <f>+E41-SUM(E42:E43)</f>
        <v>269</v>
      </c>
      <c r="F44" s="1">
        <f t="shared" si="31"/>
        <v>475.65000000000009</v>
      </c>
      <c r="G44" s="1">
        <f>+G41-SUM(G42:G43)</f>
        <v>301</v>
      </c>
      <c r="H44" s="1">
        <f>+H41-SUM(H42:H43)</f>
        <v>630</v>
      </c>
      <c r="I44" s="1">
        <f>+I41-SUM(I42:I43)</f>
        <v>400</v>
      </c>
      <c r="J44" s="1">
        <f t="shared" si="33"/>
        <v>716.29784346252472</v>
      </c>
      <c r="R44" s="1">
        <f>+R41-SUM(R42:R43)</f>
        <v>2083</v>
      </c>
      <c r="S44" s="1">
        <f>+S41-SUM(S42:S43)</f>
        <v>5361</v>
      </c>
      <c r="T44" s="1">
        <f>+T41-SUM(T42:T43)</f>
        <v>2287</v>
      </c>
      <c r="U44" s="1">
        <f>+U41-SUM(U42:U43)</f>
        <v>2047.2978434625247</v>
      </c>
      <c r="V44" s="1">
        <f t="shared" ref="V44:AD44" si="41">+V41-SUM(V42:V43)</f>
        <v>1884.9961403508778</v>
      </c>
      <c r="W44" s="1">
        <f t="shared" si="41"/>
        <v>1769.7892903634456</v>
      </c>
      <c r="X44" s="1">
        <f t="shared" si="41"/>
        <v>1666.4515212703975</v>
      </c>
      <c r="Y44" s="1">
        <f t="shared" si="41"/>
        <v>1573.8182774527886</v>
      </c>
      <c r="Z44" s="1">
        <f t="shared" si="41"/>
        <v>1527.0664467644901</v>
      </c>
      <c r="AA44" s="1">
        <f t="shared" si="41"/>
        <v>1483.5918473312074</v>
      </c>
      <c r="AB44" s="1">
        <f t="shared" si="41"/>
        <v>1443.1776310228158</v>
      </c>
      <c r="AC44" s="1">
        <f t="shared" si="41"/>
        <v>1405.6235005464785</v>
      </c>
      <c r="AD44" s="1">
        <f t="shared" si="41"/>
        <v>1370.7443151594496</v>
      </c>
      <c r="AE44" s="1">
        <f t="shared" ref="AE44" si="42">+AE41-SUM(AE42:AE43)</f>
        <v>1338.3688228117389</v>
      </c>
    </row>
    <row r="45" spans="2:230">
      <c r="B45" s="1" t="s">
        <v>20</v>
      </c>
      <c r="C45" s="1">
        <v>169</v>
      </c>
      <c r="D45" s="1">
        <v>134</v>
      </c>
      <c r="E45" s="1">
        <v>66</v>
      </c>
      <c r="F45" s="1">
        <f t="shared" si="31"/>
        <v>41</v>
      </c>
      <c r="G45" s="1">
        <v>62</v>
      </c>
      <c r="H45" s="1">
        <v>123</v>
      </c>
      <c r="I45" s="1">
        <v>59</v>
      </c>
      <c r="J45" s="1">
        <f t="shared" si="33"/>
        <v>123.02759764741376</v>
      </c>
      <c r="R45" s="1">
        <v>283</v>
      </c>
      <c r="S45" s="1">
        <v>1158</v>
      </c>
      <c r="T45" s="1">
        <v>410</v>
      </c>
      <c r="U45" s="1">
        <f>+U44*(T45/T44)</f>
        <v>367.02759764741376</v>
      </c>
      <c r="V45" s="1">
        <f t="shared" ref="V45:AE45" si="43">+V44*(U45/U44)</f>
        <v>337.93109643369479</v>
      </c>
      <c r="W45" s="1">
        <f t="shared" si="43"/>
        <v>317.27748537342052</v>
      </c>
      <c r="X45" s="1">
        <f t="shared" si="43"/>
        <v>298.75169380011499</v>
      </c>
      <c r="Y45" s="1">
        <f t="shared" si="43"/>
        <v>282.14494698541466</v>
      </c>
      <c r="Z45" s="1">
        <f t="shared" si="43"/>
        <v>273.76355189044205</v>
      </c>
      <c r="AA45" s="1">
        <f t="shared" si="43"/>
        <v>265.96967967022084</v>
      </c>
      <c r="AB45" s="1">
        <f t="shared" si="43"/>
        <v>258.72445505874708</v>
      </c>
      <c r="AC45" s="1">
        <f t="shared" si="43"/>
        <v>251.99196992744041</v>
      </c>
      <c r="AD45" s="1">
        <f t="shared" si="43"/>
        <v>245.7390333254807</v>
      </c>
      <c r="AE45" s="1">
        <f t="shared" si="43"/>
        <v>239.93494418575119</v>
      </c>
    </row>
    <row r="46" spans="2:230">
      <c r="B46" s="1" t="s">
        <v>21</v>
      </c>
      <c r="C46" s="1">
        <f>+C44-C45</f>
        <v>630.34999999999991</v>
      </c>
      <c r="D46" s="1">
        <f>+D44-D45</f>
        <v>609</v>
      </c>
      <c r="E46" s="1">
        <f>+E44-E45</f>
        <v>203</v>
      </c>
      <c r="F46" s="1">
        <f t="shared" si="31"/>
        <v>434.65000000000009</v>
      </c>
      <c r="G46" s="1">
        <f>+G44-G45</f>
        <v>239</v>
      </c>
      <c r="H46" s="1">
        <f>+H44-H45</f>
        <v>507</v>
      </c>
      <c r="I46" s="1">
        <f>+I44-I45</f>
        <v>341</v>
      </c>
      <c r="J46" s="1">
        <f t="shared" si="33"/>
        <v>593.27024581511091</v>
      </c>
      <c r="R46" s="1">
        <f>+R44-R45</f>
        <v>1800</v>
      </c>
      <c r="S46" s="1">
        <f>+S44-S45</f>
        <v>4203</v>
      </c>
      <c r="T46" s="1">
        <f>+T44-T45</f>
        <v>1877</v>
      </c>
      <c r="U46" s="1">
        <f>+U44-U45</f>
        <v>1680.2702458151109</v>
      </c>
      <c r="V46" s="1">
        <f t="shared" ref="V46:AD46" si="44">+V44-V45</f>
        <v>1547.0650439171829</v>
      </c>
      <c r="W46" s="1">
        <f t="shared" si="44"/>
        <v>1452.5118049900252</v>
      </c>
      <c r="X46" s="1">
        <f t="shared" si="44"/>
        <v>1367.6998274702826</v>
      </c>
      <c r="Y46" s="1">
        <f t="shared" si="44"/>
        <v>1291.6733304673739</v>
      </c>
      <c r="Z46" s="1">
        <f t="shared" si="44"/>
        <v>1253.302894874048</v>
      </c>
      <c r="AA46" s="1">
        <f t="shared" si="44"/>
        <v>1217.6221676609866</v>
      </c>
      <c r="AB46" s="1">
        <f t="shared" si="44"/>
        <v>1184.4531759640688</v>
      </c>
      <c r="AC46" s="1">
        <f t="shared" si="44"/>
        <v>1153.6315306190381</v>
      </c>
      <c r="AD46" s="1">
        <f t="shared" si="44"/>
        <v>1125.0052818339689</v>
      </c>
      <c r="AE46" s="1">
        <f t="shared" ref="AE46" si="45">+AE44-AE45</f>
        <v>1098.4338786259877</v>
      </c>
      <c r="AF46" s="1">
        <f t="shared" ref="AF46:CQ46" si="46">+AE46*(1+$AI$59)</f>
        <v>1109.4182174122477</v>
      </c>
      <c r="AG46" s="1">
        <f t="shared" si="46"/>
        <v>1120.5123995863703</v>
      </c>
      <c r="AH46" s="1">
        <f t="shared" si="46"/>
        <v>1131.717523582234</v>
      </c>
      <c r="AI46" s="1">
        <f t="shared" si="46"/>
        <v>1143.0346988180563</v>
      </c>
      <c r="AJ46" s="1">
        <f t="shared" si="46"/>
        <v>1154.465045806237</v>
      </c>
      <c r="AK46" s="1">
        <f t="shared" si="46"/>
        <v>1166.0096962642992</v>
      </c>
      <c r="AL46" s="1">
        <f t="shared" si="46"/>
        <v>1177.6697932269421</v>
      </c>
      <c r="AM46" s="1">
        <f t="shared" si="46"/>
        <v>1189.4464911592115</v>
      </c>
      <c r="AN46" s="1">
        <f t="shared" si="46"/>
        <v>1201.3409560708037</v>
      </c>
      <c r="AO46" s="1">
        <f t="shared" si="46"/>
        <v>1213.3543656315117</v>
      </c>
      <c r="AP46" s="1">
        <f t="shared" si="46"/>
        <v>1225.4879092878268</v>
      </c>
      <c r="AQ46" s="1">
        <f t="shared" si="46"/>
        <v>1237.7427883807052</v>
      </c>
      <c r="AR46" s="1">
        <f t="shared" si="46"/>
        <v>1250.1202162645122</v>
      </c>
      <c r="AS46" s="1">
        <f t="shared" si="46"/>
        <v>1262.6214184271573</v>
      </c>
      <c r="AT46" s="1">
        <f t="shared" si="46"/>
        <v>1275.2476326114288</v>
      </c>
      <c r="AU46" s="1">
        <f t="shared" si="46"/>
        <v>1288.000108937543</v>
      </c>
      <c r="AV46" s="1">
        <f t="shared" si="46"/>
        <v>1300.8801100269184</v>
      </c>
      <c r="AW46" s="1">
        <f t="shared" si="46"/>
        <v>1313.8889111271876</v>
      </c>
      <c r="AX46" s="1">
        <f t="shared" si="46"/>
        <v>1327.0278002384596</v>
      </c>
      <c r="AY46" s="1">
        <f t="shared" si="46"/>
        <v>1340.2980782408442</v>
      </c>
      <c r="AZ46" s="1">
        <f t="shared" si="46"/>
        <v>1353.7010590232526</v>
      </c>
      <c r="BA46" s="1">
        <f t="shared" si="46"/>
        <v>1367.2380696134851</v>
      </c>
      <c r="BB46" s="1">
        <f t="shared" si="46"/>
        <v>1380.91045030962</v>
      </c>
      <c r="BC46" s="1">
        <f t="shared" si="46"/>
        <v>1394.7195548127163</v>
      </c>
      <c r="BD46" s="1">
        <f t="shared" si="46"/>
        <v>1408.6667503608435</v>
      </c>
      <c r="BE46" s="1">
        <f t="shared" si="46"/>
        <v>1422.7534178644519</v>
      </c>
      <c r="BF46" s="1">
        <f t="shared" si="46"/>
        <v>1436.9809520430963</v>
      </c>
      <c r="BG46" s="1">
        <f t="shared" si="46"/>
        <v>1451.3507615635272</v>
      </c>
      <c r="BH46" s="1">
        <f t="shared" si="46"/>
        <v>1465.8642691791624</v>
      </c>
      <c r="BI46" s="1">
        <f t="shared" si="46"/>
        <v>1480.522911870954</v>
      </c>
      <c r="BJ46" s="1">
        <f t="shared" si="46"/>
        <v>1495.3281409896636</v>
      </c>
      <c r="BK46" s="1">
        <f t="shared" si="46"/>
        <v>1510.2814223995601</v>
      </c>
      <c r="BL46" s="1">
        <f t="shared" si="46"/>
        <v>1525.3842366235558</v>
      </c>
      <c r="BM46" s="1">
        <f t="shared" si="46"/>
        <v>1540.6380789897914</v>
      </c>
      <c r="BN46" s="1">
        <f t="shared" si="46"/>
        <v>1556.0444597796893</v>
      </c>
      <c r="BO46" s="1">
        <f t="shared" si="46"/>
        <v>1571.6049043774863</v>
      </c>
      <c r="BP46" s="1">
        <f t="shared" si="46"/>
        <v>1587.320953421261</v>
      </c>
      <c r="BQ46" s="1">
        <f t="shared" si="46"/>
        <v>1603.1941629554738</v>
      </c>
      <c r="BR46" s="1">
        <f t="shared" si="46"/>
        <v>1619.2261045850285</v>
      </c>
      <c r="BS46" s="1">
        <f t="shared" si="46"/>
        <v>1635.4183656308787</v>
      </c>
      <c r="BT46" s="1">
        <f t="shared" si="46"/>
        <v>1651.7725492871875</v>
      </c>
      <c r="BU46" s="1">
        <f t="shared" si="46"/>
        <v>1668.2902747800595</v>
      </c>
      <c r="BV46" s="1">
        <f t="shared" si="46"/>
        <v>1684.9731775278601</v>
      </c>
      <c r="BW46" s="1">
        <f t="shared" si="46"/>
        <v>1701.8229093031387</v>
      </c>
      <c r="BX46" s="1">
        <f t="shared" si="46"/>
        <v>1718.84113839617</v>
      </c>
      <c r="BY46" s="1">
        <f t="shared" si="46"/>
        <v>1736.0295497801317</v>
      </c>
      <c r="BZ46" s="1">
        <f t="shared" si="46"/>
        <v>1753.3898452779331</v>
      </c>
      <c r="CA46" s="1">
        <f t="shared" si="46"/>
        <v>1770.9237437307124</v>
      </c>
      <c r="CB46" s="1">
        <f t="shared" si="46"/>
        <v>1788.6329811680196</v>
      </c>
      <c r="CC46" s="1">
        <f t="shared" si="46"/>
        <v>1806.5193109796999</v>
      </c>
      <c r="CD46" s="1">
        <f t="shared" si="46"/>
        <v>1824.5845040894969</v>
      </c>
      <c r="CE46" s="1">
        <f t="shared" si="46"/>
        <v>1842.8303491303918</v>
      </c>
      <c r="CF46" s="1">
        <f t="shared" si="46"/>
        <v>1861.2586526216958</v>
      </c>
      <c r="CG46" s="1">
        <f t="shared" si="46"/>
        <v>1879.8712391479128</v>
      </c>
      <c r="CH46" s="1">
        <f t="shared" si="46"/>
        <v>1898.6699515393918</v>
      </c>
      <c r="CI46" s="1">
        <f t="shared" si="46"/>
        <v>1917.6566510547857</v>
      </c>
      <c r="CJ46" s="1">
        <f t="shared" si="46"/>
        <v>1936.8332175653336</v>
      </c>
      <c r="CK46" s="1">
        <f t="shared" si="46"/>
        <v>1956.201549740987</v>
      </c>
      <c r="CL46" s="1">
        <f t="shared" si="46"/>
        <v>1975.763565238397</v>
      </c>
      <c r="CM46" s="1">
        <f t="shared" si="46"/>
        <v>1995.5212008907808</v>
      </c>
      <c r="CN46" s="1">
        <f t="shared" si="46"/>
        <v>2015.4764128996887</v>
      </c>
      <c r="CO46" s="1">
        <f t="shared" si="46"/>
        <v>2035.6311770286857</v>
      </c>
      <c r="CP46" s="1">
        <f t="shared" si="46"/>
        <v>2055.9874887989727</v>
      </c>
      <c r="CQ46" s="1">
        <f t="shared" si="46"/>
        <v>2076.5473636869624</v>
      </c>
      <c r="CR46" s="1">
        <f t="shared" ref="CR46:FC46" si="47">+CQ46*(1+$AI$59)</f>
        <v>2097.3128373238319</v>
      </c>
      <c r="CS46" s="1">
        <f t="shared" si="47"/>
        <v>2118.2859656970704</v>
      </c>
      <c r="CT46" s="1">
        <f t="shared" si="47"/>
        <v>2139.4688253540412</v>
      </c>
      <c r="CU46" s="1">
        <f t="shared" si="47"/>
        <v>2160.8635136075818</v>
      </c>
      <c r="CV46" s="1">
        <f t="shared" si="47"/>
        <v>2182.4721487436577</v>
      </c>
      <c r="CW46" s="1">
        <f t="shared" si="47"/>
        <v>2204.2968702310945</v>
      </c>
      <c r="CX46" s="1">
        <f t="shared" si="47"/>
        <v>2226.3398389334056</v>
      </c>
      <c r="CY46" s="1">
        <f t="shared" si="47"/>
        <v>2248.6032373227399</v>
      </c>
      <c r="CZ46" s="1">
        <f t="shared" si="47"/>
        <v>2271.0892696959672</v>
      </c>
      <c r="DA46" s="1">
        <f t="shared" si="47"/>
        <v>2293.8001623929267</v>
      </c>
      <c r="DB46" s="1">
        <f t="shared" si="47"/>
        <v>2316.738164016856</v>
      </c>
      <c r="DC46" s="1">
        <f t="shared" si="47"/>
        <v>2339.9055456570245</v>
      </c>
      <c r="DD46" s="1">
        <f t="shared" si="47"/>
        <v>2363.3046011135948</v>
      </c>
      <c r="DE46" s="1">
        <f t="shared" si="47"/>
        <v>2386.9376471247306</v>
      </c>
      <c r="DF46" s="1">
        <f t="shared" si="47"/>
        <v>2410.8070235959781</v>
      </c>
      <c r="DG46" s="1">
        <f t="shared" si="47"/>
        <v>2434.9150938319381</v>
      </c>
      <c r="DH46" s="1">
        <f t="shared" si="47"/>
        <v>2459.2642447702574</v>
      </c>
      <c r="DI46" s="1">
        <f t="shared" si="47"/>
        <v>2483.8568872179599</v>
      </c>
      <c r="DJ46" s="1">
        <f t="shared" si="47"/>
        <v>2508.6954560901395</v>
      </c>
      <c r="DK46" s="1">
        <f t="shared" si="47"/>
        <v>2533.7824106510411</v>
      </c>
      <c r="DL46" s="1">
        <f t="shared" si="47"/>
        <v>2559.1202347575518</v>
      </c>
      <c r="DM46" s="1">
        <f t="shared" si="47"/>
        <v>2584.7114371051275</v>
      </c>
      <c r="DN46" s="1">
        <f t="shared" si="47"/>
        <v>2610.5585514761788</v>
      </c>
      <c r="DO46" s="1">
        <f t="shared" si="47"/>
        <v>2636.6641369909407</v>
      </c>
      <c r="DP46" s="1">
        <f t="shared" si="47"/>
        <v>2663.03077836085</v>
      </c>
      <c r="DQ46" s="1">
        <f t="shared" si="47"/>
        <v>2689.6610861444587</v>
      </c>
      <c r="DR46" s="1">
        <f t="shared" si="47"/>
        <v>2716.5576970059033</v>
      </c>
      <c r="DS46" s="1">
        <f t="shared" si="47"/>
        <v>2743.7232739759625</v>
      </c>
      <c r="DT46" s="1">
        <f t="shared" si="47"/>
        <v>2771.160506715722</v>
      </c>
      <c r="DU46" s="1">
        <f t="shared" si="47"/>
        <v>2798.8721117828791</v>
      </c>
      <c r="DV46" s="1">
        <f t="shared" si="47"/>
        <v>2826.8608329007079</v>
      </c>
      <c r="DW46" s="1">
        <f t="shared" si="47"/>
        <v>2855.1294412297152</v>
      </c>
      <c r="DX46" s="1">
        <f t="shared" si="47"/>
        <v>2883.6807356420122</v>
      </c>
      <c r="DY46" s="1">
        <f t="shared" si="47"/>
        <v>2912.5175429984324</v>
      </c>
      <c r="DZ46" s="1">
        <f t="shared" si="47"/>
        <v>2941.6427184284166</v>
      </c>
      <c r="EA46" s="1">
        <f t="shared" si="47"/>
        <v>2971.0591456127008</v>
      </c>
      <c r="EB46" s="1">
        <f t="shared" si="47"/>
        <v>3000.7697370688279</v>
      </c>
      <c r="EC46" s="1">
        <f t="shared" si="47"/>
        <v>3030.7774344395161</v>
      </c>
      <c r="ED46" s="1">
        <f t="shared" si="47"/>
        <v>3061.0852087839112</v>
      </c>
      <c r="EE46" s="1">
        <f t="shared" si="47"/>
        <v>3091.6960608717504</v>
      </c>
      <c r="EF46" s="1">
        <f t="shared" si="47"/>
        <v>3122.613021480468</v>
      </c>
      <c r="EG46" s="1">
        <f t="shared" si="47"/>
        <v>3153.8391516952729</v>
      </c>
      <c r="EH46" s="1">
        <f t="shared" si="47"/>
        <v>3185.3775432122256</v>
      </c>
      <c r="EI46" s="1">
        <f t="shared" si="47"/>
        <v>3217.231318644348</v>
      </c>
      <c r="EJ46" s="1">
        <f t="shared" si="47"/>
        <v>3249.4036318307917</v>
      </c>
      <c r="EK46" s="1">
        <f t="shared" si="47"/>
        <v>3281.8976681490994</v>
      </c>
      <c r="EL46" s="1">
        <f t="shared" si="47"/>
        <v>3314.7166448305907</v>
      </c>
      <c r="EM46" s="1">
        <f t="shared" si="47"/>
        <v>3347.8638112788967</v>
      </c>
      <c r="EN46" s="1">
        <f t="shared" si="47"/>
        <v>3381.3424493916859</v>
      </c>
      <c r="EO46" s="1">
        <f t="shared" si="47"/>
        <v>3415.1558738856029</v>
      </c>
      <c r="EP46" s="1">
        <f t="shared" si="47"/>
        <v>3449.3074326244591</v>
      </c>
      <c r="EQ46" s="1">
        <f t="shared" si="47"/>
        <v>3483.8005069507039</v>
      </c>
      <c r="ER46" s="1">
        <f t="shared" si="47"/>
        <v>3518.6385120202112</v>
      </c>
      <c r="ES46" s="1">
        <f t="shared" si="47"/>
        <v>3553.8248971404132</v>
      </c>
      <c r="ET46" s="1">
        <f t="shared" si="47"/>
        <v>3589.3631461118175</v>
      </c>
      <c r="EU46" s="1">
        <f t="shared" si="47"/>
        <v>3625.2567775729358</v>
      </c>
      <c r="EV46" s="1">
        <f t="shared" si="47"/>
        <v>3661.5093453486652</v>
      </c>
      <c r="EW46" s="1">
        <f t="shared" si="47"/>
        <v>3698.1244388021519</v>
      </c>
      <c r="EX46" s="1">
        <f t="shared" si="47"/>
        <v>3735.1056831901733</v>
      </c>
      <c r="EY46" s="1">
        <f t="shared" si="47"/>
        <v>3772.4567400220749</v>
      </c>
      <c r="EZ46" s="1">
        <f t="shared" si="47"/>
        <v>3810.1813074222955</v>
      </c>
      <c r="FA46" s="1">
        <f t="shared" si="47"/>
        <v>3848.2831204965187</v>
      </c>
      <c r="FB46" s="1">
        <f t="shared" si="47"/>
        <v>3886.765951701484</v>
      </c>
      <c r="FC46" s="1">
        <f t="shared" si="47"/>
        <v>3925.633611218499</v>
      </c>
      <c r="FD46" s="1">
        <f t="shared" ref="FD46:HO46" si="48">+FC46*(1+$AI$59)</f>
        <v>3964.8899473306842</v>
      </c>
      <c r="FE46" s="1">
        <f t="shared" si="48"/>
        <v>4004.538846803991</v>
      </c>
      <c r="FF46" s="1">
        <f t="shared" si="48"/>
        <v>4044.584235272031</v>
      </c>
      <c r="FG46" s="1">
        <f t="shared" si="48"/>
        <v>4085.0300776247514</v>
      </c>
      <c r="FH46" s="1">
        <f t="shared" si="48"/>
        <v>4125.8803784009988</v>
      </c>
      <c r="FI46" s="1">
        <f t="shared" si="48"/>
        <v>4167.1391821850084</v>
      </c>
      <c r="FJ46" s="1">
        <f t="shared" si="48"/>
        <v>4208.8105740068586</v>
      </c>
      <c r="FK46" s="1">
        <f t="shared" si="48"/>
        <v>4250.898679746927</v>
      </c>
      <c r="FL46" s="1">
        <f t="shared" si="48"/>
        <v>4293.4076665443963</v>
      </c>
      <c r="FM46" s="1">
        <f t="shared" si="48"/>
        <v>4336.3417432098404</v>
      </c>
      <c r="FN46" s="1">
        <f t="shared" si="48"/>
        <v>4379.7051606419391</v>
      </c>
      <c r="FO46" s="1">
        <f t="shared" si="48"/>
        <v>4423.5022122483588</v>
      </c>
      <c r="FP46" s="1">
        <f t="shared" si="48"/>
        <v>4467.7372343708421</v>
      </c>
      <c r="FQ46" s="1">
        <f t="shared" si="48"/>
        <v>4512.4146067145502</v>
      </c>
      <c r="FR46" s="1">
        <f t="shared" si="48"/>
        <v>4557.5387527816956</v>
      </c>
      <c r="FS46" s="1">
        <f t="shared" si="48"/>
        <v>4603.1141403095125</v>
      </c>
      <c r="FT46" s="1">
        <f t="shared" si="48"/>
        <v>4649.1452817126074</v>
      </c>
      <c r="FU46" s="1">
        <f t="shared" si="48"/>
        <v>4695.6367345297331</v>
      </c>
      <c r="FV46" s="1">
        <f t="shared" si="48"/>
        <v>4742.5931018750307</v>
      </c>
      <c r="FW46" s="1">
        <f t="shared" si="48"/>
        <v>4790.0190328937806</v>
      </c>
      <c r="FX46" s="1">
        <f t="shared" si="48"/>
        <v>4837.9192232227188</v>
      </c>
      <c r="FY46" s="1">
        <f t="shared" si="48"/>
        <v>4886.2984154549458</v>
      </c>
      <c r="FZ46" s="1">
        <f t="shared" si="48"/>
        <v>4935.1613996094957</v>
      </c>
      <c r="GA46" s="1">
        <f t="shared" si="48"/>
        <v>4984.5130136055905</v>
      </c>
      <c r="GB46" s="1">
        <f t="shared" si="48"/>
        <v>5034.358143741646</v>
      </c>
      <c r="GC46" s="1">
        <f t="shared" si="48"/>
        <v>5084.7017251790621</v>
      </c>
      <c r="GD46" s="1">
        <f t="shared" si="48"/>
        <v>5135.5487424308531</v>
      </c>
      <c r="GE46" s="1">
        <f t="shared" si="48"/>
        <v>5186.9042298551612</v>
      </c>
      <c r="GF46" s="1">
        <f t="shared" si="48"/>
        <v>5238.7732721537132</v>
      </c>
      <c r="GG46" s="1">
        <f t="shared" si="48"/>
        <v>5291.16100487525</v>
      </c>
      <c r="GH46" s="1">
        <f t="shared" si="48"/>
        <v>5344.0726149240027</v>
      </c>
      <c r="GI46" s="1">
        <f t="shared" si="48"/>
        <v>5397.5133410732424</v>
      </c>
      <c r="GJ46" s="1">
        <f t="shared" si="48"/>
        <v>5451.4884744839746</v>
      </c>
      <c r="GK46" s="1">
        <f t="shared" si="48"/>
        <v>5506.0033592288146</v>
      </c>
      <c r="GL46" s="1">
        <f t="shared" si="48"/>
        <v>5561.0633928211028</v>
      </c>
      <c r="GM46" s="1">
        <f t="shared" si="48"/>
        <v>5616.6740267493142</v>
      </c>
      <c r="GN46" s="1">
        <f t="shared" si="48"/>
        <v>5672.8407670168071</v>
      </c>
      <c r="GO46" s="1">
        <f t="shared" si="48"/>
        <v>5729.5691746869752</v>
      </c>
      <c r="GP46" s="1">
        <f t="shared" si="48"/>
        <v>5786.8648664338452</v>
      </c>
      <c r="GQ46" s="1">
        <f t="shared" si="48"/>
        <v>5844.7335150981835</v>
      </c>
      <c r="GR46" s="1">
        <f t="shared" si="48"/>
        <v>5903.1808502491658</v>
      </c>
      <c r="GS46" s="1">
        <f t="shared" si="48"/>
        <v>5962.2126587516577</v>
      </c>
      <c r="GT46" s="1">
        <f t="shared" si="48"/>
        <v>6021.8347853391742</v>
      </c>
      <c r="GU46" s="1">
        <f t="shared" si="48"/>
        <v>6082.0531331925658</v>
      </c>
      <c r="GV46" s="1">
        <f t="shared" si="48"/>
        <v>6142.8736645244917</v>
      </c>
      <c r="GW46" s="1">
        <f t="shared" si="48"/>
        <v>6204.3024011697371</v>
      </c>
      <c r="GX46" s="1">
        <f t="shared" si="48"/>
        <v>6266.3454251814346</v>
      </c>
      <c r="GY46" s="1">
        <f t="shared" si="48"/>
        <v>6329.0088794332487</v>
      </c>
      <c r="GZ46" s="1">
        <f t="shared" si="48"/>
        <v>6392.2989682275811</v>
      </c>
      <c r="HA46" s="1">
        <f t="shared" si="48"/>
        <v>6456.2219579098573</v>
      </c>
      <c r="HB46" s="1">
        <f t="shared" si="48"/>
        <v>6520.7841774889557</v>
      </c>
      <c r="HC46" s="1">
        <f t="shared" si="48"/>
        <v>6585.9920192638456</v>
      </c>
      <c r="HD46" s="1">
        <f t="shared" si="48"/>
        <v>6651.8519394564837</v>
      </c>
      <c r="HE46" s="1">
        <f t="shared" si="48"/>
        <v>6718.3704588510482</v>
      </c>
      <c r="HF46" s="1">
        <f t="shared" si="48"/>
        <v>6785.5541634395586</v>
      </c>
      <c r="HG46" s="1">
        <f t="shared" si="48"/>
        <v>6853.4097050739538</v>
      </c>
      <c r="HH46" s="1">
        <f t="shared" si="48"/>
        <v>6921.9438021246933</v>
      </c>
      <c r="HI46" s="1">
        <f t="shared" si="48"/>
        <v>6991.1632401459401</v>
      </c>
      <c r="HJ46" s="1">
        <f t="shared" si="48"/>
        <v>7061.0748725473995</v>
      </c>
      <c r="HK46" s="1">
        <f t="shared" si="48"/>
        <v>7131.6856212728735</v>
      </c>
      <c r="HL46" s="1">
        <f t="shared" si="48"/>
        <v>7203.002477485602</v>
      </c>
      <c r="HM46" s="1">
        <f t="shared" si="48"/>
        <v>7275.0325022604584</v>
      </c>
      <c r="HN46" s="1">
        <f t="shared" si="48"/>
        <v>7347.7828272830629</v>
      </c>
      <c r="HO46" s="1">
        <f t="shared" si="48"/>
        <v>7421.2606555558932</v>
      </c>
      <c r="HP46" s="1">
        <f t="shared" ref="HP46:HV46" si="49">+HO46*(1+$AI$59)</f>
        <v>7495.4732621114526</v>
      </c>
      <c r="HQ46" s="1">
        <f t="shared" si="49"/>
        <v>7570.4279947325676</v>
      </c>
      <c r="HR46" s="1">
        <f t="shared" si="49"/>
        <v>7646.1322746798933</v>
      </c>
      <c r="HS46" s="1">
        <f t="shared" si="49"/>
        <v>7722.5935974266922</v>
      </c>
      <c r="HT46" s="1">
        <f t="shared" si="49"/>
        <v>7799.8195334009588</v>
      </c>
      <c r="HU46" s="1">
        <f t="shared" si="49"/>
        <v>7877.8177287349681</v>
      </c>
      <c r="HV46" s="1">
        <f t="shared" si="49"/>
        <v>7956.5959060223176</v>
      </c>
    </row>
    <row r="47" spans="2:230">
      <c r="B47" s="1" t="s">
        <v>23</v>
      </c>
      <c r="C47" s="1">
        <v>2.85</v>
      </c>
      <c r="D47" s="1">
        <v>2.71</v>
      </c>
      <c r="E47" s="1">
        <v>0.85</v>
      </c>
      <c r="F47" s="1">
        <f t="shared" si="31"/>
        <v>1.46</v>
      </c>
      <c r="G47" s="1">
        <v>1.03</v>
      </c>
      <c r="H47" s="1">
        <v>2.2999999999999998</v>
      </c>
      <c r="I47" s="1">
        <v>1.55</v>
      </c>
      <c r="J47" s="1">
        <f t="shared" si="33"/>
        <v>2.1651394963052342</v>
      </c>
      <c r="R47" s="1">
        <v>4.24</v>
      </c>
      <c r="S47" s="1">
        <v>16.38</v>
      </c>
      <c r="T47" s="1">
        <v>7.87</v>
      </c>
      <c r="U47" s="1">
        <f>+U46/U48</f>
        <v>7.0451394963052341</v>
      </c>
      <c r="V47" s="1">
        <f t="shared" ref="V47:AD47" si="50">+V46/V48</f>
        <v>6.486628607154092</v>
      </c>
      <c r="W47" s="1">
        <f t="shared" si="50"/>
        <v>6.0901800241190722</v>
      </c>
      <c r="X47" s="1">
        <f t="shared" si="50"/>
        <v>5.734575195626598</v>
      </c>
      <c r="Y47" s="1">
        <f t="shared" si="50"/>
        <v>5.4158066653053991</v>
      </c>
      <c r="Z47" s="1">
        <f t="shared" si="50"/>
        <v>5.2549247643360459</v>
      </c>
      <c r="AA47" s="1">
        <f t="shared" si="50"/>
        <v>5.1053204365966787</v>
      </c>
      <c r="AB47" s="1">
        <f t="shared" si="50"/>
        <v>4.9662474666154619</v>
      </c>
      <c r="AC47" s="1">
        <f t="shared" si="50"/>
        <v>4.8370165934852585</v>
      </c>
      <c r="AD47" s="1">
        <f t="shared" si="50"/>
        <v>4.716990712857398</v>
      </c>
      <c r="AE47" s="1">
        <f t="shared" ref="AE47" si="51">+AE46/AE48</f>
        <v>4.6055805140045409</v>
      </c>
    </row>
    <row r="48" spans="2:230">
      <c r="B48" s="1" t="s">
        <v>22</v>
      </c>
      <c r="C48" s="1">
        <f>+C46/C47</f>
        <v>221.17543859649118</v>
      </c>
      <c r="D48" s="1">
        <f>+D46/D47</f>
        <v>224.72324723247232</v>
      </c>
      <c r="E48" s="1">
        <f>+E46/E47</f>
        <v>238.82352941176472</v>
      </c>
      <c r="F48" s="1">
        <f>+F46/F47</f>
        <v>297.70547945205487</v>
      </c>
      <c r="G48" s="1">
        <f>+G46/G47</f>
        <v>232.03883495145629</v>
      </c>
      <c r="H48" s="1">
        <f>+H46/H47</f>
        <v>220.43478260869566</v>
      </c>
      <c r="I48" s="1">
        <f>+I46/I47</f>
        <v>220</v>
      </c>
      <c r="J48" s="1">
        <f>+J46/J47</f>
        <v>274.01017201317251</v>
      </c>
      <c r="R48" s="1">
        <f>+R46/R47</f>
        <v>424.52830188679241</v>
      </c>
      <c r="S48" s="1">
        <f>+S46/S47</f>
        <v>256.5934065934066</v>
      </c>
      <c r="T48" s="1">
        <f>+T46/T47</f>
        <v>238.50063532401524</v>
      </c>
      <c r="U48" s="1">
        <f>+T48</f>
        <v>238.50063532401524</v>
      </c>
      <c r="V48" s="1">
        <f t="shared" ref="V48:AE48" si="52">+U48</f>
        <v>238.50063532401524</v>
      </c>
      <c r="W48" s="1">
        <f t="shared" si="52"/>
        <v>238.50063532401524</v>
      </c>
      <c r="X48" s="1">
        <f t="shared" si="52"/>
        <v>238.50063532401524</v>
      </c>
      <c r="Y48" s="1">
        <f t="shared" si="52"/>
        <v>238.50063532401524</v>
      </c>
      <c r="Z48" s="1">
        <f t="shared" si="52"/>
        <v>238.50063532401524</v>
      </c>
      <c r="AA48" s="1">
        <f t="shared" si="52"/>
        <v>238.50063532401524</v>
      </c>
      <c r="AB48" s="1">
        <f t="shared" si="52"/>
        <v>238.50063532401524</v>
      </c>
      <c r="AC48" s="1">
        <f t="shared" si="52"/>
        <v>238.50063532401524</v>
      </c>
      <c r="AD48" s="1">
        <f t="shared" si="52"/>
        <v>238.50063532401524</v>
      </c>
      <c r="AE48" s="1">
        <f t="shared" si="52"/>
        <v>238.50063532401524</v>
      </c>
    </row>
    <row r="51" spans="2:35" s="4" customFormat="1">
      <c r="B51" s="4" t="s">
        <v>25</v>
      </c>
      <c r="G51" s="4">
        <f>+G31/C31-1</f>
        <v>-5.1886792452830233E-2</v>
      </c>
      <c r="H51" s="4">
        <f>+H31/D31-1</f>
        <v>-0.2209523809523809</v>
      </c>
      <c r="I51" s="4">
        <f>+I31/E31-1</f>
        <v>0.50212765957446814</v>
      </c>
      <c r="J51" s="4">
        <f>+J31/F31-1</f>
        <v>0.15555555555555545</v>
      </c>
      <c r="Q51" s="4">
        <f>+Q31/P31-1</f>
        <v>-8.3557951482479798E-2</v>
      </c>
      <c r="R51" s="4">
        <f>+R31/Q31-1</f>
        <v>0.75196078431372548</v>
      </c>
      <c r="S51" s="4">
        <f>+S31/R31-1</f>
        <v>0.72915500839395642</v>
      </c>
      <c r="T51" s="4">
        <f>+T31/S31-1</f>
        <v>-0.4566343042071197</v>
      </c>
      <c r="U51" s="4">
        <f>+U31/T31-1</f>
        <v>3.3948779035140042E-2</v>
      </c>
      <c r="V51" s="4">
        <f t="shared" ref="V51:AE52" si="53">+V31/U31-1</f>
        <v>1.0000000000000009E-2</v>
      </c>
      <c r="W51" s="4">
        <f t="shared" si="53"/>
        <v>1.0000000000000009E-2</v>
      </c>
      <c r="X51" s="4">
        <f t="shared" si="53"/>
        <v>1.0000000000000009E-2</v>
      </c>
      <c r="Y51" s="4">
        <f t="shared" si="53"/>
        <v>1.0000000000000009E-2</v>
      </c>
      <c r="Z51" s="4">
        <f t="shared" si="53"/>
        <v>1.0000000000000009E-2</v>
      </c>
      <c r="AA51" s="4">
        <f t="shared" si="53"/>
        <v>1.0000000000000009E-2</v>
      </c>
      <c r="AB51" s="4">
        <f t="shared" si="53"/>
        <v>1.0000000000000009E-2</v>
      </c>
      <c r="AC51" s="4">
        <f t="shared" si="53"/>
        <v>1.0000000000000009E-2</v>
      </c>
      <c r="AD51" s="4">
        <f t="shared" si="53"/>
        <v>1.0000000000000009E-2</v>
      </c>
      <c r="AE51" s="4">
        <f t="shared" si="53"/>
        <v>1.0000000000000009E-2</v>
      </c>
    </row>
    <row r="52" spans="2:35" s="4" customFormat="1">
      <c r="B52" s="4" t="s">
        <v>27</v>
      </c>
      <c r="G52" s="4">
        <f t="shared" ref="G52:J55" si="54">+G32/C32-1</f>
        <v>-0.33387888707037638</v>
      </c>
      <c r="H52" s="4">
        <f t="shared" si="54"/>
        <v>-6.521739130434745E-3</v>
      </c>
      <c r="I52" s="4">
        <f t="shared" si="54"/>
        <v>7.7777777777777724E-2</v>
      </c>
      <c r="J52" s="4">
        <f t="shared" si="54"/>
        <v>-0.11224489795918369</v>
      </c>
      <c r="Q52" s="4">
        <f t="shared" ref="Q52:R52" si="55">+Q32/P32-1</f>
        <v>-7.0044709388971671E-2</v>
      </c>
      <c r="R52" s="4">
        <f t="shared" si="55"/>
        <v>0.50641025641025639</v>
      </c>
      <c r="S52" s="4">
        <f t="shared" ref="S52:U52" si="56">+S32/R32-1</f>
        <v>0.53829787234042548</v>
      </c>
      <c r="T52" s="4">
        <f t="shared" si="56"/>
        <v>-0.36964038727524207</v>
      </c>
      <c r="U52" s="4">
        <f t="shared" si="56"/>
        <v>-0.12232583653318707</v>
      </c>
      <c r="V52" s="4">
        <f t="shared" si="53"/>
        <v>-0.10416666666666674</v>
      </c>
      <c r="W52" s="4">
        <f t="shared" si="53"/>
        <v>-9.9999999999999978E-2</v>
      </c>
      <c r="X52" s="4">
        <f t="shared" si="53"/>
        <v>-9.9999999999999978E-2</v>
      </c>
      <c r="Y52" s="4">
        <f t="shared" si="53"/>
        <v>-9.9999999999999867E-2</v>
      </c>
      <c r="Z52" s="4">
        <f t="shared" si="53"/>
        <v>-5.0000000000000044E-2</v>
      </c>
      <c r="AA52" s="4">
        <f t="shared" si="53"/>
        <v>-5.0000000000000044E-2</v>
      </c>
      <c r="AB52" s="4">
        <f t="shared" si="53"/>
        <v>-5.0000000000000044E-2</v>
      </c>
      <c r="AC52" s="4">
        <f t="shared" si="53"/>
        <v>-5.0000000000000044E-2</v>
      </c>
      <c r="AD52" s="4">
        <f t="shared" si="53"/>
        <v>-4.9999999999999933E-2</v>
      </c>
      <c r="AE52" s="4">
        <f t="shared" si="53"/>
        <v>-4.9999999999999933E-2</v>
      </c>
    </row>
    <row r="53" spans="2:35" s="4" customFormat="1">
      <c r="B53" s="4" t="s">
        <v>28</v>
      </c>
      <c r="G53" s="4">
        <f t="shared" si="54"/>
        <v>-0.36281859070464773</v>
      </c>
      <c r="H53" s="4">
        <f t="shared" si="54"/>
        <v>-0.13321167883211682</v>
      </c>
      <c r="I53" s="4">
        <f t="shared" si="54"/>
        <v>-6.6666666666666652E-2</v>
      </c>
      <c r="J53" s="4">
        <f t="shared" si="54"/>
        <v>-0.11004784688995217</v>
      </c>
      <c r="Q53" s="4">
        <f t="shared" ref="Q53:R53" si="57">+Q33/P33-1</f>
        <v>-0.16299212598425195</v>
      </c>
      <c r="R53" s="4">
        <f t="shared" si="57"/>
        <v>0.68203198494825967</v>
      </c>
      <c r="S53" s="4">
        <f t="shared" ref="S53:U53" si="58">+S33/R33-1</f>
        <v>0.99776286353467558</v>
      </c>
      <c r="T53" s="4">
        <f t="shared" si="58"/>
        <v>-0.42105263157894735</v>
      </c>
      <c r="U53" s="4">
        <f>+U33/T33-1</f>
        <v>-0.18858800773694395</v>
      </c>
      <c r="V53" s="4">
        <f t="shared" ref="V53:AE55" si="59">+V33/U33-1</f>
        <v>-0.13088671452726108</v>
      </c>
      <c r="W53" s="4">
        <f t="shared" si="59"/>
        <v>-9.9999999999999978E-2</v>
      </c>
      <c r="X53" s="4">
        <f t="shared" si="59"/>
        <v>-9.9999999999999978E-2</v>
      </c>
      <c r="Y53" s="4">
        <f t="shared" si="59"/>
        <v>-9.9999999999999978E-2</v>
      </c>
      <c r="Z53" s="4">
        <f t="shared" si="59"/>
        <v>-5.0000000000000044E-2</v>
      </c>
      <c r="AA53" s="4">
        <f t="shared" si="59"/>
        <v>-4.9999999999999933E-2</v>
      </c>
      <c r="AB53" s="4">
        <f t="shared" si="59"/>
        <v>-5.0000000000000155E-2</v>
      </c>
      <c r="AC53" s="4">
        <f t="shared" si="59"/>
        <v>-5.0000000000000044E-2</v>
      </c>
      <c r="AD53" s="4">
        <f t="shared" si="59"/>
        <v>-4.9999999999999933E-2</v>
      </c>
      <c r="AE53" s="4">
        <f t="shared" si="59"/>
        <v>-5.0000000000000155E-2</v>
      </c>
    </row>
    <row r="54" spans="2:35" s="4" customFormat="1">
      <c r="B54" s="4" t="s">
        <v>29</v>
      </c>
      <c r="G54" s="4">
        <f t="shared" si="54"/>
        <v>-0.28301886792452835</v>
      </c>
      <c r="H54" s="4">
        <f t="shared" si="54"/>
        <v>-5.7692307692307709E-2</v>
      </c>
      <c r="I54" s="4">
        <f t="shared" si="54"/>
        <v>-7.0175438596491224E-2</v>
      </c>
      <c r="J54" s="4">
        <f t="shared" si="54"/>
        <v>-0.15833333333333333</v>
      </c>
      <c r="Q54" s="4">
        <f t="shared" ref="Q54:R54" si="60">+Q34/P34-1</f>
        <v>-0.10079051383399207</v>
      </c>
      <c r="R54" s="4">
        <f t="shared" si="60"/>
        <v>0.12087912087912089</v>
      </c>
      <c r="S54" s="4">
        <f t="shared" ref="S54:U54" si="61">+S34/R34-1</f>
        <v>0.65686274509803932</v>
      </c>
      <c r="T54" s="4">
        <f t="shared" si="61"/>
        <v>-0.41183431952662719</v>
      </c>
      <c r="U54" s="4">
        <f t="shared" si="61"/>
        <v>-0.15694164989939641</v>
      </c>
      <c r="V54" s="4">
        <f t="shared" si="59"/>
        <v>-0.12649164677804292</v>
      </c>
      <c r="W54" s="4">
        <f t="shared" si="59"/>
        <v>-5.0000000000000044E-2</v>
      </c>
      <c r="X54" s="4">
        <f t="shared" si="59"/>
        <v>-4.9999999999999933E-2</v>
      </c>
      <c r="Y54" s="4">
        <f t="shared" si="59"/>
        <v>-5.0000000000000044E-2</v>
      </c>
      <c r="Z54" s="4">
        <f t="shared" si="59"/>
        <v>-5.0000000000000155E-2</v>
      </c>
      <c r="AA54" s="4">
        <f t="shared" si="59"/>
        <v>-5.0000000000000044E-2</v>
      </c>
      <c r="AB54" s="4">
        <f t="shared" si="59"/>
        <v>-5.0000000000000044E-2</v>
      </c>
      <c r="AC54" s="4">
        <f t="shared" si="59"/>
        <v>-5.0000000000000044E-2</v>
      </c>
      <c r="AD54" s="4">
        <f t="shared" si="59"/>
        <v>-5.0000000000000044E-2</v>
      </c>
      <c r="AE54" s="4">
        <f t="shared" si="59"/>
        <v>-5.0000000000000044E-2</v>
      </c>
    </row>
    <row r="55" spans="2:35" s="4" customFormat="1">
      <c r="B55" s="4" t="s">
        <v>12</v>
      </c>
      <c r="G55" s="4">
        <f t="shared" si="54"/>
        <v>-0.19205298013245031</v>
      </c>
      <c r="H55" s="4">
        <f t="shared" si="54"/>
        <v>-3.6231884057971064E-2</v>
      </c>
      <c r="I55" s="4">
        <f t="shared" si="54"/>
        <v>-9.3023255813953543E-2</v>
      </c>
      <c r="J55" s="4">
        <f t="shared" si="54"/>
        <v>-0.10273972602739723</v>
      </c>
      <c r="Q55" s="4">
        <f t="shared" ref="Q55:R55" si="62">+Q35/P35-1</f>
        <v>-5.8495821727019504E-2</v>
      </c>
      <c r="R55" s="4">
        <f t="shared" si="62"/>
        <v>0.69526627218934922</v>
      </c>
      <c r="S55" s="4">
        <f t="shared" ref="S55:U55" si="63">+S35/R35-1</f>
        <v>0.37347294938917974</v>
      </c>
      <c r="T55" s="4">
        <f t="shared" si="63"/>
        <v>-0.28335451080050822</v>
      </c>
      <c r="U55" s="4">
        <f t="shared" si="63"/>
        <v>-0.10815602836879434</v>
      </c>
      <c r="V55" s="4">
        <f t="shared" si="59"/>
        <v>-9.9999999999999867E-2</v>
      </c>
      <c r="W55" s="4">
        <f t="shared" si="59"/>
        <v>-9.9999999999999978E-2</v>
      </c>
      <c r="X55" s="4">
        <f t="shared" si="59"/>
        <v>-0.10000000000000009</v>
      </c>
      <c r="Y55" s="4">
        <f t="shared" si="59"/>
        <v>-9.9999999999999978E-2</v>
      </c>
      <c r="Z55" s="4">
        <f t="shared" si="59"/>
        <v>-9.9999999999999978E-2</v>
      </c>
      <c r="AA55" s="4">
        <f t="shared" si="59"/>
        <v>-9.9999999999999978E-2</v>
      </c>
      <c r="AB55" s="4">
        <f t="shared" si="59"/>
        <v>-9.9999999999999978E-2</v>
      </c>
      <c r="AC55" s="4">
        <f t="shared" si="59"/>
        <v>-9.9999999999999978E-2</v>
      </c>
      <c r="AD55" s="4">
        <f t="shared" si="59"/>
        <v>-0.10000000000000009</v>
      </c>
      <c r="AE55" s="4">
        <f t="shared" si="59"/>
        <v>-9.9999999999999978E-2</v>
      </c>
    </row>
    <row r="56" spans="2:35" s="3" customFormat="1">
      <c r="B56" s="3" t="s">
        <v>24</v>
      </c>
      <c r="G56" s="3">
        <f>+G36/C36-1</f>
        <v>-0.26938369781312133</v>
      </c>
      <c r="H56" s="3">
        <f>+H36/D36-1</f>
        <v>-0.11436619718309859</v>
      </c>
      <c r="I56" s="3">
        <f>+I36/E36-1</f>
        <v>7.6197957580518505E-2</v>
      </c>
      <c r="J56" s="3">
        <f>+J36/F36-1</f>
        <v>-2.9917250159134268E-2</v>
      </c>
      <c r="Q56" s="4">
        <f t="shared" ref="Q56:R56" si="64">+Q36/P36-1</f>
        <v>-0.10152505446623095</v>
      </c>
      <c r="R56" s="4">
        <f t="shared" si="64"/>
        <v>0.58535402521823476</v>
      </c>
      <c r="S56" s="4">
        <f t="shared" ref="S56:AE56" si="65">+S36/R36-1</f>
        <v>0.71092077087794436</v>
      </c>
      <c r="T56" s="4">
        <f t="shared" si="65"/>
        <v>-0.40720543536563558</v>
      </c>
      <c r="U56" s="4">
        <f t="shared" si="65"/>
        <v>-0.10481073744533254</v>
      </c>
      <c r="V56" s="4">
        <f t="shared" si="65"/>
        <v>-7.9554341921059812E-2</v>
      </c>
      <c r="W56" s="4">
        <f t="shared" si="65"/>
        <v>-6.1350902990574552E-2</v>
      </c>
      <c r="X56" s="4">
        <f t="shared" si="65"/>
        <v>-5.862710805121718E-2</v>
      </c>
      <c r="Y56" s="4">
        <f t="shared" si="65"/>
        <v>-5.5827036514009443E-2</v>
      </c>
      <c r="Z56" s="4">
        <f t="shared" si="65"/>
        <v>-2.9841782694160934E-2</v>
      </c>
      <c r="AA56" s="4">
        <f t="shared" si="65"/>
        <v>-2.860349913930571E-2</v>
      </c>
      <c r="AB56" s="4">
        <f t="shared" si="65"/>
        <v>-2.7372924681082877E-2</v>
      </c>
      <c r="AC56" s="4">
        <f t="shared" si="65"/>
        <v>-2.6151607933776022E-2</v>
      </c>
      <c r="AD56" s="4">
        <f t="shared" si="65"/>
        <v>-2.4941103673234877E-2</v>
      </c>
      <c r="AE56" s="4">
        <f t="shared" si="65"/>
        <v>-2.3742960326696871E-2</v>
      </c>
    </row>
    <row r="58" spans="2:35" s="8" customFormat="1">
      <c r="B58" s="8" t="s">
        <v>88</v>
      </c>
      <c r="F58" s="8">
        <f>+F89</f>
        <v>-936</v>
      </c>
      <c r="G58" s="8">
        <f t="shared" ref="G58:J58" si="66">+G89</f>
        <v>-1196</v>
      </c>
      <c r="H58" s="8">
        <f t="shared" si="66"/>
        <v>-1151</v>
      </c>
      <c r="I58" s="8">
        <f t="shared" si="66"/>
        <v>-1093</v>
      </c>
      <c r="J58" s="8">
        <f t="shared" si="66"/>
        <v>-1357</v>
      </c>
      <c r="U58" s="8">
        <f>+J58</f>
        <v>-1357</v>
      </c>
      <c r="V58" s="8">
        <f>+U58*0.9</f>
        <v>-1221.3</v>
      </c>
      <c r="W58" s="8">
        <f t="shared" ref="W58:AE58" si="67">+V58*0.9</f>
        <v>-1099.17</v>
      </c>
      <c r="X58" s="8">
        <f t="shared" si="67"/>
        <v>-989.25300000000004</v>
      </c>
      <c r="Y58" s="8">
        <f t="shared" si="67"/>
        <v>-890.32770000000005</v>
      </c>
      <c r="Z58" s="8">
        <f t="shared" si="67"/>
        <v>-801.29493000000002</v>
      </c>
      <c r="AA58" s="8">
        <f t="shared" si="67"/>
        <v>-721.165437</v>
      </c>
      <c r="AB58" s="8">
        <f t="shared" si="67"/>
        <v>-649.04889330000003</v>
      </c>
      <c r="AC58" s="8">
        <f t="shared" si="67"/>
        <v>-584.14400397000009</v>
      </c>
      <c r="AD58" s="8">
        <f t="shared" si="67"/>
        <v>-525.72960357300008</v>
      </c>
      <c r="AE58" s="8">
        <f t="shared" si="67"/>
        <v>-473.15664321570006</v>
      </c>
    </row>
    <row r="59" spans="2:35">
      <c r="B59" s="1" t="s">
        <v>63</v>
      </c>
      <c r="F59" s="1">
        <v>2032</v>
      </c>
      <c r="G59" s="1">
        <v>1773</v>
      </c>
      <c r="H59" s="1">
        <v>1819</v>
      </c>
      <c r="I59" s="1">
        <v>1877</v>
      </c>
      <c r="J59" s="1">
        <v>1614</v>
      </c>
      <c r="AH59" s="1" t="s">
        <v>45</v>
      </c>
      <c r="AI59" s="12">
        <v>0.01</v>
      </c>
    </row>
    <row r="60" spans="2:35">
      <c r="B60" s="1" t="s">
        <v>64</v>
      </c>
      <c r="F60" s="1">
        <v>505</v>
      </c>
      <c r="G60" s="1">
        <v>535</v>
      </c>
      <c r="H60" s="1">
        <v>531</v>
      </c>
      <c r="I60" s="1">
        <v>482</v>
      </c>
      <c r="J60" s="1">
        <v>404</v>
      </c>
      <c r="AH60" s="1" t="s">
        <v>44</v>
      </c>
      <c r="AI60" s="12">
        <v>0.08</v>
      </c>
    </row>
    <row r="61" spans="2:35">
      <c r="B61" s="1" t="s">
        <v>65</v>
      </c>
      <c r="F61" s="1">
        <v>299</v>
      </c>
      <c r="G61" s="1">
        <v>271</v>
      </c>
      <c r="H61" s="1">
        <v>302</v>
      </c>
      <c r="I61" s="1">
        <v>301</v>
      </c>
      <c r="J61" s="1">
        <v>314</v>
      </c>
      <c r="AH61" s="8" t="s">
        <v>43</v>
      </c>
      <c r="AI61" s="8">
        <f xml:space="preserve"> NPV(AI60,V46:HW46)</f>
        <v>16060.212646156344</v>
      </c>
    </row>
    <row r="62" spans="2:35">
      <c r="B62" s="1" t="s">
        <v>66</v>
      </c>
      <c r="F62" s="1">
        <v>167</v>
      </c>
      <c r="G62" s="1">
        <v>102</v>
      </c>
      <c r="H62" s="1">
        <v>85</v>
      </c>
      <c r="I62" s="1">
        <v>133</v>
      </c>
      <c r="J62" s="1">
        <v>145</v>
      </c>
      <c r="AH62" s="1" t="s">
        <v>42</v>
      </c>
      <c r="AI62" s="1">
        <f>+Main!G7-Main!G8</f>
        <v>-1357</v>
      </c>
    </row>
    <row r="63" spans="2:35">
      <c r="B63" s="1" t="s">
        <v>67</v>
      </c>
      <c r="F63" s="1">
        <v>47</v>
      </c>
      <c r="G63" s="1">
        <v>38</v>
      </c>
      <c r="H63" s="1">
        <v>64</v>
      </c>
      <c r="I63" s="1">
        <v>57</v>
      </c>
      <c r="J63" s="1">
        <v>43</v>
      </c>
      <c r="AH63" s="8" t="s">
        <v>41</v>
      </c>
      <c r="AI63" s="8">
        <f>+SUM(AI61:AI62)</f>
        <v>14703.212646156344</v>
      </c>
    </row>
    <row r="64" spans="2:35">
      <c r="B64" s="1" t="s">
        <v>68</v>
      </c>
      <c r="F64" s="1">
        <f>+SUM(F59:F63)</f>
        <v>3050</v>
      </c>
      <c r="G64" s="1">
        <f>+SUM(G59:G63)</f>
        <v>2719</v>
      </c>
      <c r="H64" s="1">
        <f>+SUM(H59:H63)</f>
        <v>2801</v>
      </c>
      <c r="I64" s="1">
        <f>+SUM(I59:I63)</f>
        <v>2850</v>
      </c>
      <c r="J64" s="1">
        <f>+SUM(J59:J63)</f>
        <v>2520</v>
      </c>
      <c r="AH64" s="1" t="s">
        <v>46</v>
      </c>
      <c r="AI64" s="1">
        <f>++Main!G5</f>
        <v>169.53680299999999</v>
      </c>
    </row>
    <row r="65" spans="2:35">
      <c r="B65" s="1" t="s">
        <v>69</v>
      </c>
      <c r="F65" s="1">
        <v>7141</v>
      </c>
      <c r="G65" s="1">
        <v>6982</v>
      </c>
      <c r="H65" s="1">
        <v>6830</v>
      </c>
      <c r="I65" s="1">
        <v>6816</v>
      </c>
      <c r="J65" s="1">
        <v>6735</v>
      </c>
      <c r="AH65" s="8" t="s">
        <v>47</v>
      </c>
      <c r="AI65" s="8">
        <f>+AI63/AI64</f>
        <v>86.725786885083266</v>
      </c>
    </row>
    <row r="66" spans="2:35">
      <c r="B66" s="1" t="s">
        <v>70</v>
      </c>
      <c r="F66" s="1">
        <v>26</v>
      </c>
      <c r="G66" s="1">
        <v>29</v>
      </c>
      <c r="H66" s="1">
        <v>25</v>
      </c>
      <c r="I66" s="1">
        <v>28</v>
      </c>
      <c r="J66" s="1">
        <v>29</v>
      </c>
      <c r="AH66" s="1" t="s">
        <v>48</v>
      </c>
      <c r="AI66" s="1">
        <f>+Main!G4</f>
        <v>78.52</v>
      </c>
    </row>
    <row r="67" spans="2:35">
      <c r="B67" s="1" t="s">
        <v>71</v>
      </c>
      <c r="F67" s="1">
        <v>2495</v>
      </c>
      <c r="G67" s="1">
        <v>2495</v>
      </c>
      <c r="H67" s="1">
        <v>2493</v>
      </c>
      <c r="I67" s="1">
        <v>2493</v>
      </c>
      <c r="J67" s="1">
        <v>2492</v>
      </c>
      <c r="AH67" s="1" t="s">
        <v>49</v>
      </c>
      <c r="AI67" s="4">
        <f>+AI65/AI66-1</f>
        <v>0.10450569135358223</v>
      </c>
    </row>
    <row r="68" spans="2:35">
      <c r="B68" s="1" t="s">
        <v>72</v>
      </c>
      <c r="F68" s="1">
        <v>538</v>
      </c>
      <c r="G68" s="1">
        <v>532</v>
      </c>
      <c r="H68" s="1">
        <v>522</v>
      </c>
      <c r="I68" s="1">
        <v>515</v>
      </c>
      <c r="J68" s="1">
        <v>507</v>
      </c>
    </row>
    <row r="69" spans="2:35">
      <c r="B69" s="1" t="s">
        <v>73</v>
      </c>
      <c r="F69" s="1">
        <v>259</v>
      </c>
      <c r="G69" s="1">
        <v>240</v>
      </c>
      <c r="H69" s="1">
        <v>241</v>
      </c>
      <c r="I69" s="1">
        <v>272</v>
      </c>
      <c r="J69" s="1">
        <v>266</v>
      </c>
      <c r="AH69" s="1" t="s">
        <v>5</v>
      </c>
      <c r="AI69" s="1">
        <f>+Main!G9</f>
        <v>14669.029771559999</v>
      </c>
    </row>
    <row r="70" spans="2:35">
      <c r="B70" s="1" t="s">
        <v>74</v>
      </c>
      <c r="F70" s="1">
        <v>867</v>
      </c>
      <c r="G70" s="1">
        <v>864</v>
      </c>
      <c r="H70" s="1">
        <v>863</v>
      </c>
      <c r="I70" s="1">
        <v>869</v>
      </c>
      <c r="J70" s="1">
        <v>917</v>
      </c>
      <c r="AH70" s="1" t="s">
        <v>40</v>
      </c>
      <c r="AI70" s="1">
        <f>+AI69/W46</f>
        <v>10.09907783273454</v>
      </c>
    </row>
    <row r="71" spans="2:35" s="8" customFormat="1">
      <c r="B71" s="8" t="s">
        <v>75</v>
      </c>
      <c r="F71" s="8">
        <f>+SUM(F64:F70)</f>
        <v>14376</v>
      </c>
      <c r="G71" s="8">
        <f>+SUM(G64:G70)</f>
        <v>13861</v>
      </c>
      <c r="H71" s="8">
        <f>+SUM(H64:H70)</f>
        <v>13775</v>
      </c>
      <c r="I71" s="8">
        <f>+SUM(I64:I70)</f>
        <v>13843</v>
      </c>
      <c r="J71" s="8">
        <f>+SUM(J64:J70)</f>
        <v>13466</v>
      </c>
    </row>
    <row r="73" spans="2:35">
      <c r="B73" s="1" t="s">
        <v>77</v>
      </c>
      <c r="F73" s="1">
        <v>520</v>
      </c>
      <c r="G73" s="1">
        <v>501</v>
      </c>
      <c r="H73" s="1">
        <v>501</v>
      </c>
      <c r="I73" s="1">
        <v>562</v>
      </c>
      <c r="J73" s="1">
        <v>603</v>
      </c>
    </row>
    <row r="74" spans="2:35">
      <c r="B74" s="1" t="s">
        <v>78</v>
      </c>
      <c r="F74" s="1">
        <v>12</v>
      </c>
      <c r="G74" s="1">
        <v>0</v>
      </c>
      <c r="H74" s="1">
        <v>0</v>
      </c>
      <c r="I74" s="1">
        <v>3</v>
      </c>
      <c r="J74" s="1">
        <v>2</v>
      </c>
    </row>
    <row r="75" spans="2:35">
      <c r="B75" s="1" t="s">
        <v>79</v>
      </c>
      <c r="F75" s="1">
        <v>130</v>
      </c>
      <c r="G75" s="1">
        <v>104</v>
      </c>
      <c r="H75" s="1">
        <v>8</v>
      </c>
      <c r="I75" s="1">
        <v>348</v>
      </c>
      <c r="J75" s="1">
        <v>118</v>
      </c>
    </row>
    <row r="76" spans="2:35">
      <c r="B76" s="1" t="s">
        <v>80</v>
      </c>
      <c r="F76" s="1">
        <v>96</v>
      </c>
      <c r="G76" s="1">
        <v>77</v>
      </c>
      <c r="H76" s="1">
        <v>78</v>
      </c>
      <c r="I76" s="1">
        <v>86</v>
      </c>
      <c r="J76" s="1">
        <v>86</v>
      </c>
    </row>
    <row r="77" spans="2:35">
      <c r="B77" s="1" t="s">
        <v>81</v>
      </c>
      <c r="F77" s="1">
        <v>42</v>
      </c>
      <c r="G77" s="1">
        <v>8</v>
      </c>
      <c r="H77" s="1">
        <v>9</v>
      </c>
      <c r="I77" s="1">
        <v>14</v>
      </c>
      <c r="J77" s="1">
        <v>9</v>
      </c>
    </row>
    <row r="78" spans="2:35">
      <c r="B78" s="1" t="s">
        <v>82</v>
      </c>
      <c r="F78" s="1">
        <f>+SUM(F73:F77)</f>
        <v>800</v>
      </c>
      <c r="G78" s="1">
        <f>+SUM(G73:G77)</f>
        <v>690</v>
      </c>
      <c r="H78" s="1">
        <f>+SUM(H73:H77)</f>
        <v>596</v>
      </c>
      <c r="I78" s="1">
        <f>+SUM(I73:I77)</f>
        <v>1013</v>
      </c>
      <c r="J78" s="1">
        <f>+SUM(J73:J77)</f>
        <v>818</v>
      </c>
    </row>
    <row r="79" spans="2:35">
      <c r="B79" s="1" t="s">
        <v>83</v>
      </c>
      <c r="F79" s="1">
        <v>2968</v>
      </c>
      <c r="G79" s="1">
        <v>2969</v>
      </c>
      <c r="H79" s="1">
        <v>2970</v>
      </c>
      <c r="I79" s="1">
        <v>2970</v>
      </c>
      <c r="J79" s="1">
        <v>2971</v>
      </c>
    </row>
    <row r="80" spans="2:35">
      <c r="B80" s="1" t="s">
        <v>84</v>
      </c>
      <c r="F80" s="1">
        <v>999</v>
      </c>
      <c r="G80" s="1">
        <v>985</v>
      </c>
      <c r="H80" s="1">
        <v>926</v>
      </c>
      <c r="I80" s="1">
        <v>927</v>
      </c>
      <c r="J80" s="1">
        <v>871</v>
      </c>
    </row>
    <row r="81" spans="2:21">
      <c r="B81" s="1" t="s">
        <v>85</v>
      </c>
      <c r="F81" s="1">
        <v>168</v>
      </c>
      <c r="G81" s="1">
        <v>171</v>
      </c>
      <c r="H81" s="1">
        <v>171</v>
      </c>
      <c r="I81" s="1">
        <v>194</v>
      </c>
      <c r="J81" s="1">
        <v>189</v>
      </c>
    </row>
    <row r="82" spans="2:21">
      <c r="B82" s="1" t="s">
        <v>86</v>
      </c>
      <c r="F82" s="1">
        <v>754</v>
      </c>
      <c r="G82" s="1">
        <v>747</v>
      </c>
      <c r="H82" s="1">
        <v>739</v>
      </c>
      <c r="I82" s="1">
        <v>732</v>
      </c>
      <c r="J82" s="1">
        <v>724</v>
      </c>
    </row>
    <row r="83" spans="2:21">
      <c r="B83" s="1" t="s">
        <v>87</v>
      </c>
      <c r="F83" s="1">
        <v>314</v>
      </c>
      <c r="G83" s="1">
        <v>303</v>
      </c>
      <c r="H83" s="1">
        <v>271</v>
      </c>
      <c r="I83" s="1">
        <v>270</v>
      </c>
      <c r="J83" s="1">
        <v>301</v>
      </c>
    </row>
    <row r="84" spans="2:21">
      <c r="B84" s="1" t="s">
        <v>40</v>
      </c>
      <c r="F84" s="1">
        <v>8373</v>
      </c>
      <c r="G84" s="1">
        <v>7996</v>
      </c>
      <c r="H84" s="1">
        <v>8102</v>
      </c>
      <c r="I84" s="1">
        <v>7737</v>
      </c>
      <c r="J84" s="1">
        <v>7592</v>
      </c>
    </row>
    <row r="85" spans="2:21" s="8" customFormat="1">
      <c r="B85" s="8" t="s">
        <v>76</v>
      </c>
      <c r="F85" s="8">
        <f>SUM(F78:F84)</f>
        <v>14376</v>
      </c>
      <c r="G85" s="8">
        <f>SUM(G78:G84)</f>
        <v>13861</v>
      </c>
      <c r="H85" s="8">
        <f>SUM(H78:H84)</f>
        <v>13775</v>
      </c>
      <c r="I85" s="8">
        <f>SUM(I78:I84)</f>
        <v>13843</v>
      </c>
      <c r="J85" s="8">
        <f>SUM(J78:J84)</f>
        <v>13466</v>
      </c>
    </row>
    <row r="87" spans="2:21">
      <c r="B87" s="1" t="s">
        <v>89</v>
      </c>
      <c r="F87" s="1">
        <f>+F79</f>
        <v>2968</v>
      </c>
      <c r="G87" s="1">
        <f t="shared" ref="G87:J87" si="68">+G79</f>
        <v>2969</v>
      </c>
      <c r="H87" s="1">
        <f t="shared" si="68"/>
        <v>2970</v>
      </c>
      <c r="I87" s="1">
        <f t="shared" si="68"/>
        <v>2970</v>
      </c>
      <c r="J87" s="1">
        <f t="shared" si="68"/>
        <v>2971</v>
      </c>
    </row>
    <row r="88" spans="2:21">
      <c r="B88" s="1" t="s">
        <v>90</v>
      </c>
      <c r="F88" s="1">
        <f>+F59</f>
        <v>2032</v>
      </c>
      <c r="G88" s="1">
        <f t="shared" ref="G88:J88" si="69">+G59</f>
        <v>1773</v>
      </c>
      <c r="H88" s="1">
        <f t="shared" si="69"/>
        <v>1819</v>
      </c>
      <c r="I88" s="1">
        <f t="shared" si="69"/>
        <v>1877</v>
      </c>
      <c r="J88" s="1">
        <f t="shared" si="69"/>
        <v>1614</v>
      </c>
    </row>
    <row r="89" spans="2:21">
      <c r="B89" s="1" t="s">
        <v>42</v>
      </c>
      <c r="F89" s="1">
        <f>+F88-F87</f>
        <v>-936</v>
      </c>
      <c r="G89" s="1">
        <f t="shared" ref="G89:J89" si="70">+G88-G87</f>
        <v>-1196</v>
      </c>
      <c r="H89" s="1">
        <f t="shared" si="70"/>
        <v>-1151</v>
      </c>
      <c r="I89" s="1">
        <f t="shared" si="70"/>
        <v>-1093</v>
      </c>
      <c r="J89" s="1">
        <f t="shared" si="70"/>
        <v>-1357</v>
      </c>
    </row>
    <row r="90" spans="2:21">
      <c r="B90" s="1" t="s">
        <v>92</v>
      </c>
      <c r="F90" s="1">
        <f>+F89/F48</f>
        <v>-3.1440469343149653</v>
      </c>
      <c r="G90" s="1">
        <f t="shared" ref="G90:J90" si="71">+G89/G48</f>
        <v>-5.1543096234309624</v>
      </c>
      <c r="H90" s="1">
        <f t="shared" si="71"/>
        <v>-5.2214990138067057</v>
      </c>
      <c r="I90" s="1">
        <f t="shared" si="71"/>
        <v>-4.9681818181818178</v>
      </c>
      <c r="J90" s="1">
        <f t="shared" si="71"/>
        <v>-4.9523708920366829</v>
      </c>
    </row>
    <row r="91" spans="2:21">
      <c r="B91" s="1" t="s">
        <v>91</v>
      </c>
      <c r="F91" s="14">
        <f>+F64/F78</f>
        <v>3.8125</v>
      </c>
      <c r="G91" s="14">
        <f t="shared" ref="G91:J91" si="72">+G64/G78</f>
        <v>3.9405797101449274</v>
      </c>
      <c r="H91" s="14">
        <f t="shared" si="72"/>
        <v>4.699664429530201</v>
      </c>
      <c r="I91" s="14">
        <f t="shared" si="72"/>
        <v>2.8134254689042448</v>
      </c>
      <c r="J91" s="14">
        <f t="shared" si="72"/>
        <v>3.0806845965770173</v>
      </c>
    </row>
    <row r="92" spans="2:21">
      <c r="B92" s="1" t="s">
        <v>93</v>
      </c>
      <c r="F92" s="1">
        <f>+F84-F67-F68</f>
        <v>5340</v>
      </c>
      <c r="G92" s="1">
        <f t="shared" ref="G92:J92" si="73">+G84-G67-G68</f>
        <v>4969</v>
      </c>
      <c r="H92" s="1">
        <f t="shared" si="73"/>
        <v>5087</v>
      </c>
      <c r="I92" s="1">
        <f t="shared" si="73"/>
        <v>4729</v>
      </c>
      <c r="J92" s="1">
        <f t="shared" si="73"/>
        <v>4593</v>
      </c>
    </row>
    <row r="93" spans="2:21">
      <c r="B93" s="1" t="s">
        <v>94</v>
      </c>
      <c r="F93" s="4">
        <f>+F87/F84</f>
        <v>0.35447270990087187</v>
      </c>
      <c r="G93" s="4">
        <f t="shared" ref="G93:J93" si="74">+G87/G84</f>
        <v>0.37131065532766383</v>
      </c>
      <c r="H93" s="4">
        <f t="shared" si="74"/>
        <v>0.36657615403604049</v>
      </c>
      <c r="I93" s="4">
        <f t="shared" si="74"/>
        <v>0.38386971694455213</v>
      </c>
      <c r="J93" s="4">
        <f t="shared" si="74"/>
        <v>0.39133298208640677</v>
      </c>
    </row>
    <row r="95" spans="2:21">
      <c r="B95" s="1" t="s">
        <v>95</v>
      </c>
      <c r="C95" s="1">
        <v>947</v>
      </c>
      <c r="D95" s="1">
        <f>1659-C95</f>
        <v>712</v>
      </c>
      <c r="E95" s="1">
        <f>2277-SUM(C95:D95)</f>
        <v>618</v>
      </c>
      <c r="F95" s="1">
        <f>+T95-SUM(C95:E95)</f>
        <v>480</v>
      </c>
      <c r="G95" s="1">
        <v>445</v>
      </c>
      <c r="H95" s="1">
        <f>920-G95</f>
        <v>475</v>
      </c>
      <c r="I95" s="1">
        <f>1851-SUM(G95:H95)</f>
        <v>931</v>
      </c>
      <c r="J95" s="1">
        <f>+U95-SUM(G95:I95)</f>
        <v>420</v>
      </c>
      <c r="S95" s="1">
        <v>3855</v>
      </c>
      <c r="T95" s="1">
        <v>2757</v>
      </c>
      <c r="U95" s="1">
        <v>2271</v>
      </c>
    </row>
    <row r="96" spans="2:21">
      <c r="B96" s="1" t="s">
        <v>96</v>
      </c>
      <c r="C96" s="1">
        <v>-69</v>
      </c>
      <c r="D96" s="1">
        <f>+-164-C96</f>
        <v>-95</v>
      </c>
      <c r="E96" s="1">
        <f>+-311-SUM(C96:D96)</f>
        <v>-147</v>
      </c>
      <c r="F96" s="1">
        <f>+T96-SUM(C96:E96)</f>
        <v>-188</v>
      </c>
      <c r="G96" s="1">
        <v>-98</v>
      </c>
      <c r="H96" s="1">
        <f>+-182-G96</f>
        <v>-84</v>
      </c>
      <c r="I96" s="1">
        <f>+-321-SUM(G96:H96)</f>
        <v>-139</v>
      </c>
      <c r="J96" s="1">
        <f>+U96-SUM(G96:I96)</f>
        <v>-197</v>
      </c>
      <c r="S96" s="1">
        <v>-453</v>
      </c>
      <c r="T96" s="1">
        <v>-499</v>
      </c>
      <c r="U96" s="1">
        <v>-518</v>
      </c>
    </row>
    <row r="97" spans="2:21">
      <c r="B97" s="1" t="s">
        <v>97</v>
      </c>
      <c r="C97" s="1">
        <f t="shared" ref="C97:I97" si="75">SUM(C95:C96)</f>
        <v>878</v>
      </c>
      <c r="D97" s="1">
        <f t="shared" si="75"/>
        <v>617</v>
      </c>
      <c r="E97" s="1">
        <f t="shared" si="75"/>
        <v>471</v>
      </c>
      <c r="F97" s="1">
        <f t="shared" si="75"/>
        <v>292</v>
      </c>
      <c r="G97" s="1">
        <f t="shared" si="75"/>
        <v>347</v>
      </c>
      <c r="H97" s="1">
        <f t="shared" si="75"/>
        <v>391</v>
      </c>
      <c r="I97" s="1">
        <f t="shared" si="75"/>
        <v>792</v>
      </c>
      <c r="J97" s="1">
        <f>SUM(J95:J96)</f>
        <v>223</v>
      </c>
      <c r="S97" s="1">
        <f>SUM(S95:S96)</f>
        <v>3402</v>
      </c>
      <c r="T97" s="1">
        <f>SUM(T95:T96)</f>
        <v>2258</v>
      </c>
      <c r="U97" s="1">
        <f>SUM(U95:U96)</f>
        <v>1753</v>
      </c>
    </row>
    <row r="99" spans="2:21">
      <c r="B99" s="1" t="s">
        <v>98</v>
      </c>
      <c r="F99" s="1">
        <f t="shared" ref="F99:I99" si="76">+SUM(C97:F97)</f>
        <v>2258</v>
      </c>
      <c r="G99" s="1">
        <f t="shared" si="76"/>
        <v>1727</v>
      </c>
      <c r="H99" s="1">
        <f t="shared" si="76"/>
        <v>1501</v>
      </c>
      <c r="I99" s="1">
        <f t="shared" si="76"/>
        <v>1822</v>
      </c>
      <c r="J99" s="1">
        <f>+SUM(G97:J97)</f>
        <v>1753</v>
      </c>
    </row>
    <row r="100" spans="2:21">
      <c r="B100" s="1" t="s">
        <v>99</v>
      </c>
      <c r="F100" s="1">
        <f>SUM(C46:F46)</f>
        <v>1877</v>
      </c>
      <c r="G100" s="1">
        <f>SUM(D46:G46)</f>
        <v>1485.65</v>
      </c>
      <c r="H100" s="1">
        <f>SUM(E46:H46)</f>
        <v>1383.65</v>
      </c>
      <c r="I100" s="1">
        <f>SUM(F46:I46)</f>
        <v>1521.65</v>
      </c>
      <c r="J100" s="1">
        <f>SUM(G46:J46)</f>
        <v>1680.2702458151109</v>
      </c>
    </row>
    <row r="102" spans="2:21">
      <c r="J102" s="15">
        <f>CORREL(F99:J99,F100:J100)</f>
        <v>0.91379592776489971</v>
      </c>
    </row>
  </sheetData>
  <pageMargins left="0.7" right="0.7" top="0.75" bottom="0.75" header="0.3" footer="0.3"/>
  <ignoredErrors>
    <ignoredError sqref="F36:F47 F49:F52" formula="1"/>
    <ignoredError sqref="J3:J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2024-12-12T03:37:15Z</dcterms:created>
  <dcterms:modified xsi:type="dcterms:W3CDTF">2025-04-28T00:36:34Z</dcterms:modified>
</cp:coreProperties>
</file>