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/Library/CloudStorage/Dropbox/models/Basic Materials/paper/"/>
    </mc:Choice>
  </mc:AlternateContent>
  <xr:revisionPtr revIDLastSave="0" documentId="13_ncr:1_{19BDDDE5-8D97-0844-8497-C90577E20595}" xr6:coauthVersionLast="47" xr6:coauthVersionMax="47" xr10:uidLastSave="{00000000-0000-0000-0000-000000000000}"/>
  <bookViews>
    <workbookView xWindow="22160" yWindow="11340" windowWidth="27640" windowHeight="24700" xr2:uid="{6F4F8E5C-6D53-F946-BBA4-3EE12BEFA69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J24" i="2"/>
  <c r="J23" i="2"/>
  <c r="E52" i="2"/>
  <c r="E51" i="2"/>
  <c r="E53" i="2" s="1"/>
  <c r="I52" i="2"/>
  <c r="I51" i="2"/>
  <c r="I53" i="2" s="1"/>
  <c r="F47" i="2"/>
  <c r="F37" i="2"/>
  <c r="I47" i="2"/>
  <c r="I37" i="2"/>
  <c r="Y24" i="2"/>
  <c r="X24" i="2"/>
  <c r="W24" i="2"/>
  <c r="V24" i="2"/>
  <c r="U24" i="2"/>
  <c r="T24" i="2"/>
  <c r="S24" i="2"/>
  <c r="I24" i="2"/>
  <c r="H24" i="2"/>
  <c r="G24" i="2"/>
  <c r="E24" i="2"/>
  <c r="D24" i="2"/>
  <c r="C24" i="2"/>
  <c r="Y23" i="2"/>
  <c r="X23" i="2"/>
  <c r="W23" i="2"/>
  <c r="V23" i="2"/>
  <c r="U23" i="2"/>
  <c r="T23" i="2"/>
  <c r="S23" i="2"/>
  <c r="I23" i="2"/>
  <c r="H23" i="2"/>
  <c r="G23" i="2"/>
  <c r="E23" i="2"/>
  <c r="D23" i="2"/>
  <c r="C23" i="2"/>
  <c r="T22" i="2"/>
  <c r="U22" i="2"/>
  <c r="V22" i="2"/>
  <c r="S15" i="2"/>
  <c r="S18" i="2" s="1"/>
  <c r="S20" i="2" s="1"/>
  <c r="T15" i="2"/>
  <c r="T18" i="2" s="1"/>
  <c r="T20" i="2" s="1"/>
  <c r="U15" i="2"/>
  <c r="U18" i="2" s="1"/>
  <c r="U20" i="2" s="1"/>
  <c r="W22" i="2"/>
  <c r="V15" i="2"/>
  <c r="V18" i="2" s="1"/>
  <c r="V20" i="2" s="1"/>
  <c r="F19" i="2"/>
  <c r="F17" i="2"/>
  <c r="F16" i="2"/>
  <c r="F14" i="2"/>
  <c r="F13" i="2"/>
  <c r="F12" i="2"/>
  <c r="F11" i="2"/>
  <c r="X22" i="2"/>
  <c r="Y22" i="2"/>
  <c r="W15" i="2"/>
  <c r="W18" i="2" s="1"/>
  <c r="W20" i="2" s="1"/>
  <c r="X15" i="2"/>
  <c r="X18" i="2" s="1"/>
  <c r="X20" i="2" s="1"/>
  <c r="Y15" i="2"/>
  <c r="Y18" i="2" s="1"/>
  <c r="Y20" i="2" s="1"/>
  <c r="G22" i="2"/>
  <c r="C15" i="2"/>
  <c r="C18" i="2" s="1"/>
  <c r="C20" i="2" s="1"/>
  <c r="G15" i="2"/>
  <c r="G18" i="2" s="1"/>
  <c r="G20" i="2" s="1"/>
  <c r="H22" i="2"/>
  <c r="D15" i="2"/>
  <c r="D18" i="2" s="1"/>
  <c r="D20" i="2" s="1"/>
  <c r="H15" i="2"/>
  <c r="H18" i="2" s="1"/>
  <c r="H20" i="2" s="1"/>
  <c r="I22" i="2"/>
  <c r="E15" i="2"/>
  <c r="E18" i="2" s="1"/>
  <c r="E20" i="2" s="1"/>
  <c r="I15" i="2"/>
  <c r="I18" i="2" s="1"/>
  <c r="I20" i="2" s="1"/>
  <c r="R3" i="2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H6" i="1"/>
  <c r="H7" i="1" s="1"/>
  <c r="G5" i="1"/>
  <c r="G8" i="1" s="1"/>
  <c r="Z14" i="2" l="1"/>
  <c r="Z11" i="2"/>
  <c r="Z22" i="2" s="1"/>
  <c r="F24" i="2"/>
  <c r="Z13" i="2"/>
  <c r="Z24" i="2" s="1"/>
  <c r="F23" i="2"/>
  <c r="J22" i="2"/>
  <c r="F20" i="2"/>
  <c r="Z12" i="2"/>
  <c r="F15" i="2"/>
  <c r="F18" i="2"/>
  <c r="AA11" i="2" l="1"/>
  <c r="Z23" i="2"/>
  <c r="AA13" i="2"/>
  <c r="AA24" i="2" s="1"/>
  <c r="AB11" i="2"/>
  <c r="AA14" i="2"/>
  <c r="AA22" i="2"/>
  <c r="AA12" i="2"/>
  <c r="AA23" i="2" s="1"/>
  <c r="J15" i="2"/>
  <c r="AA15" i="2" l="1"/>
  <c r="Z17" i="2"/>
  <c r="Z16" i="2"/>
  <c r="AA16" i="2" s="1"/>
  <c r="J18" i="2"/>
  <c r="Z15" i="2"/>
  <c r="AB12" i="2"/>
  <c r="AC12" i="2" s="1"/>
  <c r="AB14" i="2"/>
  <c r="AB22" i="2"/>
  <c r="AB13" i="2"/>
  <c r="AC11" i="2"/>
  <c r="AA17" i="2" l="1"/>
  <c r="AB15" i="2"/>
  <c r="AB17" i="2" s="1"/>
  <c r="AD11" i="2"/>
  <c r="AC22" i="2"/>
  <c r="AC23" i="2"/>
  <c r="Z19" i="2"/>
  <c r="Z18" i="2"/>
  <c r="AB16" i="2"/>
  <c r="AC14" i="2"/>
  <c r="AD12" i="2"/>
  <c r="AA18" i="2"/>
  <c r="AC13" i="2"/>
  <c r="AB24" i="2"/>
  <c r="AB23" i="2"/>
  <c r="AD14" i="2" l="1"/>
  <c r="AA19" i="2"/>
  <c r="AA20" i="2" s="1"/>
  <c r="AD13" i="2"/>
  <c r="AD15" i="2" s="1"/>
  <c r="AC24" i="2"/>
  <c r="J20" i="2"/>
  <c r="Z20" i="2" s="1"/>
  <c r="AE12" i="2"/>
  <c r="AE14" i="2"/>
  <c r="AB18" i="2"/>
  <c r="AC15" i="2"/>
  <c r="AC16" i="2" s="1"/>
  <c r="AE11" i="2"/>
  <c r="AD22" i="2"/>
  <c r="AD23" i="2"/>
  <c r="AB19" i="2" l="1"/>
  <c r="AB20" i="2" s="1"/>
  <c r="AD16" i="2"/>
  <c r="AF11" i="2"/>
  <c r="AE23" i="2"/>
  <c r="AE22" i="2"/>
  <c r="AE13" i="2"/>
  <c r="AE15" i="2" s="1"/>
  <c r="AD24" i="2"/>
  <c r="AC17" i="2"/>
  <c r="AD17" i="2" s="1"/>
  <c r="AE16" i="2" l="1"/>
  <c r="AG11" i="2"/>
  <c r="AF22" i="2"/>
  <c r="AE17" i="2"/>
  <c r="AD18" i="2"/>
  <c r="AC18" i="2"/>
  <c r="AC19" i="2" s="1"/>
  <c r="AC20" i="2" s="1"/>
  <c r="AF12" i="2"/>
  <c r="AF23" i="2" s="1"/>
  <c r="AF13" i="2"/>
  <c r="AE24" i="2"/>
  <c r="AF14" i="2"/>
  <c r="AG14" i="2" s="1"/>
  <c r="AD19" i="2" l="1"/>
  <c r="AD20" i="2" s="1"/>
  <c r="AF15" i="2"/>
  <c r="AF17" i="2" s="1"/>
  <c r="AG12" i="2"/>
  <c r="AG23" i="2" s="1"/>
  <c r="AG13" i="2"/>
  <c r="AF24" i="2"/>
  <c r="AH11" i="2"/>
  <c r="AG22" i="2"/>
  <c r="AE18" i="2"/>
  <c r="AE19" i="2" s="1"/>
  <c r="AE20" i="2" s="1"/>
  <c r="AI11" i="2" l="1"/>
  <c r="AH22" i="2"/>
  <c r="AH13" i="2"/>
  <c r="AG24" i="2"/>
  <c r="AH14" i="2"/>
  <c r="AI14" i="2" s="1"/>
  <c r="AG15" i="2"/>
  <c r="AG17" i="2" s="1"/>
  <c r="AH12" i="2"/>
  <c r="AI12" i="2" s="1"/>
  <c r="AF16" i="2"/>
  <c r="AF18" i="2" s="1"/>
  <c r="AH23" i="2" l="1"/>
  <c r="AI13" i="2"/>
  <c r="AI24" i="2" s="1"/>
  <c r="AH24" i="2"/>
  <c r="AF19" i="2"/>
  <c r="AF20" i="2" s="1"/>
  <c r="AH15" i="2"/>
  <c r="AG16" i="2"/>
  <c r="AG18" i="2"/>
  <c r="AI23" i="2"/>
  <c r="AI22" i="2"/>
  <c r="AI15" i="2"/>
  <c r="AH16" i="2" l="1"/>
  <c r="AI16" i="2" s="1"/>
  <c r="AG19" i="2"/>
  <c r="AG20" i="2"/>
  <c r="AH17" i="2"/>
  <c r="AI17" i="2" s="1"/>
  <c r="AI18" i="2" l="1"/>
  <c r="AH18" i="2"/>
  <c r="AH19" i="2" s="1"/>
  <c r="AH20" i="2" s="1"/>
  <c r="AI19" i="2" l="1"/>
  <c r="AI20" i="2" s="1"/>
</calcChain>
</file>

<file path=xl/sharedStrings.xml><?xml version="1.0" encoding="utf-8"?>
<sst xmlns="http://schemas.openxmlformats.org/spreadsheetml/2006/main" count="122" uniqueCount="116">
  <si>
    <t>P</t>
  </si>
  <si>
    <t>S</t>
  </si>
  <si>
    <t>MC</t>
  </si>
  <si>
    <t>C</t>
  </si>
  <si>
    <t>D</t>
  </si>
  <si>
    <t>EV</t>
  </si>
  <si>
    <t>$m</t>
  </si>
  <si>
    <t>Q324</t>
  </si>
  <si>
    <t>Q123</t>
  </si>
  <si>
    <t>Q223</t>
  </si>
  <si>
    <t>Q323</t>
  </si>
  <si>
    <t>Q423</t>
  </si>
  <si>
    <t>Q124</t>
  </si>
  <si>
    <t>Q224</t>
  </si>
  <si>
    <t>Q424</t>
  </si>
  <si>
    <t>Q125</t>
  </si>
  <si>
    <t>Q225</t>
  </si>
  <si>
    <t>Q325</t>
  </si>
  <si>
    <t>Q425</t>
  </si>
  <si>
    <t>SGA</t>
  </si>
  <si>
    <t>Other Opex</t>
  </si>
  <si>
    <t>Operating Income</t>
  </si>
  <si>
    <t>Interest Exp</t>
  </si>
  <si>
    <t>Other nonOp</t>
  </si>
  <si>
    <t>EBT</t>
  </si>
  <si>
    <t>T</t>
  </si>
  <si>
    <t xml:space="preserve">Net Income </t>
  </si>
  <si>
    <t>S Y/Y</t>
  </si>
  <si>
    <t xml:space="preserve">CEO </t>
  </si>
  <si>
    <t xml:space="preserve">CFO </t>
  </si>
  <si>
    <t xml:space="preserve">Pulp &amp; Paperboard Segment </t>
  </si>
  <si>
    <t xml:space="preserve">Consumer Tissue Segment </t>
  </si>
  <si>
    <t xml:space="preserve">Key costs </t>
  </si>
  <si>
    <t xml:space="preserve">Raw Material Costs </t>
  </si>
  <si>
    <t>pulp, chemicals, frieght</t>
  </si>
  <si>
    <t xml:space="preserve">energy </t>
  </si>
  <si>
    <t>Labor &amp; SGA</t>
  </si>
  <si>
    <t>Pricing Power</t>
  </si>
  <si>
    <t xml:space="preserve">fueld/electricity costs, affect paper production </t>
  </si>
  <si>
    <t xml:space="preserve">employee wages and admin costs </t>
  </si>
  <si>
    <t xml:space="preserve">ability to pass cost increases to customers </t>
  </si>
  <si>
    <t>made from trees (wood fiber from softwood &amp; hardwood trees)</t>
  </si>
  <si>
    <t>process</t>
  </si>
  <si>
    <t>the sheets are shipped to packaging companies that cut and print them into McDonalds fry cartons, chipotle bowls, starbucks cup holders, frozen food boxes</t>
  </si>
  <si>
    <t>the pulp is bleached (to make it white and food safe)</t>
  </si>
  <si>
    <t>why trees?</t>
  </si>
  <si>
    <t xml:space="preserve">softwood trees (pine, spruce) --&gt; strong fibers for durable packaging </t>
  </si>
  <si>
    <t xml:space="preserve">hardwood trees (oak, maple) --&gt; shorter fibers for smooth, high quality printing paper </t>
  </si>
  <si>
    <t>Tissue products (Toilet paper, napkins, paper towels)</t>
  </si>
  <si>
    <t xml:space="preserve">made from trees or recycled paper </t>
  </si>
  <si>
    <t>wood pulp broken doen into extra soft fibers 9sometimes mixed with recycled materials)</t>
  </si>
  <si>
    <t>the pulp is turned into huge (parent rolls) of tissue paper</t>
  </si>
  <si>
    <t xml:space="preserve">these are shipped to retailers &amp; manufacturers that cut, emboss, and package them into toilet paper rolls &amp; napkins </t>
  </si>
  <si>
    <t>softwood trees (pine, spruce) --&gt; stronger, more abosrbant paper towels</t>
  </si>
  <si>
    <t xml:space="preserve">hardwood trees (oak, maple) --&gt; softer fibers for toilet paper &amp; napkins </t>
  </si>
  <si>
    <t xml:space="preserve">recycled paper --&gt; used in some tissue products </t>
  </si>
  <si>
    <t xml:space="preserve">GM % </t>
  </si>
  <si>
    <t>SG&amp;A % S</t>
  </si>
  <si>
    <t xml:space="preserve">Cash </t>
  </si>
  <si>
    <t>Paperboard Type</t>
  </si>
  <si>
    <t>Description</t>
  </si>
  <si>
    <t>Common Uses</t>
  </si>
  <si>
    <t>SBS (Solid Bleached Sulfate)</t>
  </si>
  <si>
    <t>CRB (Coated Recycled Board)</t>
  </si>
  <si>
    <t>Cereal boxes, snack food packaging, detergent boxes.</t>
  </si>
  <si>
    <t>FBB (Folding Box Board)</t>
  </si>
  <si>
    <t>Mix of virgin and recycled fibers, less white than SBS.</t>
  </si>
  <si>
    <t>Toothpaste boxes, pharmaceutical packaging, retail packaging.</t>
  </si>
  <si>
    <t>CUK (Coated Unbleached Kraft)</t>
  </si>
  <si>
    <t>Beer cartons, six-pack carriers, fast food packaging.</t>
  </si>
  <si>
    <t>100% virgin wood pulp, fully bleached, premium quality. White throughout, smooth, strong, and moisture-resistant.</t>
  </si>
  <si>
    <t>High-end packaging: Cosmetics, medicine boxes, frozen food, Starbucks cup sleeves, McDonald's fry cartons.</t>
  </si>
  <si>
    <t>Made from recycled fibers, cheaper than SBS, lower quality.</t>
  </si>
  <si>
    <t>Brownish color, strong &amp; durable, but not as white.</t>
  </si>
  <si>
    <t xml:space="preserve">terminal </t>
  </si>
  <si>
    <t xml:space="preserve">discount </t>
  </si>
  <si>
    <t>Segment</t>
  </si>
  <si>
    <t>Key Competitors</t>
  </si>
  <si>
    <t>SBS (Solid Bleached Sulfate) Paperboard</t>
  </si>
  <si>
    <r>
      <t>Premium, high-quality packaging for </t>
    </r>
    <r>
      <rPr>
        <b/>
        <sz val="10"/>
        <color rgb="FF000000"/>
        <rFont val="ArialMT"/>
        <family val="2"/>
      </rPr>
      <t>food, cosmetics, pharma, and frozen foods</t>
    </r>
    <r>
      <rPr>
        <sz val="10"/>
        <color rgb="FF000000"/>
        <rFont val="ArialMT"/>
        <family val="2"/>
      </rPr>
      <t>.</t>
    </r>
  </si>
  <si>
    <t>Clearwater Paper (CLW), WestRock (WRK), Graphic Packaging (GPK), International Paper (IP)</t>
  </si>
  <si>
    <t>Coated Recycled Board (CRB)</t>
  </si>
  <si>
    <r>
      <t>Made from recycled fibers, used in </t>
    </r>
    <r>
      <rPr>
        <b/>
        <sz val="10"/>
        <color rgb="FF000000"/>
        <rFont val="ArialMT"/>
        <family val="2"/>
      </rPr>
      <t>cereal boxes, snack packaging, detergent boxes.</t>
    </r>
  </si>
  <si>
    <t>Graphic Packaging (GPK), Sonoco (SON), WestRock (WRK)</t>
  </si>
  <si>
    <t>Folding Boxboard (FBB)</t>
  </si>
  <si>
    <r>
      <t>Mix of virgin &amp; recycled fibers, commonly used for </t>
    </r>
    <r>
      <rPr>
        <b/>
        <sz val="10"/>
        <color rgb="FF000000"/>
        <rFont val="ArialMT"/>
        <family val="2"/>
      </rPr>
      <t>toothpaste, retail boxes.</t>
    </r>
  </si>
  <si>
    <t>Stora Enso, Metsä Board, International Paper (IP)</t>
  </si>
  <si>
    <t>Corrugated Packaging (Cardboard Boxes)</t>
  </si>
  <si>
    <t>Shipping boxes (Amazon, e-commerce, logistics).</t>
  </si>
  <si>
    <t>WestRock (WRK), Packaging Corporation of America (PKG), International Paper (IP)</t>
  </si>
  <si>
    <t>E</t>
  </si>
  <si>
    <t>TL + E</t>
  </si>
  <si>
    <t>Receivables</t>
  </si>
  <si>
    <t>Inventories</t>
  </si>
  <si>
    <t>OCA</t>
  </si>
  <si>
    <t xml:space="preserve">disc ops </t>
  </si>
  <si>
    <t>PPE</t>
  </si>
  <si>
    <t>Goodwill</t>
  </si>
  <si>
    <t>OA</t>
  </si>
  <si>
    <t xml:space="preserve">Long term assets </t>
  </si>
  <si>
    <t xml:space="preserve">Total Assets </t>
  </si>
  <si>
    <t xml:space="preserve">current debt </t>
  </si>
  <si>
    <t>A/P</t>
  </si>
  <si>
    <t xml:space="preserve">disc op </t>
  </si>
  <si>
    <t>LTD</t>
  </si>
  <si>
    <t xml:space="preserve">Liability pension </t>
  </si>
  <si>
    <t>Deferred tax liab</t>
  </si>
  <si>
    <t xml:space="preserve">LT Liabilities disc ops </t>
  </si>
  <si>
    <t xml:space="preserve">CFFO </t>
  </si>
  <si>
    <t>Capex</t>
  </si>
  <si>
    <t xml:space="preserve">FCF </t>
  </si>
  <si>
    <t>paperboard sales price (per short ton)</t>
  </si>
  <si>
    <t xml:space="preserve">paperboard shipments </t>
  </si>
  <si>
    <t>wood chips broken down into pulp using water &amp; chemicals</t>
  </si>
  <si>
    <t>2/13/25 update</t>
  </si>
  <si>
    <t>stock down 13%after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</si>
</sst>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9">
    <font>
      <sz val="10"/>
      <color theme="1"/>
      <name val="ArialMT"/>
      <family val="2"/>
    </font>
    <font>
      <b/>
      <sz val="10"/>
      <color theme="1"/>
      <name val="ArialMT"/>
    </font>
    <font>
      <b/>
      <u/>
      <sz val="10"/>
      <color theme="1"/>
      <name val="ArialMT"/>
    </font>
    <font>
      <b/>
      <i/>
      <sz val="10"/>
      <color theme="1"/>
      <name val="ArialMT"/>
    </font>
    <font>
      <u/>
      <sz val="10"/>
      <color theme="1"/>
      <name val="ArialMT"/>
      <family val="2"/>
    </font>
    <font>
      <b/>
      <sz val="10"/>
      <color rgb="FF000000"/>
      <name val="ArialMT"/>
      <family val="2"/>
    </font>
    <font>
      <sz val="10"/>
      <color rgb="FF000000"/>
      <name val="ArialMT"/>
      <family val="2"/>
    </font>
    <font>
      <sz val="10"/>
      <color rgb="FF000000"/>
      <name val="ArialMT"/>
    </font>
    <font>
      <sz val="10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9" fontId="0" fillId="0" borderId="0" xfId="0" applyNumberFormat="1"/>
    <xf numFmtId="9" fontId="1" fillId="0" borderId="0" xfId="0" applyNumberFormat="1" applyFont="1"/>
    <xf numFmtId="3" fontId="0" fillId="0" borderId="0" xfId="0" applyNumberFormat="1" applyAlignment="1">
      <alignment horizontal="left" indent="1"/>
    </xf>
    <xf numFmtId="3" fontId="1" fillId="0" borderId="0" xfId="0" applyNumberFormat="1" applyFont="1"/>
    <xf numFmtId="3" fontId="2" fillId="0" borderId="0" xfId="0" applyNumberFormat="1" applyFont="1"/>
    <xf numFmtId="3" fontId="3" fillId="0" borderId="0" xfId="0" applyNumberFormat="1" applyFont="1"/>
    <xf numFmtId="14" fontId="0" fillId="0" borderId="0" xfId="0" applyNumberFormat="1"/>
    <xf numFmtId="3" fontId="4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3" fontId="8" fillId="0" borderId="0" xfId="0" applyNumberFormat="1" applyFont="1"/>
    <xf numFmtId="1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16933</xdr:colOff>
      <xdr:row>0</xdr:row>
      <xdr:rowOff>50800</xdr:rowOff>
    </xdr:from>
    <xdr:to>
      <xdr:col>9</xdr:col>
      <xdr:colOff>16933</xdr:colOff>
      <xdr:row>55</xdr:row>
      <xdr:rowOff>93133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CECA29B-D0B0-3F97-71D1-40FE7730DB2A}"/>
            </a:ext>
          </a:extLst>
        </xdr:cNvPr>
        <xdr:cNvCxnSpPr/>
      </xdr:nvCxnSpPr>
      <xdr:spPr>
        <a:xfrm>
          <a:off x="4191000" y="50800"/>
          <a:ext cx="0" cy="8001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8467</xdr:colOff>
      <xdr:row>0</xdr:row>
      <xdr:rowOff>16933</xdr:rowOff>
    </xdr:from>
    <xdr:to>
      <xdr:col>25</xdr:col>
      <xdr:colOff>8467</xdr:colOff>
      <xdr:row>55</xdr:row>
      <xdr:rowOff>59266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DBB166B-3B51-E844-9413-E3361688B422}"/>
            </a:ext>
          </a:extLst>
        </xdr:cNvPr>
        <xdr:cNvCxnSpPr/>
      </xdr:nvCxnSpPr>
      <xdr:spPr>
        <a:xfrm>
          <a:off x="12606867" y="16933"/>
          <a:ext cx="0" cy="8001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744AD-5893-F04A-A521-F9282DEB39DB}">
  <dimension ref="B2:J53"/>
  <sheetViews>
    <sheetView tabSelected="1" topLeftCell="B38" zoomScale="200" workbookViewId="0">
      <selection activeCell="C41" sqref="C41"/>
    </sheetView>
  </sheetViews>
  <sheetFormatPr baseColWidth="10" defaultRowHeight="13"/>
  <cols>
    <col min="1" max="1" width="1.33203125" style="1" customWidth="1"/>
    <col min="2" max="2" width="127" style="1" bestFit="1" customWidth="1"/>
    <col min="3" max="3" width="87.5" style="1" bestFit="1" customWidth="1"/>
    <col min="4" max="5" width="10.83203125" style="1"/>
    <col min="6" max="6" width="3.6640625" style="1" bestFit="1" customWidth="1"/>
    <col min="7" max="7" width="5.6640625" style="1" bestFit="1" customWidth="1"/>
    <col min="8" max="8" width="5.5" style="1" bestFit="1" customWidth="1"/>
    <col min="9" max="16384" width="10.83203125" style="1"/>
  </cols>
  <sheetData>
    <row r="2" spans="2:10">
      <c r="B2" s="1" t="s">
        <v>28</v>
      </c>
      <c r="F2" s="1" t="s">
        <v>6</v>
      </c>
    </row>
    <row r="3" spans="2:10">
      <c r="B3" s="1" t="s">
        <v>29</v>
      </c>
      <c r="F3" s="1" t="s">
        <v>0</v>
      </c>
      <c r="G3" s="1">
        <v>27.61</v>
      </c>
      <c r="J3" s="11" t="s">
        <v>114</v>
      </c>
    </row>
    <row r="4" spans="2:10">
      <c r="F4" s="1" t="s">
        <v>1</v>
      </c>
      <c r="G4" s="1">
        <v>16.255627</v>
      </c>
      <c r="H4" s="1" t="s">
        <v>15</v>
      </c>
      <c r="J4" s="1" t="s">
        <v>115</v>
      </c>
    </row>
    <row r="5" spans="2:10">
      <c r="F5" s="1" t="s">
        <v>2</v>
      </c>
      <c r="G5" s="1">
        <f>+G3*G4</f>
        <v>448.81786147000003</v>
      </c>
    </row>
    <row r="6" spans="2:10">
      <c r="F6" s="1" t="s">
        <v>3</v>
      </c>
      <c r="G6" s="1">
        <v>44</v>
      </c>
      <c r="H6" s="1" t="str">
        <f>+H4</f>
        <v>Q125</v>
      </c>
    </row>
    <row r="7" spans="2:10">
      <c r="F7" s="1" t="s">
        <v>4</v>
      </c>
      <c r="G7" s="1">
        <f>0.6+281.6</f>
        <v>282.20000000000005</v>
      </c>
      <c r="H7" s="1" t="str">
        <f>+H6</f>
        <v>Q125</v>
      </c>
    </row>
    <row r="8" spans="2:10">
      <c r="F8" s="1" t="s">
        <v>5</v>
      </c>
      <c r="G8" s="1">
        <f>+G5-G6+G7</f>
        <v>687.01786147000007</v>
      </c>
    </row>
    <row r="11" spans="2:10">
      <c r="B11" s="11" t="s">
        <v>32</v>
      </c>
    </row>
    <row r="12" spans="2:10">
      <c r="B12" s="1" t="s">
        <v>33</v>
      </c>
      <c r="C12" s="1" t="s">
        <v>34</v>
      </c>
    </row>
    <row r="13" spans="2:10">
      <c r="B13" s="1" t="s">
        <v>35</v>
      </c>
      <c r="C13" s="1" t="s">
        <v>38</v>
      </c>
    </row>
    <row r="14" spans="2:10">
      <c r="B14" s="1" t="s">
        <v>36</v>
      </c>
      <c r="C14" s="1" t="s">
        <v>39</v>
      </c>
    </row>
    <row r="15" spans="2:10">
      <c r="B15" s="1" t="s">
        <v>37</v>
      </c>
      <c r="C15" s="1" t="s">
        <v>40</v>
      </c>
    </row>
    <row r="19" spans="2:2">
      <c r="B19" s="1" t="s">
        <v>31</v>
      </c>
    </row>
    <row r="21" spans="2:2">
      <c r="B21" s="8" t="s">
        <v>30</v>
      </c>
    </row>
    <row r="22" spans="2:2">
      <c r="B22" s="1" t="s">
        <v>41</v>
      </c>
    </row>
    <row r="23" spans="2:2">
      <c r="B23" s="9" t="s">
        <v>42</v>
      </c>
    </row>
    <row r="24" spans="2:2">
      <c r="B24" s="6" t="s">
        <v>113</v>
      </c>
    </row>
    <row r="25" spans="2:2">
      <c r="B25" s="6" t="s">
        <v>44</v>
      </c>
    </row>
    <row r="26" spans="2:2">
      <c r="B26" s="6" t="s">
        <v>43</v>
      </c>
    </row>
    <row r="27" spans="2:2">
      <c r="B27" s="9" t="s">
        <v>45</v>
      </c>
    </row>
    <row r="28" spans="2:2">
      <c r="B28" s="6" t="s">
        <v>46</v>
      </c>
    </row>
    <row r="29" spans="2:2">
      <c r="B29" s="6" t="s">
        <v>47</v>
      </c>
    </row>
    <row r="31" spans="2:2">
      <c r="B31" s="8" t="s">
        <v>48</v>
      </c>
    </row>
    <row r="32" spans="2:2">
      <c r="B32" s="1" t="s">
        <v>49</v>
      </c>
    </row>
    <row r="33" spans="2:5">
      <c r="B33" s="9" t="s">
        <v>42</v>
      </c>
    </row>
    <row r="34" spans="2:5">
      <c r="B34" s="6" t="s">
        <v>50</v>
      </c>
    </row>
    <row r="35" spans="2:5">
      <c r="B35" s="6" t="s">
        <v>51</v>
      </c>
    </row>
    <row r="36" spans="2:5">
      <c r="B36" s="6" t="s">
        <v>52</v>
      </c>
    </row>
    <row r="37" spans="2:5">
      <c r="B37" s="9" t="s">
        <v>45</v>
      </c>
    </row>
    <row r="38" spans="2:5">
      <c r="B38" s="6" t="s">
        <v>53</v>
      </c>
    </row>
    <row r="39" spans="2:5">
      <c r="B39" s="6" t="s">
        <v>54</v>
      </c>
    </row>
    <row r="40" spans="2:5">
      <c r="B40" s="6" t="s">
        <v>55</v>
      </c>
    </row>
    <row r="43" spans="2:5">
      <c r="B43" s="12" t="s">
        <v>59</v>
      </c>
      <c r="C43" s="12" t="s">
        <v>60</v>
      </c>
      <c r="D43" s="12" t="s">
        <v>61</v>
      </c>
    </row>
    <row r="44" spans="2:5">
      <c r="B44" s="14" t="s">
        <v>62</v>
      </c>
      <c r="C44" s="14" t="s">
        <v>70</v>
      </c>
      <c r="D44" s="14" t="s">
        <v>71</v>
      </c>
      <c r="E44" s="15"/>
    </row>
    <row r="45" spans="2:5">
      <c r="B45" s="14" t="s">
        <v>63</v>
      </c>
      <c r="C45" s="14" t="s">
        <v>72</v>
      </c>
      <c r="D45" s="14" t="s">
        <v>64</v>
      </c>
      <c r="E45" s="15"/>
    </row>
    <row r="46" spans="2:5">
      <c r="B46" s="14" t="s">
        <v>65</v>
      </c>
      <c r="C46" s="14" t="s">
        <v>66</v>
      </c>
      <c r="D46" s="14" t="s">
        <v>67</v>
      </c>
      <c r="E46" s="15"/>
    </row>
    <row r="47" spans="2:5">
      <c r="B47" s="14" t="s">
        <v>68</v>
      </c>
      <c r="C47" s="14" t="s">
        <v>73</v>
      </c>
      <c r="D47" s="14" t="s">
        <v>69</v>
      </c>
      <c r="E47" s="15"/>
    </row>
    <row r="48" spans="2:5">
      <c r="B48" s="15"/>
      <c r="C48" s="15"/>
      <c r="D48" s="15"/>
      <c r="E48" s="15"/>
    </row>
    <row r="49" spans="2:4">
      <c r="B49" s="12" t="s">
        <v>76</v>
      </c>
      <c r="C49" s="12" t="s">
        <v>60</v>
      </c>
      <c r="D49" s="12" t="s">
        <v>77</v>
      </c>
    </row>
    <row r="50" spans="2:4">
      <c r="B50" s="12" t="s">
        <v>78</v>
      </c>
      <c r="C50" s="13" t="s">
        <v>79</v>
      </c>
      <c r="D50" s="12" t="s">
        <v>80</v>
      </c>
    </row>
    <row r="51" spans="2:4">
      <c r="B51" s="12" t="s">
        <v>81</v>
      </c>
      <c r="C51" s="13" t="s">
        <v>82</v>
      </c>
      <c r="D51" s="12" t="s">
        <v>83</v>
      </c>
    </row>
    <row r="52" spans="2:4">
      <c r="B52" s="12" t="s">
        <v>84</v>
      </c>
      <c r="C52" s="13" t="s">
        <v>85</v>
      </c>
      <c r="D52" s="12" t="s">
        <v>86</v>
      </c>
    </row>
    <row r="53" spans="2:4">
      <c r="B53" s="12" t="s">
        <v>87</v>
      </c>
      <c r="C53" s="13" t="s">
        <v>88</v>
      </c>
      <c r="D53" s="12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B42C5-4C07-594F-A60B-0417C558FC61}">
  <dimension ref="B2:AL53"/>
  <sheetViews>
    <sheetView zoomScale="15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J20" sqref="J20"/>
    </sheetView>
  </sheetViews>
  <sheetFormatPr baseColWidth="10" defaultRowHeight="13"/>
  <cols>
    <col min="1" max="1" width="0.83203125" style="1" customWidth="1"/>
    <col min="2" max="2" width="15" style="1" bestFit="1" customWidth="1"/>
    <col min="3" max="3" width="5.5" style="1" bestFit="1" customWidth="1"/>
    <col min="4" max="4" width="6.1640625" style="1" bestFit="1" customWidth="1"/>
    <col min="5" max="5" width="7.6640625" style="1" bestFit="1" customWidth="1"/>
    <col min="6" max="7" width="6.1640625" style="1" bestFit="1" customWidth="1"/>
    <col min="8" max="8" width="5.6640625" style="1" bestFit="1" customWidth="1"/>
    <col min="9" max="9" width="7.6640625" style="1" bestFit="1" customWidth="1"/>
    <col min="10" max="10" width="7.1640625" style="1" bestFit="1" customWidth="1"/>
    <col min="11" max="14" width="5.5" style="1" bestFit="1" customWidth="1"/>
    <col min="15" max="16" width="10.83203125" style="1"/>
    <col min="17" max="18" width="5.1640625" style="1" bestFit="1" customWidth="1"/>
    <col min="19" max="35" width="7.1640625" style="1" bestFit="1" customWidth="1"/>
    <col min="36" max="36" width="5.1640625" style="1" bestFit="1" customWidth="1"/>
    <col min="37" max="16384" width="10.83203125" style="1"/>
  </cols>
  <sheetData>
    <row r="2" spans="2:35" s="10" customFormat="1">
      <c r="J2" s="10">
        <v>45701</v>
      </c>
    </row>
    <row r="3" spans="2:35" s="2" customFormat="1"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7</v>
      </c>
      <c r="J3" s="2" t="s">
        <v>14</v>
      </c>
      <c r="K3" s="2" t="s">
        <v>15</v>
      </c>
      <c r="L3" s="2" t="s">
        <v>16</v>
      </c>
      <c r="M3" s="2" t="s">
        <v>17</v>
      </c>
      <c r="N3" s="2" t="s">
        <v>18</v>
      </c>
      <c r="Q3" s="2">
        <v>2015</v>
      </c>
      <c r="R3" s="2">
        <f>+Q3+1</f>
        <v>2016</v>
      </c>
      <c r="S3" s="2">
        <f t="shared" ref="S3:AI3" si="0">+R3+1</f>
        <v>2017</v>
      </c>
      <c r="T3" s="2">
        <f t="shared" si="0"/>
        <v>2018</v>
      </c>
      <c r="U3" s="2">
        <f t="shared" si="0"/>
        <v>2019</v>
      </c>
      <c r="V3" s="2">
        <f t="shared" si="0"/>
        <v>2020</v>
      </c>
      <c r="W3" s="2">
        <f t="shared" si="0"/>
        <v>2021</v>
      </c>
      <c r="X3" s="2">
        <f t="shared" si="0"/>
        <v>2022</v>
      </c>
      <c r="Y3" s="2">
        <f t="shared" si="0"/>
        <v>2023</v>
      </c>
      <c r="Z3" s="2">
        <f t="shared" si="0"/>
        <v>2024</v>
      </c>
      <c r="AA3" s="2">
        <f t="shared" si="0"/>
        <v>2025</v>
      </c>
      <c r="AB3" s="2">
        <f t="shared" si="0"/>
        <v>2026</v>
      </c>
      <c r="AC3" s="2">
        <f t="shared" si="0"/>
        <v>2027</v>
      </c>
      <c r="AD3" s="2">
        <f t="shared" si="0"/>
        <v>2028</v>
      </c>
      <c r="AE3" s="2">
        <f t="shared" si="0"/>
        <v>2029</v>
      </c>
      <c r="AF3" s="2">
        <f t="shared" si="0"/>
        <v>2030</v>
      </c>
      <c r="AG3" s="2">
        <f t="shared" si="0"/>
        <v>2031</v>
      </c>
      <c r="AH3" s="2">
        <f t="shared" si="0"/>
        <v>2032</v>
      </c>
      <c r="AI3" s="2">
        <f t="shared" si="0"/>
        <v>2033</v>
      </c>
    </row>
    <row r="4" spans="2:35">
      <c r="B4" s="1" t="s">
        <v>112</v>
      </c>
      <c r="E4" s="1">
        <v>187944</v>
      </c>
      <c r="I4" s="1">
        <v>314320</v>
      </c>
    </row>
    <row r="5" spans="2:35">
      <c r="B5" s="1" t="s">
        <v>111</v>
      </c>
      <c r="E5" s="1">
        <v>1350</v>
      </c>
      <c r="I5" s="1">
        <v>1192</v>
      </c>
    </row>
    <row r="6" spans="2:35" s="2" customFormat="1"/>
    <row r="7" spans="2:35" s="2" customFormat="1"/>
    <row r="8" spans="2:35" s="2" customFormat="1"/>
    <row r="9" spans="2:35" s="2" customFormat="1"/>
    <row r="10" spans="2:35" s="2" customFormat="1"/>
    <row r="11" spans="2:35" s="3" customFormat="1">
      <c r="B11" s="3" t="s">
        <v>1</v>
      </c>
      <c r="C11" s="3">
        <v>525.4</v>
      </c>
      <c r="D11" s="3">
        <v>524.6</v>
      </c>
      <c r="E11" s="3">
        <v>278.89999999999998</v>
      </c>
      <c r="F11" s="3">
        <f>+Y11-SUM(C11:E11)</f>
        <v>753.90000000000009</v>
      </c>
      <c r="G11" s="3">
        <v>496.2</v>
      </c>
      <c r="H11" s="3">
        <v>586.4</v>
      </c>
      <c r="I11" s="3">
        <v>393.3</v>
      </c>
      <c r="J11" s="3">
        <v>387.1</v>
      </c>
      <c r="S11" s="3">
        <v>1730.4</v>
      </c>
      <c r="T11" s="3">
        <v>1724.2</v>
      </c>
      <c r="U11" s="3">
        <v>1761.5</v>
      </c>
      <c r="V11" s="3">
        <v>1868.6</v>
      </c>
      <c r="W11" s="3">
        <v>1772.6</v>
      </c>
      <c r="X11" s="3">
        <v>2080.1</v>
      </c>
      <c r="Y11" s="3">
        <v>2082.8000000000002</v>
      </c>
      <c r="Z11" s="3">
        <f>SUM(G11:J11)</f>
        <v>1863</v>
      </c>
      <c r="AA11" s="3">
        <f>+Z11*1.01</f>
        <v>1881.63</v>
      </c>
      <c r="AB11" s="3">
        <f t="shared" ref="AB11:AI11" si="1">+AA11*1.01</f>
        <v>1900.4463000000001</v>
      </c>
      <c r="AC11" s="3">
        <f t="shared" si="1"/>
        <v>1919.4507630000001</v>
      </c>
      <c r="AD11" s="3">
        <f t="shared" si="1"/>
        <v>1938.6452706300001</v>
      </c>
      <c r="AE11" s="3">
        <f t="shared" si="1"/>
        <v>1958.0317233363</v>
      </c>
      <c r="AF11" s="3">
        <f t="shared" si="1"/>
        <v>1977.6120405696631</v>
      </c>
      <c r="AG11" s="3">
        <f t="shared" si="1"/>
        <v>1997.3881609753598</v>
      </c>
      <c r="AH11" s="3">
        <f t="shared" si="1"/>
        <v>2017.3620425851134</v>
      </c>
      <c r="AI11" s="3">
        <f t="shared" si="1"/>
        <v>2037.5356630109645</v>
      </c>
    </row>
    <row r="12" spans="2:35" s="3" customFormat="1">
      <c r="B12" s="3" t="s">
        <v>3</v>
      </c>
      <c r="C12" s="3">
        <v>448.5</v>
      </c>
      <c r="D12" s="3">
        <v>438.7</v>
      </c>
      <c r="E12" s="3">
        <v>228.3</v>
      </c>
      <c r="F12" s="3">
        <f t="shared" ref="F12:F20" si="2">+Y12-SUM(C12:E12)</f>
        <v>636.5</v>
      </c>
      <c r="G12" s="3">
        <v>421.6</v>
      </c>
      <c r="H12" s="3">
        <v>550.79999999999995</v>
      </c>
      <c r="I12" s="3">
        <v>363.2</v>
      </c>
      <c r="J12" s="3">
        <v>372.4</v>
      </c>
      <c r="S12" s="3">
        <v>1521.2</v>
      </c>
      <c r="T12" s="3">
        <v>1536.7</v>
      </c>
      <c r="U12" s="3">
        <v>1597</v>
      </c>
      <c r="V12" s="3">
        <v>1574.4</v>
      </c>
      <c r="W12" s="3">
        <v>1590</v>
      </c>
      <c r="X12" s="3">
        <v>1823.4</v>
      </c>
      <c r="Y12" s="3">
        <v>1752</v>
      </c>
      <c r="Z12" s="3">
        <f t="shared" ref="Z12:Z20" si="3">SUM(G12:J12)</f>
        <v>1708</v>
      </c>
      <c r="AA12" s="3">
        <f>+AA$11*(Z12/Z$11)</f>
        <v>1725.08</v>
      </c>
      <c r="AB12" s="3">
        <f t="shared" ref="AB12:AI14" si="4">+AB$11*(AA12/AA$11)</f>
        <v>1742.3308</v>
      </c>
      <c r="AC12" s="3">
        <f t="shared" si="4"/>
        <v>1759.7541080000001</v>
      </c>
      <c r="AD12" s="3">
        <f t="shared" si="4"/>
        <v>1777.3516490800002</v>
      </c>
      <c r="AE12" s="3">
        <f t="shared" si="4"/>
        <v>1795.1251655708002</v>
      </c>
      <c r="AF12" s="3">
        <f t="shared" si="4"/>
        <v>1813.0764172265083</v>
      </c>
      <c r="AG12" s="3">
        <f t="shared" si="4"/>
        <v>1831.2071813987734</v>
      </c>
      <c r="AH12" s="3">
        <f t="shared" si="4"/>
        <v>1849.5192532127612</v>
      </c>
      <c r="AI12" s="3">
        <f t="shared" si="4"/>
        <v>1868.0144457448887</v>
      </c>
    </row>
    <row r="13" spans="2:35" s="3" customFormat="1">
      <c r="B13" s="3" t="s">
        <v>19</v>
      </c>
      <c r="C13" s="3">
        <v>36</v>
      </c>
      <c r="D13" s="3">
        <v>39.1</v>
      </c>
      <c r="E13" s="3">
        <v>28.3</v>
      </c>
      <c r="F13" s="3">
        <f t="shared" si="2"/>
        <v>44.90000000000002</v>
      </c>
      <c r="G13" s="3">
        <v>36.200000000000003</v>
      </c>
      <c r="H13" s="3">
        <v>38</v>
      </c>
      <c r="I13" s="3">
        <v>31.6</v>
      </c>
      <c r="J13" s="3">
        <v>26.7</v>
      </c>
      <c r="S13" s="3">
        <v>121.2</v>
      </c>
      <c r="T13" s="3">
        <v>107.8</v>
      </c>
      <c r="U13" s="3">
        <v>112.8</v>
      </c>
      <c r="V13" s="3">
        <v>122</v>
      </c>
      <c r="W13" s="3">
        <v>112.9</v>
      </c>
      <c r="X13" s="3">
        <v>133</v>
      </c>
      <c r="Y13" s="3">
        <v>148.30000000000001</v>
      </c>
      <c r="Z13" s="3">
        <f t="shared" si="3"/>
        <v>132.5</v>
      </c>
      <c r="AA13" s="3">
        <f>+AA$11*(Z13/Z$11)</f>
        <v>133.82499999999999</v>
      </c>
      <c r="AB13" s="3">
        <f t="shared" si="4"/>
        <v>135.16325000000001</v>
      </c>
      <c r="AC13" s="3">
        <f t="shared" si="4"/>
        <v>136.5148825</v>
      </c>
      <c r="AD13" s="3">
        <f t="shared" si="4"/>
        <v>137.880031325</v>
      </c>
      <c r="AE13" s="3">
        <f t="shared" si="4"/>
        <v>139.25883163825</v>
      </c>
      <c r="AF13" s="3">
        <f t="shared" si="4"/>
        <v>140.6514199546325</v>
      </c>
      <c r="AG13" s="3">
        <f t="shared" si="4"/>
        <v>142.05793415417884</v>
      </c>
      <c r="AH13" s="3">
        <f t="shared" si="4"/>
        <v>143.47851349572062</v>
      </c>
      <c r="AI13" s="3">
        <f t="shared" si="4"/>
        <v>144.91329863067782</v>
      </c>
    </row>
    <row r="14" spans="2:35" s="3" customFormat="1">
      <c r="B14" s="3" t="s">
        <v>20</v>
      </c>
      <c r="C14" s="3">
        <v>1.1000000000000001</v>
      </c>
      <c r="D14" s="3">
        <v>-0.4</v>
      </c>
      <c r="E14" s="3">
        <v>1.7</v>
      </c>
      <c r="F14" s="3">
        <f t="shared" si="2"/>
        <v>2.9</v>
      </c>
      <c r="G14" s="3">
        <v>7.9</v>
      </c>
      <c r="H14" s="3">
        <v>17</v>
      </c>
      <c r="I14" s="3">
        <v>-0.3</v>
      </c>
      <c r="J14" s="3">
        <v>3.7</v>
      </c>
      <c r="S14" s="3">
        <v>16.8</v>
      </c>
      <c r="T14" s="3">
        <v>-17.5</v>
      </c>
      <c r="U14" s="3">
        <v>6.3</v>
      </c>
      <c r="V14" s="3">
        <v>14</v>
      </c>
      <c r="W14" s="3">
        <v>57.7</v>
      </c>
      <c r="X14" s="3">
        <v>9.6999999999999993</v>
      </c>
      <c r="Y14" s="3">
        <v>5.3</v>
      </c>
      <c r="Z14" s="3">
        <f t="shared" si="3"/>
        <v>28.299999999999997</v>
      </c>
      <c r="AA14" s="3">
        <f>+AA$11*(Z14/Z$11)</f>
        <v>28.582999999999998</v>
      </c>
      <c r="AB14" s="3">
        <f t="shared" si="4"/>
        <v>28.868829999999999</v>
      </c>
      <c r="AC14" s="3">
        <f t="shared" si="4"/>
        <v>29.157518299999996</v>
      </c>
      <c r="AD14" s="3">
        <f t="shared" si="4"/>
        <v>29.449093482999995</v>
      </c>
      <c r="AE14" s="3">
        <f t="shared" si="4"/>
        <v>29.743584417829993</v>
      </c>
      <c r="AF14" s="3">
        <f t="shared" si="4"/>
        <v>30.041020262008296</v>
      </c>
      <c r="AG14" s="3">
        <f t="shared" si="4"/>
        <v>30.341430464628381</v>
      </c>
      <c r="AH14" s="3">
        <f t="shared" si="4"/>
        <v>30.644844769274663</v>
      </c>
      <c r="AI14" s="3">
        <f t="shared" si="4"/>
        <v>30.951293216967411</v>
      </c>
    </row>
    <row r="15" spans="2:35" s="3" customFormat="1">
      <c r="B15" s="3" t="s">
        <v>21</v>
      </c>
      <c r="C15" s="3">
        <f>+C11-SUM(C12:C14)</f>
        <v>39.799999999999955</v>
      </c>
      <c r="D15" s="3">
        <f>+D11-SUM(D12:D14)</f>
        <v>47.199999999999989</v>
      </c>
      <c r="E15" s="3">
        <f>+E11-SUM(E12:E14)</f>
        <v>20.599999999999966</v>
      </c>
      <c r="F15" s="3">
        <f t="shared" si="2"/>
        <v>69.600000000000364</v>
      </c>
      <c r="G15" s="3">
        <f>+G11-SUM(G12:G14)</f>
        <v>30.5</v>
      </c>
      <c r="H15" s="3">
        <f>+H11-SUM(H12:H14)</f>
        <v>-19.399999999999977</v>
      </c>
      <c r="I15" s="3">
        <f>+I11-SUM(I12:I14)</f>
        <v>-1.1999999999999886</v>
      </c>
      <c r="J15" s="3">
        <f>+J11-SUM(J12:J14)</f>
        <v>-15.699999999999932</v>
      </c>
      <c r="S15" s="3">
        <f t="shared" ref="S15:U15" si="5">+S11-SUM(S12:S14)</f>
        <v>71.200000000000045</v>
      </c>
      <c r="T15" s="3">
        <f t="shared" si="5"/>
        <v>97.200000000000045</v>
      </c>
      <c r="U15" s="3">
        <f t="shared" si="5"/>
        <v>45.400000000000091</v>
      </c>
      <c r="V15" s="3">
        <f>+V11-SUM(V12:V14)</f>
        <v>158.19999999999982</v>
      </c>
      <c r="W15" s="3">
        <f>+W11-SUM(W12:W14)</f>
        <v>11.999999999999773</v>
      </c>
      <c r="X15" s="3">
        <f>+X11-SUM(X12:X14)</f>
        <v>113.99999999999977</v>
      </c>
      <c r="Y15" s="3">
        <f>+Y11-SUM(Y12:Y14)</f>
        <v>177.20000000000027</v>
      </c>
      <c r="Z15" s="3">
        <f t="shared" si="3"/>
        <v>-5.7999999999998977</v>
      </c>
      <c r="AA15" s="3">
        <f>+AA11-SUM(AA12:AA14)</f>
        <v>-5.8579999999999472</v>
      </c>
      <c r="AB15" s="3">
        <f t="shared" ref="AB15:AI15" si="6">+AB11-SUM(AB12:AB14)</f>
        <v>-5.9165799999998399</v>
      </c>
      <c r="AC15" s="3">
        <f t="shared" si="6"/>
        <v>-5.9757458000001407</v>
      </c>
      <c r="AD15" s="3">
        <f t="shared" si="6"/>
        <v>-6.0355032580000625</v>
      </c>
      <c r="AE15" s="3">
        <f t="shared" si="6"/>
        <v>-6.0958582905802814</v>
      </c>
      <c r="AF15" s="3">
        <f t="shared" si="6"/>
        <v>-6.1568168734859228</v>
      </c>
      <c r="AG15" s="3">
        <f t="shared" si="6"/>
        <v>-6.2183850422206888</v>
      </c>
      <c r="AH15" s="3">
        <f t="shared" si="6"/>
        <v>-6.2805688926430321</v>
      </c>
      <c r="AI15" s="3">
        <f t="shared" si="6"/>
        <v>-6.3433745815693783</v>
      </c>
    </row>
    <row r="16" spans="2:35" s="3" customFormat="1">
      <c r="B16" s="3" t="s">
        <v>22</v>
      </c>
      <c r="C16" s="3">
        <v>-7.6</v>
      </c>
      <c r="D16" s="3">
        <v>-7.5</v>
      </c>
      <c r="E16" s="3">
        <v>-2.2000000000000002</v>
      </c>
      <c r="F16" s="3">
        <f t="shared" si="2"/>
        <v>-12.7</v>
      </c>
      <c r="G16" s="3">
        <v>-6.5</v>
      </c>
      <c r="H16" s="3">
        <v>-16</v>
      </c>
      <c r="I16" s="3">
        <v>-13.1</v>
      </c>
      <c r="J16" s="3">
        <v>-5.3</v>
      </c>
      <c r="S16" s="3">
        <v>-30.7</v>
      </c>
      <c r="T16" s="3">
        <v>-30.7</v>
      </c>
      <c r="U16" s="3">
        <v>-44.9</v>
      </c>
      <c r="V16" s="3">
        <v>-46.5</v>
      </c>
      <c r="W16" s="3">
        <v>-36.4</v>
      </c>
      <c r="X16" s="3">
        <v>-34.6</v>
      </c>
      <c r="Y16" s="3">
        <v>-30</v>
      </c>
      <c r="Z16" s="3">
        <f t="shared" si="3"/>
        <v>-40.9</v>
      </c>
      <c r="AA16" s="3">
        <f>+AA15*(Z16/Z15)</f>
        <v>-41.30900000000036</v>
      </c>
      <c r="AB16" s="3">
        <f t="shared" ref="AB16:AI16" si="7">+AB15*(AA16/AA15)</f>
        <v>-41.722089999999611</v>
      </c>
      <c r="AC16" s="3">
        <f t="shared" si="7"/>
        <v>-42.139310900001739</v>
      </c>
      <c r="AD16" s="3">
        <f t="shared" si="7"/>
        <v>-42.560704009001199</v>
      </c>
      <c r="AE16" s="3">
        <f t="shared" si="7"/>
        <v>-42.986311049092748</v>
      </c>
      <c r="AF16" s="3">
        <f t="shared" si="7"/>
        <v>-43.416174159582539</v>
      </c>
      <c r="AG16" s="3">
        <f t="shared" si="7"/>
        <v>-43.850335901177708</v>
      </c>
      <c r="AH16" s="3">
        <f t="shared" si="7"/>
        <v>-44.288839260190443</v>
      </c>
      <c r="AI16" s="3">
        <f t="shared" si="7"/>
        <v>-44.731727652791754</v>
      </c>
    </row>
    <row r="17" spans="2:38" s="3" customFormat="1">
      <c r="B17" s="3" t="s">
        <v>23</v>
      </c>
      <c r="C17" s="3">
        <v>0.1</v>
      </c>
      <c r="D17" s="3">
        <v>0.1</v>
      </c>
      <c r="E17" s="3">
        <v>0.1</v>
      </c>
      <c r="F17" s="3">
        <f t="shared" si="2"/>
        <v>-0.20000000000000004</v>
      </c>
      <c r="G17" s="3">
        <v>0.3</v>
      </c>
      <c r="H17" s="3">
        <v>0.3</v>
      </c>
      <c r="I17" s="3">
        <v>0.3</v>
      </c>
      <c r="J17" s="3">
        <v>0.7</v>
      </c>
      <c r="S17" s="3">
        <v>-4.9000000000000004</v>
      </c>
      <c r="T17" s="3">
        <v>-4.9000000000000004</v>
      </c>
      <c r="U17" s="3">
        <v>-5.7</v>
      </c>
      <c r="V17" s="3">
        <v>-7.6</v>
      </c>
      <c r="W17" s="3">
        <v>-10.4</v>
      </c>
      <c r="X17" s="3">
        <v>-5.7</v>
      </c>
      <c r="Y17" s="3">
        <v>0.1</v>
      </c>
      <c r="Z17" s="3">
        <f t="shared" si="3"/>
        <v>1.5999999999999999</v>
      </c>
      <c r="AA17" s="3">
        <f>+AA15*(Z17/Z15)</f>
        <v>1.6160000000000136</v>
      </c>
      <c r="AB17" s="3">
        <f t="shared" ref="AB17:AI17" si="8">+AB15*(AA17/AA15)</f>
        <v>1.6321599999999843</v>
      </c>
      <c r="AC17" s="3">
        <f t="shared" si="8"/>
        <v>1.6484816000000677</v>
      </c>
      <c r="AD17" s="3">
        <f t="shared" si="8"/>
        <v>1.6649664160000464</v>
      </c>
      <c r="AE17" s="3">
        <f t="shared" si="8"/>
        <v>1.681616080160107</v>
      </c>
      <c r="AF17" s="3">
        <f t="shared" si="8"/>
        <v>1.6984322409616637</v>
      </c>
      <c r="AG17" s="3">
        <f t="shared" si="8"/>
        <v>1.7154165633712546</v>
      </c>
      <c r="AH17" s="3">
        <f t="shared" si="8"/>
        <v>1.7325707290050048</v>
      </c>
      <c r="AI17" s="3">
        <f t="shared" si="8"/>
        <v>1.7498964362950316</v>
      </c>
    </row>
    <row r="18" spans="2:38" s="3" customFormat="1">
      <c r="B18" s="3" t="s">
        <v>24</v>
      </c>
      <c r="C18" s="3">
        <f>+C15+SUM(C16:C17)</f>
        <v>32.299999999999955</v>
      </c>
      <c r="D18" s="3">
        <f>+D15+SUM(D16:D17)</f>
        <v>39.79999999999999</v>
      </c>
      <c r="E18" s="3">
        <f>+E15+SUM(E16:E17)</f>
        <v>18.499999999999964</v>
      </c>
      <c r="F18" s="3">
        <f t="shared" si="2"/>
        <v>56.700000000000358</v>
      </c>
      <c r="G18" s="3">
        <f>+G15+SUM(G16:G17)</f>
        <v>24.3</v>
      </c>
      <c r="H18" s="3">
        <f>+H15+SUM(H16:H17)</f>
        <v>-35.09999999999998</v>
      </c>
      <c r="I18" s="3">
        <f>+I15+SUM(I16:I17)</f>
        <v>-13.999999999999988</v>
      </c>
      <c r="J18" s="3">
        <f>+J15+SUM(J16:J17)</f>
        <v>-20.299999999999933</v>
      </c>
      <c r="S18" s="3">
        <f t="shared" ref="S18:U18" si="9">+S15+SUM(S16:S17)</f>
        <v>35.600000000000044</v>
      </c>
      <c r="T18" s="3">
        <f t="shared" si="9"/>
        <v>61.600000000000044</v>
      </c>
      <c r="U18" s="3">
        <f t="shared" si="9"/>
        <v>-5.1999999999999105</v>
      </c>
      <c r="V18" s="3">
        <f>+V15+SUM(V16:V17)</f>
        <v>104.09999999999982</v>
      </c>
      <c r="W18" s="3">
        <f>+W15+SUM(W16:W17)</f>
        <v>-34.800000000000225</v>
      </c>
      <c r="X18" s="3">
        <f>+X15+SUM(X16:X17)</f>
        <v>73.699999999999761</v>
      </c>
      <c r="Y18" s="3">
        <f>+Y15+SUM(Y16:Y17)</f>
        <v>147.30000000000027</v>
      </c>
      <c r="Z18" s="3">
        <f t="shared" si="3"/>
        <v>-45.099999999999902</v>
      </c>
      <c r="AA18" s="3">
        <f>+AA15+SUM(AA16:AA17)</f>
        <v>-45.551000000000293</v>
      </c>
      <c r="AB18" s="3">
        <f t="shared" ref="AB18:AI18" si="10">+AB15+SUM(AB16:AB17)</f>
        <v>-46.006509999999466</v>
      </c>
      <c r="AC18" s="3">
        <f t="shared" si="10"/>
        <v>-46.466575100001812</v>
      </c>
      <c r="AD18" s="3">
        <f t="shared" si="10"/>
        <v>-46.931240851001213</v>
      </c>
      <c r="AE18" s="3">
        <f t="shared" si="10"/>
        <v>-47.400553259512925</v>
      </c>
      <c r="AF18" s="3">
        <f t="shared" si="10"/>
        <v>-47.874558792106797</v>
      </c>
      <c r="AG18" s="3">
        <f t="shared" si="10"/>
        <v>-48.35330438002714</v>
      </c>
      <c r="AH18" s="3">
        <f t="shared" si="10"/>
        <v>-48.83683742382847</v>
      </c>
      <c r="AI18" s="3">
        <f t="shared" si="10"/>
        <v>-49.325205798066101</v>
      </c>
    </row>
    <row r="19" spans="2:38" s="3" customFormat="1">
      <c r="B19" s="3" t="s">
        <v>25</v>
      </c>
      <c r="C19" s="3">
        <v>8.4</v>
      </c>
      <c r="D19" s="3">
        <v>10.199999999999999</v>
      </c>
      <c r="E19" s="3">
        <v>3.7</v>
      </c>
      <c r="F19" s="3">
        <f t="shared" si="2"/>
        <v>14.099999999999998</v>
      </c>
      <c r="G19" s="3">
        <v>7</v>
      </c>
      <c r="H19" s="3">
        <v>-9.4</v>
      </c>
      <c r="I19" s="3">
        <v>-3.3</v>
      </c>
      <c r="J19" s="3">
        <v>-9.6999999999999993</v>
      </c>
      <c r="S19" s="3">
        <v>10.3</v>
      </c>
      <c r="T19" s="3">
        <v>10.3</v>
      </c>
      <c r="U19" s="3">
        <v>-2.2999999999999998</v>
      </c>
      <c r="V19" s="3">
        <v>21.1</v>
      </c>
      <c r="W19" s="3">
        <v>-7.7</v>
      </c>
      <c r="X19" s="3">
        <v>27</v>
      </c>
      <c r="Y19" s="3">
        <v>36.4</v>
      </c>
      <c r="Z19" s="3">
        <f t="shared" si="3"/>
        <v>-15.399999999999999</v>
      </c>
      <c r="AA19" s="3">
        <f>+AA18*(Z19/Z18)</f>
        <v>-15.554000000000132</v>
      </c>
      <c r="AB19" s="3">
        <f t="shared" ref="AB19:AI19" si="11">+AB18*(AA19/AA18)</f>
        <v>-15.70953999999985</v>
      </c>
      <c r="AC19" s="3">
        <f t="shared" si="11"/>
        <v>-15.86663540000065</v>
      </c>
      <c r="AD19" s="3">
        <f t="shared" si="11"/>
        <v>-16.025301754000449</v>
      </c>
      <c r="AE19" s="3">
        <f t="shared" si="11"/>
        <v>-16.185554771541035</v>
      </c>
      <c r="AF19" s="3">
        <f t="shared" si="11"/>
        <v>-16.347410319256014</v>
      </c>
      <c r="AG19" s="3">
        <f t="shared" si="11"/>
        <v>-16.510884422448324</v>
      </c>
      <c r="AH19" s="3">
        <f t="shared" si="11"/>
        <v>-16.675993266673171</v>
      </c>
      <c r="AI19" s="3">
        <f t="shared" si="11"/>
        <v>-16.842753199339679</v>
      </c>
    </row>
    <row r="20" spans="2:38" s="3" customFormat="1">
      <c r="B20" s="3" t="s">
        <v>26</v>
      </c>
      <c r="C20" s="3">
        <f>+C18-C19</f>
        <v>23.899999999999956</v>
      </c>
      <c r="D20" s="3">
        <f>+D18-D19</f>
        <v>29.599999999999991</v>
      </c>
      <c r="E20" s="3">
        <f>+E18-E19</f>
        <v>14.799999999999965</v>
      </c>
      <c r="F20" s="3">
        <f t="shared" si="2"/>
        <v>42.60000000000035</v>
      </c>
      <c r="G20" s="3">
        <f>+G18-G19</f>
        <v>17.3</v>
      </c>
      <c r="H20" s="3">
        <f>+H18-H19</f>
        <v>-25.699999999999982</v>
      </c>
      <c r="I20" s="3">
        <f>+I18-I19</f>
        <v>-10.699999999999989</v>
      </c>
      <c r="J20" s="3">
        <f>+J18-J19</f>
        <v>-10.599999999999934</v>
      </c>
      <c r="S20" s="3">
        <f t="shared" ref="S20:U20" si="12">+S18-S19</f>
        <v>25.300000000000043</v>
      </c>
      <c r="T20" s="3">
        <f t="shared" si="12"/>
        <v>51.30000000000004</v>
      </c>
      <c r="U20" s="3">
        <f t="shared" si="12"/>
        <v>-2.8999999999999106</v>
      </c>
      <c r="V20" s="3">
        <f>+V18-V19</f>
        <v>82.999999999999829</v>
      </c>
      <c r="W20" s="3">
        <f>+W18-W19</f>
        <v>-27.100000000000225</v>
      </c>
      <c r="X20" s="3">
        <f>+X18-X19</f>
        <v>46.699999999999761</v>
      </c>
      <c r="Y20" s="3">
        <f>+Y18-Y19</f>
        <v>110.90000000000026</v>
      </c>
      <c r="Z20" s="3">
        <f t="shared" si="3"/>
        <v>-29.699999999999903</v>
      </c>
      <c r="AA20" s="3">
        <f>+AA18-AA19</f>
        <v>-29.997000000000163</v>
      </c>
      <c r="AB20" s="3">
        <f t="shared" ref="AB20:AI20" si="13">+AB18-AB19</f>
        <v>-30.296969999999618</v>
      </c>
      <c r="AC20" s="3">
        <f t="shared" si="13"/>
        <v>-30.599939700001162</v>
      </c>
      <c r="AD20" s="3">
        <f t="shared" si="13"/>
        <v>-30.905939097000765</v>
      </c>
      <c r="AE20" s="3">
        <f t="shared" si="13"/>
        <v>-31.21499848797189</v>
      </c>
      <c r="AF20" s="3">
        <f t="shared" si="13"/>
        <v>-31.527148472850783</v>
      </c>
      <c r="AG20" s="3">
        <f t="shared" si="13"/>
        <v>-31.842419957578816</v>
      </c>
      <c r="AH20" s="3">
        <f t="shared" si="13"/>
        <v>-32.160844157155296</v>
      </c>
      <c r="AI20" s="3">
        <f t="shared" si="13"/>
        <v>-32.482452598726425</v>
      </c>
    </row>
    <row r="22" spans="2:38" s="5" customFormat="1">
      <c r="B22" s="5" t="s">
        <v>27</v>
      </c>
      <c r="G22" s="5">
        <f>+G11/C11-1</f>
        <v>-5.5576703464027433E-2</v>
      </c>
      <c r="H22" s="5">
        <f>+H11/D11-1</f>
        <v>0.11780404117422782</v>
      </c>
      <c r="I22" s="5">
        <f>+I11/E11-1</f>
        <v>0.41018286124058823</v>
      </c>
      <c r="J22" s="5">
        <f>+J11/F11-1</f>
        <v>-0.48653667595171779</v>
      </c>
      <c r="T22" s="5">
        <f t="shared" ref="T22:Z22" si="14">+T11/S11-1</f>
        <v>-3.582986592695403E-3</v>
      </c>
      <c r="U22" s="5">
        <f t="shared" si="14"/>
        <v>2.1633221204036657E-2</v>
      </c>
      <c r="V22" s="5">
        <f t="shared" si="14"/>
        <v>6.0800454158387751E-2</v>
      </c>
      <c r="W22" s="5">
        <f t="shared" si="14"/>
        <v>-5.1375361233008676E-2</v>
      </c>
      <c r="X22" s="5">
        <f t="shared" si="14"/>
        <v>0.17347399300462607</v>
      </c>
      <c r="Y22" s="5">
        <f t="shared" si="14"/>
        <v>1.2980145185328418E-3</v>
      </c>
      <c r="Z22" s="5">
        <f t="shared" si="14"/>
        <v>-0.10553101594008074</v>
      </c>
      <c r="AA22" s="5">
        <f t="shared" ref="AA22:AI22" si="15">+AA11/Z11-1</f>
        <v>1.0000000000000009E-2</v>
      </c>
      <c r="AB22" s="5">
        <f t="shared" si="15"/>
        <v>1.0000000000000009E-2</v>
      </c>
      <c r="AC22" s="5">
        <f t="shared" si="15"/>
        <v>1.0000000000000009E-2</v>
      </c>
      <c r="AD22" s="5">
        <f t="shared" si="15"/>
        <v>1.0000000000000009E-2</v>
      </c>
      <c r="AE22" s="5">
        <f t="shared" si="15"/>
        <v>1.0000000000000009E-2</v>
      </c>
      <c r="AF22" s="5">
        <f t="shared" si="15"/>
        <v>1.0000000000000009E-2</v>
      </c>
      <c r="AG22" s="5">
        <f t="shared" si="15"/>
        <v>1.0000000000000009E-2</v>
      </c>
      <c r="AH22" s="5">
        <f t="shared" si="15"/>
        <v>1.0000000000000009E-2</v>
      </c>
      <c r="AI22" s="5">
        <f t="shared" si="15"/>
        <v>1.0000000000000009E-2</v>
      </c>
    </row>
    <row r="23" spans="2:38" s="4" customFormat="1">
      <c r="B23" s="4" t="s">
        <v>56</v>
      </c>
      <c r="C23" s="4">
        <f>+(C11-C12) / C11</f>
        <v>0.14636467453368859</v>
      </c>
      <c r="D23" s="17">
        <f t="shared" ref="D23:I23" si="16">+(D11-D12) / D11</f>
        <v>0.16374380480365999</v>
      </c>
      <c r="E23" s="17">
        <f t="shared" si="16"/>
        <v>0.18142703477949074</v>
      </c>
      <c r="F23" s="17">
        <f t="shared" si="16"/>
        <v>0.15572357076535359</v>
      </c>
      <c r="G23" s="17">
        <f t="shared" si="16"/>
        <v>0.15034260378879477</v>
      </c>
      <c r="H23" s="17">
        <f t="shared" si="16"/>
        <v>6.0709413369713548E-2</v>
      </c>
      <c r="I23" s="17">
        <f t="shared" si="16"/>
        <v>7.6531909483854618E-2</v>
      </c>
      <c r="J23" s="17">
        <f t="shared" ref="J23" si="17">+(J11-J12) / J11</f>
        <v>3.797468354430391E-2</v>
      </c>
      <c r="S23" s="4">
        <f t="shared" ref="S23:Y23" si="18">+(S11-S12) / S11</f>
        <v>0.12089690245030053</v>
      </c>
      <c r="T23" s="4">
        <f t="shared" si="18"/>
        <v>0.10874608514093492</v>
      </c>
      <c r="U23" s="4">
        <f t="shared" si="18"/>
        <v>9.3386318478569402E-2</v>
      </c>
      <c r="V23" s="4">
        <f t="shared" si="18"/>
        <v>0.15744407577865774</v>
      </c>
      <c r="W23" s="4">
        <f t="shared" si="18"/>
        <v>0.10301252397608029</v>
      </c>
      <c r="X23" s="4">
        <f t="shared" si="18"/>
        <v>0.12340752848420741</v>
      </c>
      <c r="Y23" s="4">
        <f t="shared" si="18"/>
        <v>0.15882465911273294</v>
      </c>
      <c r="Z23" s="4">
        <f t="shared" ref="Z23:AI23" si="19">+(Z11-Z12) / Z11</f>
        <v>8.3199141170155658E-2</v>
      </c>
      <c r="AA23" s="4">
        <f t="shared" si="19"/>
        <v>8.3199141170155755E-2</v>
      </c>
      <c r="AB23" s="4">
        <f t="shared" si="19"/>
        <v>8.3199141170155713E-2</v>
      </c>
      <c r="AC23" s="4">
        <f t="shared" si="19"/>
        <v>8.3199141170155644E-2</v>
      </c>
      <c r="AD23" s="4">
        <f t="shared" si="19"/>
        <v>8.3199141170155602E-2</v>
      </c>
      <c r="AE23" s="4">
        <f t="shared" si="19"/>
        <v>8.3199141170155602E-2</v>
      </c>
      <c r="AF23" s="4">
        <f t="shared" si="19"/>
        <v>8.3199141170155574E-2</v>
      </c>
      <c r="AG23" s="4">
        <f t="shared" si="19"/>
        <v>8.3199141170155588E-2</v>
      </c>
      <c r="AH23" s="4">
        <f t="shared" si="19"/>
        <v>8.3199141170155533E-2</v>
      </c>
      <c r="AI23" s="4">
        <f t="shared" si="19"/>
        <v>8.3199141170155602E-2</v>
      </c>
    </row>
    <row r="24" spans="2:38" s="4" customFormat="1">
      <c r="B24" s="4" t="s">
        <v>57</v>
      </c>
      <c r="C24" s="4">
        <f>+C13/C11</f>
        <v>6.8519223448800917E-2</v>
      </c>
      <c r="D24" s="17">
        <f t="shared" ref="D24:I24" si="20">+D13/D11</f>
        <v>7.4532977506671746E-2</v>
      </c>
      <c r="E24" s="17">
        <f t="shared" si="20"/>
        <v>0.10147006095374687</v>
      </c>
      <c r="F24" s="17">
        <f t="shared" si="20"/>
        <v>5.9556970420480186E-2</v>
      </c>
      <c r="G24" s="17">
        <f t="shared" si="20"/>
        <v>7.2954453849254336E-2</v>
      </c>
      <c r="H24" s="17">
        <f t="shared" si="20"/>
        <v>6.4802182810368356E-2</v>
      </c>
      <c r="I24" s="17">
        <f t="shared" si="20"/>
        <v>8.0345792016272566E-2</v>
      </c>
      <c r="J24" s="17">
        <f t="shared" ref="J24" si="21">+J13/J11</f>
        <v>6.8974425213123219E-2</v>
      </c>
      <c r="S24" s="4">
        <f t="shared" ref="S24:Y24" si="22">+S13/S11</f>
        <v>7.004160887656033E-2</v>
      </c>
      <c r="T24" s="4">
        <f t="shared" si="22"/>
        <v>6.2521749217028189E-2</v>
      </c>
      <c r="U24" s="4">
        <f t="shared" si="22"/>
        <v>6.4036332671019019E-2</v>
      </c>
      <c r="V24" s="4">
        <f t="shared" si="22"/>
        <v>6.5289521566948519E-2</v>
      </c>
      <c r="W24" s="4">
        <f t="shared" si="22"/>
        <v>6.3691752228365123E-2</v>
      </c>
      <c r="X24" s="4">
        <f t="shared" si="22"/>
        <v>6.3939233690687949E-2</v>
      </c>
      <c r="Y24" s="4">
        <f t="shared" si="22"/>
        <v>7.1202227770309198E-2</v>
      </c>
      <c r="Z24" s="4">
        <f t="shared" ref="Z24:AI24" si="23">+Z13/Z11</f>
        <v>7.1121846484165321E-2</v>
      </c>
      <c r="AA24" s="4">
        <f t="shared" si="23"/>
        <v>7.1121846484165321E-2</v>
      </c>
      <c r="AB24" s="4">
        <f t="shared" si="23"/>
        <v>7.1121846484165321E-2</v>
      </c>
      <c r="AC24" s="4">
        <f t="shared" si="23"/>
        <v>7.1121846484165321E-2</v>
      </c>
      <c r="AD24" s="4">
        <f t="shared" si="23"/>
        <v>7.1121846484165321E-2</v>
      </c>
      <c r="AE24" s="4">
        <f t="shared" si="23"/>
        <v>7.1121846484165321E-2</v>
      </c>
      <c r="AF24" s="4">
        <f t="shared" si="23"/>
        <v>7.1121846484165321E-2</v>
      </c>
      <c r="AG24" s="4">
        <f t="shared" si="23"/>
        <v>7.1121846484165321E-2</v>
      </c>
      <c r="AH24" s="4">
        <f t="shared" si="23"/>
        <v>7.1121846484165321E-2</v>
      </c>
      <c r="AI24" s="4">
        <f t="shared" si="23"/>
        <v>7.1121846484165321E-2</v>
      </c>
    </row>
    <row r="28" spans="2:38">
      <c r="B28" s="1" t="s">
        <v>58</v>
      </c>
      <c r="F28" s="1">
        <v>42</v>
      </c>
      <c r="I28" s="1">
        <v>35.5</v>
      </c>
      <c r="AK28" s="1" t="s">
        <v>74</v>
      </c>
      <c r="AL28" s="16">
        <v>-0.01</v>
      </c>
    </row>
    <row r="29" spans="2:38">
      <c r="B29" s="1" t="s">
        <v>92</v>
      </c>
      <c r="F29" s="1">
        <v>96.1</v>
      </c>
      <c r="I29" s="1">
        <v>172.7</v>
      </c>
      <c r="AK29" s="1" t="s">
        <v>75</v>
      </c>
      <c r="AL29" s="16">
        <v>0.08</v>
      </c>
    </row>
    <row r="30" spans="2:38">
      <c r="B30" s="1" t="s">
        <v>93</v>
      </c>
      <c r="F30" s="1">
        <v>161.19999999999999</v>
      </c>
      <c r="I30" s="1">
        <v>264.60000000000002</v>
      </c>
    </row>
    <row r="31" spans="2:38">
      <c r="B31" s="1" t="s">
        <v>94</v>
      </c>
      <c r="F31" s="1">
        <v>17.399999999999999</v>
      </c>
      <c r="I31" s="1">
        <v>12.9</v>
      </c>
    </row>
    <row r="32" spans="2:38">
      <c r="B32" s="1" t="s">
        <v>95</v>
      </c>
      <c r="F32" s="1">
        <v>247.5</v>
      </c>
      <c r="I32" s="1">
        <v>246.1</v>
      </c>
    </row>
    <row r="33" spans="2:9">
      <c r="B33" s="1" t="s">
        <v>96</v>
      </c>
      <c r="F33" s="1">
        <v>360.7</v>
      </c>
      <c r="I33" s="1">
        <v>1012</v>
      </c>
    </row>
    <row r="34" spans="2:9">
      <c r="B34" s="1" t="s">
        <v>97</v>
      </c>
      <c r="F34" s="1">
        <v>41.5</v>
      </c>
      <c r="I34" s="1">
        <v>52.2</v>
      </c>
    </row>
    <row r="35" spans="2:9">
      <c r="B35" s="1" t="s">
        <v>98</v>
      </c>
      <c r="F35" s="1">
        <v>47.6</v>
      </c>
      <c r="I35" s="1">
        <v>59.1</v>
      </c>
    </row>
    <row r="36" spans="2:9">
      <c r="B36" s="1" t="s">
        <v>99</v>
      </c>
      <c r="F36" s="1">
        <v>657.9</v>
      </c>
      <c r="I36" s="1">
        <v>633.6</v>
      </c>
    </row>
    <row r="37" spans="2:9" s="7" customFormat="1">
      <c r="B37" s="7" t="s">
        <v>100</v>
      </c>
      <c r="F37" s="7">
        <f>+SUM(F28:F36)</f>
        <v>1671.8999999999999</v>
      </c>
      <c r="I37" s="7">
        <f>+SUM(I28:I36)</f>
        <v>2488.6999999999998</v>
      </c>
    </row>
    <row r="39" spans="2:9">
      <c r="B39" s="1" t="s">
        <v>101</v>
      </c>
      <c r="F39" s="1">
        <v>0</v>
      </c>
      <c r="I39" s="1">
        <v>7.4</v>
      </c>
    </row>
    <row r="40" spans="2:9">
      <c r="B40" s="1" t="s">
        <v>102</v>
      </c>
      <c r="F40" s="1">
        <v>195.5</v>
      </c>
      <c r="I40" s="1">
        <v>301.7</v>
      </c>
    </row>
    <row r="41" spans="2:9">
      <c r="B41" s="1" t="s">
        <v>103</v>
      </c>
      <c r="F41" s="1">
        <v>90.5</v>
      </c>
      <c r="I41" s="1">
        <v>103</v>
      </c>
    </row>
    <row r="42" spans="2:9">
      <c r="B42" s="1" t="s">
        <v>104</v>
      </c>
      <c r="F42" s="1">
        <v>439.9</v>
      </c>
      <c r="I42" s="1">
        <v>1143.3</v>
      </c>
    </row>
    <row r="43" spans="2:9">
      <c r="B43" s="1" t="s">
        <v>105</v>
      </c>
      <c r="F43" s="1">
        <v>54.5</v>
      </c>
      <c r="I43" s="1">
        <v>52.4</v>
      </c>
    </row>
    <row r="44" spans="2:9">
      <c r="B44" s="1" t="s">
        <v>106</v>
      </c>
      <c r="F44" s="1">
        <v>84.6</v>
      </c>
      <c r="I44" s="1">
        <v>85.8</v>
      </c>
    </row>
    <row r="45" spans="2:9">
      <c r="B45" s="1" t="s">
        <v>107</v>
      </c>
      <c r="F45" s="1">
        <v>138.1</v>
      </c>
      <c r="I45" s="1">
        <v>130.5</v>
      </c>
    </row>
    <row r="46" spans="2:9">
      <c r="B46" s="1" t="s">
        <v>90</v>
      </c>
      <c r="F46" s="1">
        <v>668.8</v>
      </c>
      <c r="I46" s="1">
        <v>664.6</v>
      </c>
    </row>
    <row r="47" spans="2:9" s="7" customFormat="1">
      <c r="B47" s="7" t="s">
        <v>91</v>
      </c>
      <c r="F47" s="7">
        <f>+SUM(F39:F46)</f>
        <v>1671.9</v>
      </c>
      <c r="I47" s="7">
        <f>+SUM(I39:I46)</f>
        <v>2488.6999999999998</v>
      </c>
    </row>
    <row r="51" spans="2:9">
      <c r="B51" s="1" t="s">
        <v>108</v>
      </c>
      <c r="E51" s="1">
        <f>125-SUM(C51:D51)</f>
        <v>125</v>
      </c>
      <c r="I51" s="1">
        <f>96.5-SUM(G51:H51)</f>
        <v>96.5</v>
      </c>
    </row>
    <row r="52" spans="2:9">
      <c r="B52" s="1" t="s">
        <v>109</v>
      </c>
      <c r="E52" s="1">
        <f>+-48.5-SUM(C52:D52)</f>
        <v>-48.5</v>
      </c>
      <c r="I52" s="1">
        <f>-83.6-SUM(G52:H52)</f>
        <v>-83.6</v>
      </c>
    </row>
    <row r="53" spans="2:9" s="7" customFormat="1">
      <c r="B53" s="7" t="s">
        <v>110</v>
      </c>
      <c r="E53" s="7">
        <f>+SUM(E51:E52)</f>
        <v>76.5</v>
      </c>
      <c r="I53" s="7">
        <f>+SUM(I51:I52)</f>
        <v>12.900000000000006</v>
      </c>
    </row>
  </sheetData>
  <pageMargins left="0.7" right="0.7" top="0.75" bottom="0.75" header="0.3" footer="0.3"/>
  <ignoredErrors>
    <ignoredError sqref="F15:F21 Z15:Z21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 Brannon</cp:lastModifiedBy>
  <dcterms:created xsi:type="dcterms:W3CDTF">2025-02-09T17:42:42Z</dcterms:created>
  <dcterms:modified xsi:type="dcterms:W3CDTF">2025-06-21T04:30:24Z</dcterms:modified>
</cp:coreProperties>
</file>