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B649517-119B-7945-98B5-CF9CCE18C630}" xr6:coauthVersionLast="47" xr6:coauthVersionMax="47" xr10:uidLastSave="{00000000-0000-0000-0000-000000000000}"/>
  <bookViews>
    <workbookView xWindow="18640" yWindow="760" windowWidth="37900" windowHeight="24420" xr2:uid="{9D33FB8E-931F-7B42-A121-492FAD6D80C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G29" i="2"/>
  <c r="F29" i="2"/>
  <c r="E29" i="2"/>
  <c r="D29" i="2"/>
  <c r="G28" i="2"/>
  <c r="F28" i="2"/>
  <c r="E28" i="2"/>
  <c r="D28" i="2"/>
  <c r="G15" i="2"/>
  <c r="F15" i="2"/>
  <c r="E15" i="2"/>
  <c r="D15" i="2"/>
  <c r="G14" i="2"/>
  <c r="F14" i="2"/>
  <c r="E14" i="2"/>
  <c r="D14" i="2"/>
  <c r="G25" i="2"/>
  <c r="F25" i="2"/>
  <c r="E25" i="2"/>
  <c r="D25" i="2"/>
  <c r="E13" i="2"/>
  <c r="D19" i="2"/>
  <c r="G17" i="2"/>
  <c r="F17" i="2"/>
  <c r="E17" i="2"/>
  <c r="D17" i="2"/>
  <c r="G16" i="2"/>
  <c r="F16" i="2"/>
  <c r="E16" i="2"/>
  <c r="D16" i="2"/>
  <c r="G13" i="2"/>
  <c r="F13" i="2"/>
  <c r="D13" i="2"/>
  <c r="G12" i="2"/>
  <c r="F12" i="2"/>
  <c r="E12" i="2"/>
  <c r="D12" i="2"/>
  <c r="C6" i="2"/>
  <c r="C7" i="2" s="1"/>
  <c r="C8" i="2" s="1"/>
  <c r="F7" i="1"/>
  <c r="D20" i="2" s="1"/>
  <c r="D21" i="2" s="1"/>
  <c r="F8" i="1"/>
  <c r="F9" i="1"/>
  <c r="D31" i="2" l="1"/>
  <c r="D30" i="2"/>
  <c r="F10" i="1"/>
  <c r="G30" i="2"/>
  <c r="G27" i="2"/>
  <c r="D26" i="2"/>
  <c r="E26" i="2"/>
  <c r="D27" i="2"/>
  <c r="G26" i="2"/>
  <c r="G31" i="2"/>
  <c r="F26" i="2"/>
  <c r="E27" i="2"/>
  <c r="E31" i="2"/>
  <c r="E30" i="2"/>
  <c r="F30" i="2"/>
  <c r="F27" i="2"/>
  <c r="F31" i="2"/>
  <c r="H27" i="2" l="1"/>
  <c r="H26" i="2"/>
</calcChain>
</file>

<file path=xl/sharedStrings.xml><?xml version="1.0" encoding="utf-8"?>
<sst xmlns="http://schemas.openxmlformats.org/spreadsheetml/2006/main" count="56" uniqueCount="53">
  <si>
    <t>Price</t>
  </si>
  <si>
    <t>S</t>
  </si>
  <si>
    <t>MC</t>
  </si>
  <si>
    <t>C</t>
  </si>
  <si>
    <t>D</t>
  </si>
  <si>
    <t>EV</t>
  </si>
  <si>
    <t xml:space="preserve">Key Asset </t>
  </si>
  <si>
    <t>Peak Gold LLC</t>
  </si>
  <si>
    <t xml:space="preserve">Interest </t>
  </si>
  <si>
    <t>Contango Minerals Alaska</t>
  </si>
  <si>
    <t>mineral rights to 154,000 acres of State of Alska claims near t</t>
  </si>
  <si>
    <t xml:space="preserve">Manh Choh Project </t>
  </si>
  <si>
    <t>30% (via Peak Gold Jv)</t>
  </si>
  <si>
    <t xml:space="preserve">critical to the company's future success </t>
  </si>
  <si>
    <t xml:space="preserve">U.S&gt; Gold corp </t>
  </si>
  <si>
    <t xml:space="preserve">Details </t>
  </si>
  <si>
    <t>675,000 acres from Tetlin Tribal Council and owns 13,000 State of Alaska mining claims through subsid CORE alaska LLC</t>
  </si>
  <si>
    <t>CK Gold Project</t>
  </si>
  <si>
    <t>bgan prod in july 2024, first gold poured at ft. knock fac.  Generate d$19.5m cash dist as of sept 2024. on track for 2024 planned prod</t>
  </si>
  <si>
    <t>Johnson Tract Project</t>
  </si>
  <si>
    <t>surface drilling campaign begin July 2024 targeting 3000m across 20 drill holes.  Completed 1500m by sept july 2024. received u.s. army corp "404" permit for construction work (2025-2029) including road and airfield upgrades</t>
  </si>
  <si>
    <t>Market Cap</t>
  </si>
  <si>
    <t>Shares</t>
  </si>
  <si>
    <t>Current Price</t>
  </si>
  <si>
    <t xml:space="preserve">Manh Choh Feasibility </t>
  </si>
  <si>
    <t>Years</t>
  </si>
  <si>
    <t>Price Per Share</t>
  </si>
  <si>
    <t>Gold Production oz</t>
  </si>
  <si>
    <t>AISC oz</t>
  </si>
  <si>
    <t>Gold Price ($/oz)</t>
  </si>
  <si>
    <t>NPV Analysis</t>
  </si>
  <si>
    <t xml:space="preserve">LINK </t>
  </si>
  <si>
    <t xml:space="preserve">analysts </t>
  </si>
  <si>
    <t>Richard Gray</t>
  </si>
  <si>
    <t>Tate Sullivan</t>
  </si>
  <si>
    <t>Vitaly Kononov Freedom Broker</t>
  </si>
  <si>
    <t>Mike Kozak; Cantor Fitzgerald</t>
  </si>
  <si>
    <t>Sid Rajeev</t>
  </si>
  <si>
    <t>Mike Niehuser</t>
  </si>
  <si>
    <t>Christian Frost</t>
  </si>
  <si>
    <t>416-943-6407</t>
  </si>
  <si>
    <t>212-895-3527</t>
  </si>
  <si>
    <t>971-52-6383747</t>
  </si>
  <si>
    <t>416-350-8152</t>
  </si>
  <si>
    <t>604-682-7065</t>
  </si>
  <si>
    <t>949-402-5336</t>
  </si>
  <si>
    <t>rgray@cormark.com</t>
  </si>
  <si>
    <t>tsullivan@maximgrp.com</t>
  </si>
  <si>
    <t>vitaly.kononov@ffin.ae</t>
  </si>
  <si>
    <t>mike.kozak@cantor.com</t>
  </si>
  <si>
    <t>sidr@researchfrc.com</t>
  </si>
  <si>
    <t>mniehuser@roth.com</t>
  </si>
  <si>
    <t xml:space="preserve">Mean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</si>
</sst>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0.0"/>
    <numFmt numFmtId="165" formatCode="#,##0.0"/>
    <numFmt numFmtId="166" formatCode="#,##0.0_);[Red]\(#,##0.0\)"/>
    <numFmt numFmtId="171" formatCode="#,##0&quot;M&quot;"/>
    <numFmt numFmtId="172" formatCode="#,##0.0&quot;M&quot;"/>
    <numFmt numFmtId="173" formatCode="&quot;$&quot;#,##0.0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sz val="10"/>
      <color theme="0"/>
      <name val="ArialMT"/>
    </font>
    <font>
      <u/>
      <sz val="10"/>
      <color theme="10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3" fontId="4" fillId="0" borderId="0" xfId="1" applyNumberFormat="1"/>
    <xf numFmtId="9" fontId="1" fillId="0" borderId="0" xfId="0" applyNumberFormat="1" applyFont="1"/>
    <xf numFmtId="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166" fontId="0" fillId="0" borderId="0" xfId="0" applyNumberFormat="1" applyAlignment="1">
      <alignment horizontal="center"/>
    </xf>
    <xf numFmtId="9" fontId="3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3" borderId="0" xfId="0" applyNumberFormat="1" applyFill="1"/>
    <xf numFmtId="166" fontId="0" fillId="3" borderId="0" xfId="0" applyNumberForma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6" fontId="0" fillId="0" borderId="0" xfId="0" applyNumberFormat="1"/>
    <xf numFmtId="166" fontId="1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niehuser@roth.com" TargetMode="External"/><Relationship Id="rId3" Type="http://schemas.openxmlformats.org/officeDocument/2006/relationships/hyperlink" Target="mailto:rgray@cormark.com" TargetMode="External"/><Relationship Id="rId7" Type="http://schemas.openxmlformats.org/officeDocument/2006/relationships/hyperlink" Target="mailto:sidr@researchfrc.com" TargetMode="External"/><Relationship Id="rId2" Type="http://schemas.openxmlformats.org/officeDocument/2006/relationships/hyperlink" Target="https://www.contangoore.com/projects/overview" TargetMode="External"/><Relationship Id="rId1" Type="http://schemas.openxmlformats.org/officeDocument/2006/relationships/hyperlink" Target="https://cdn.prod.website-files.com/5fc5d36fd44fd675102e4420/6470afdaf94d2ac9f93d93e0_SIMS%20Contango%20Manh%20Choh%20Project%20S-K%201300%20TRS%20FINAL%2020230524%20(1)-compressed.pdf" TargetMode="External"/><Relationship Id="rId6" Type="http://schemas.openxmlformats.org/officeDocument/2006/relationships/hyperlink" Target="mailto:mike.kozak@cantor.com" TargetMode="External"/><Relationship Id="rId5" Type="http://schemas.openxmlformats.org/officeDocument/2006/relationships/hyperlink" Target="mailto:vitaly.kononov@ffin.ae" TargetMode="External"/><Relationship Id="rId4" Type="http://schemas.openxmlformats.org/officeDocument/2006/relationships/hyperlink" Target="mailto:tsullivan@maximg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C3B2-4258-3247-9E38-0D7F3E6DAE54}">
  <dimension ref="B2:I33"/>
  <sheetViews>
    <sheetView tabSelected="1" zoomScale="150" workbookViewId="0">
      <selection activeCell="I32" sqref="I32"/>
    </sheetView>
  </sheetViews>
  <sheetFormatPr baseColWidth="10" defaultRowHeight="13"/>
  <cols>
    <col min="1" max="1" width="10.83203125" style="1"/>
    <col min="2" max="2" width="21.6640625" style="1" bestFit="1" customWidth="1"/>
    <col min="3" max="4" width="10.83203125" style="1"/>
    <col min="5" max="5" width="5.6640625" style="1" customWidth="1"/>
    <col min="6" max="6" width="4.1640625" style="1" bestFit="1" customWidth="1"/>
    <col min="7" max="7" width="10.83203125" style="1"/>
    <col min="8" max="8" width="12.6640625" style="1" bestFit="1" customWidth="1"/>
    <col min="9" max="16384" width="10.83203125" style="1"/>
  </cols>
  <sheetData>
    <row r="2" spans="2:6">
      <c r="B2" s="1" t="s">
        <v>14</v>
      </c>
    </row>
    <row r="5" spans="2:6">
      <c r="B5" s="8" t="s">
        <v>31</v>
      </c>
      <c r="E5" s="1" t="s">
        <v>0</v>
      </c>
      <c r="F5" s="1">
        <v>11.1</v>
      </c>
    </row>
    <row r="6" spans="2:6">
      <c r="E6" s="1" t="s">
        <v>1</v>
      </c>
      <c r="F6" s="1">
        <v>12.228479</v>
      </c>
    </row>
    <row r="7" spans="2:6">
      <c r="E7" s="1" t="s">
        <v>2</v>
      </c>
      <c r="F7" s="1">
        <f>+F5*F6</f>
        <v>135.73611689999998</v>
      </c>
    </row>
    <row r="8" spans="2:6">
      <c r="E8" s="1" t="s">
        <v>3</v>
      </c>
      <c r="F8" s="1">
        <f>36.165442+0.235364</f>
        <v>36.400805999999996</v>
      </c>
    </row>
    <row r="9" spans="2:6">
      <c r="E9" s="1" t="s">
        <v>4</v>
      </c>
      <c r="F9" s="1">
        <f>34.9+38.962344</f>
        <v>73.862344000000007</v>
      </c>
    </row>
    <row r="10" spans="2:6">
      <c r="E10" s="1" t="s">
        <v>5</v>
      </c>
      <c r="F10" s="1">
        <f>+F7-F8+F9</f>
        <v>173.1976549</v>
      </c>
    </row>
    <row r="12" spans="2:6">
      <c r="B12" s="4"/>
    </row>
    <row r="14" spans="2:6">
      <c r="B14" s="1" t="s">
        <v>6</v>
      </c>
      <c r="C14" s="1" t="s">
        <v>8</v>
      </c>
      <c r="D14" s="1" t="s">
        <v>15</v>
      </c>
    </row>
    <row r="15" spans="2:6">
      <c r="B15" s="1" t="s">
        <v>7</v>
      </c>
      <c r="C15" s="2">
        <v>0.3</v>
      </c>
      <c r="D15" s="1" t="s">
        <v>16</v>
      </c>
    </row>
    <row r="16" spans="2:6">
      <c r="B16" s="3" t="s">
        <v>11</v>
      </c>
      <c r="C16" s="1" t="s">
        <v>12</v>
      </c>
      <c r="D16" s="1" t="s">
        <v>18</v>
      </c>
    </row>
    <row r="17" spans="2:9">
      <c r="B17" s="1" t="s">
        <v>9</v>
      </c>
      <c r="C17" s="2">
        <v>1</v>
      </c>
      <c r="D17" s="1" t="s">
        <v>10</v>
      </c>
    </row>
    <row r="18" spans="2:9">
      <c r="B18" s="1" t="s">
        <v>17</v>
      </c>
    </row>
    <row r="19" spans="2:9">
      <c r="B19" s="1" t="s">
        <v>19</v>
      </c>
      <c r="C19" s="2">
        <v>1</v>
      </c>
      <c r="D19" s="1" t="s">
        <v>20</v>
      </c>
    </row>
    <row r="23" spans="2:9">
      <c r="B23" s="3" t="s">
        <v>11</v>
      </c>
      <c r="C23" s="1" t="s">
        <v>13</v>
      </c>
    </row>
    <row r="26" spans="2:9">
      <c r="G26" s="4" t="s">
        <v>32</v>
      </c>
    </row>
    <row r="27" spans="2:9">
      <c r="B27" s="8" t="s">
        <v>24</v>
      </c>
      <c r="G27" s="1" t="s">
        <v>33</v>
      </c>
      <c r="H27" s="1" t="s">
        <v>40</v>
      </c>
      <c r="I27" s="25" t="s">
        <v>46</v>
      </c>
    </row>
    <row r="28" spans="2:9">
      <c r="G28" s="1" t="s">
        <v>34</v>
      </c>
      <c r="H28" s="1" t="s">
        <v>41</v>
      </c>
      <c r="I28" s="25" t="s">
        <v>47</v>
      </c>
    </row>
    <row r="29" spans="2:9">
      <c r="G29" s="1" t="s">
        <v>35</v>
      </c>
      <c r="H29" s="1" t="s">
        <v>42</v>
      </c>
      <c r="I29" s="25" t="s">
        <v>48</v>
      </c>
    </row>
    <row r="30" spans="2:9">
      <c r="G30" s="1" t="s">
        <v>36</v>
      </c>
      <c r="H30" s="1" t="s">
        <v>43</v>
      </c>
      <c r="I30" s="25" t="s">
        <v>49</v>
      </c>
    </row>
    <row r="31" spans="2:9">
      <c r="G31" s="1" t="s">
        <v>37</v>
      </c>
      <c r="H31" s="1" t="s">
        <v>44</v>
      </c>
      <c r="I31" s="25" t="s">
        <v>50</v>
      </c>
    </row>
    <row r="32" spans="2:9">
      <c r="G32" s="1" t="s">
        <v>38</v>
      </c>
      <c r="H32" s="1" t="s">
        <v>45</v>
      </c>
      <c r="I32" s="25" t="s">
        <v>51</v>
      </c>
    </row>
    <row r="33" spans="7:7">
      <c r="G33" s="1" t="s">
        <v>39</v>
      </c>
    </row>
  </sheetData>
  <hyperlinks>
    <hyperlink ref="B27" r:id="rId1" xr:uid="{B0593277-1E8A-2C4B-8F1A-D9E1386A32AA}"/>
    <hyperlink ref="B5" r:id="rId2" xr:uid="{01A2687F-896A-384B-971A-50D53FE4F0D1}"/>
    <hyperlink ref="I27" r:id="rId3" display="mailto:rgray@cormark.com" xr:uid="{A637F5E8-1DDD-3849-B607-CBEB55E06830}"/>
    <hyperlink ref="I28" r:id="rId4" display="mailto:tsullivan@maximgrp.com" xr:uid="{B6D642A7-D5EF-7941-BE47-54B60EBA0047}"/>
    <hyperlink ref="I29" r:id="rId5" display="mailto:vitaly.kononov@ffin.ae" xr:uid="{55D5A707-D3E7-DE4F-995D-C24AB374E111}"/>
    <hyperlink ref="I30" r:id="rId6" display="mailto:mike.kozak@cantor.com" xr:uid="{03BFBD87-97A3-6149-A252-0B832E43A431}"/>
    <hyperlink ref="I31" r:id="rId7" display="mailto:sidr@researchfrc.com" xr:uid="{B91DF9DB-E64D-E545-94BA-A3A6447F5DFE}"/>
    <hyperlink ref="I32" r:id="rId8" xr:uid="{6F29F3D4-3340-CE48-8D84-D20BC74615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208-2A15-4143-AF10-E58C6DBE0159}">
  <dimension ref="C1:M51"/>
  <sheetViews>
    <sheetView showGridLines="0" zoomScale="130" zoomScaleNormal="130" workbookViewId="0">
      <selection activeCell="F39" sqref="F39"/>
    </sheetView>
  </sheetViews>
  <sheetFormatPr baseColWidth="10" defaultRowHeight="13"/>
  <cols>
    <col min="1" max="1" width="1.83203125" customWidth="1"/>
    <col min="2" max="2" width="8.1640625" bestFit="1" customWidth="1"/>
    <col min="3" max="3" width="15.1640625" bestFit="1" customWidth="1"/>
    <col min="4" max="4" width="16.83203125" bestFit="1" customWidth="1"/>
    <col min="5" max="5" width="15.1640625" bestFit="1" customWidth="1"/>
    <col min="6" max="6" width="14.6640625" bestFit="1" customWidth="1"/>
    <col min="7" max="9" width="15.1640625" bestFit="1" customWidth="1"/>
  </cols>
  <sheetData>
    <row r="1" spans="3:13">
      <c r="C1" s="9"/>
    </row>
    <row r="2" spans="3:13">
      <c r="C2" s="9" t="s">
        <v>11</v>
      </c>
    </row>
    <row r="3" spans="3:13">
      <c r="C3" s="9"/>
    </row>
    <row r="4" spans="3:13">
      <c r="C4" s="7" t="s">
        <v>25</v>
      </c>
      <c r="D4" s="7" t="s">
        <v>27</v>
      </c>
      <c r="E4" s="7" t="s">
        <v>28</v>
      </c>
      <c r="F4" s="7"/>
    </row>
    <row r="5" spans="3:13">
      <c r="C5" s="5">
        <v>2024</v>
      </c>
      <c r="D5" s="6">
        <v>38500</v>
      </c>
      <c r="E5" s="6">
        <v>1700</v>
      </c>
      <c r="F5" s="18"/>
    </row>
    <row r="6" spans="3:13">
      <c r="C6" s="5">
        <f>+C5+1</f>
        <v>2025</v>
      </c>
      <c r="D6" s="6">
        <v>60000</v>
      </c>
      <c r="E6" s="6">
        <v>1700</v>
      </c>
      <c r="F6" s="18"/>
    </row>
    <row r="7" spans="3:13">
      <c r="C7" s="5">
        <f t="shared" ref="C7:C8" si="0">+C6+1</f>
        <v>2026</v>
      </c>
      <c r="D7" s="6">
        <v>60000</v>
      </c>
      <c r="E7" s="6">
        <v>1400</v>
      </c>
      <c r="F7" s="18"/>
    </row>
    <row r="8" spans="3:13">
      <c r="C8" s="5">
        <f t="shared" si="0"/>
        <v>2027</v>
      </c>
      <c r="D8" s="6">
        <v>60000</v>
      </c>
      <c r="E8" s="6">
        <v>1400</v>
      </c>
      <c r="F8" s="18"/>
    </row>
    <row r="9" spans="3:13">
      <c r="L9" s="15"/>
      <c r="M9" s="3"/>
    </row>
    <row r="10" spans="3:13">
      <c r="C10" s="21" t="s">
        <v>30</v>
      </c>
      <c r="D10" s="22"/>
      <c r="E10" s="22"/>
      <c r="F10" s="22"/>
      <c r="G10" s="23"/>
      <c r="M10" s="1"/>
    </row>
    <row r="11" spans="3:13">
      <c r="C11" s="7" t="s">
        <v>29</v>
      </c>
      <c r="D11" s="17">
        <v>0.06</v>
      </c>
      <c r="E11" s="17">
        <v>7.0000000000000007E-2</v>
      </c>
      <c r="F11" s="17">
        <v>0.08</v>
      </c>
      <c r="G11" s="17">
        <v>0.09</v>
      </c>
      <c r="M11" s="12"/>
    </row>
    <row r="12" spans="3:13">
      <c r="C12" s="1">
        <v>2000</v>
      </c>
      <c r="D12" s="16">
        <f t="shared" ref="D12:G17" si="1">(NPV(D$11,$D$5 * ($C12-$E$5),$D$6 * ($C12-$E$6),$D$7 * ($C12-$E$7),$D$8 * ($C12-$E$8)))/10^6</f>
        <v>85.657828401082241</v>
      </c>
      <c r="E12" s="16">
        <f t="shared" si="1"/>
        <v>83.367240834063864</v>
      </c>
      <c r="F12" s="16">
        <f t="shared" si="1"/>
        <v>81.165578587274965</v>
      </c>
      <c r="G12" s="16">
        <f t="shared" si="1"/>
        <v>79.048483034572826</v>
      </c>
      <c r="M12" s="1"/>
    </row>
    <row r="13" spans="3:13">
      <c r="C13" s="1">
        <v>2200</v>
      </c>
      <c r="D13" s="16">
        <f t="shared" si="1"/>
        <v>123.18249197989323</v>
      </c>
      <c r="E13" s="16">
        <f>(NPV(E$11,$D$5 * ($C13-$E$5),$D$6 * ($C13-$E$6),$D$7 * ($C13-$E$7),$D$8 * ($C13-$E$8)))/10^6</f>
        <v>119.99508432284594</v>
      </c>
      <c r="F13" s="16">
        <f t="shared" si="1"/>
        <v>116.92961918632548</v>
      </c>
      <c r="G13" s="16">
        <f t="shared" si="1"/>
        <v>113.98016743077289</v>
      </c>
      <c r="M13" s="2"/>
    </row>
    <row r="14" spans="3:13">
      <c r="C14" s="1">
        <v>2300</v>
      </c>
      <c r="D14" s="16">
        <f t="shared" si="1"/>
        <v>141.94482376929869</v>
      </c>
      <c r="E14" s="16">
        <f>(NPV(E$11,$D$5 * ($C14-$E$5),$D$6 * ($C14-$E$6),$D$7 * ($C14-$E$7),$D$8 * ($C14-$E$8)))/10^6</f>
        <v>138.30900606723694</v>
      </c>
      <c r="F14" s="16">
        <f t="shared" si="1"/>
        <v>134.81163948585069</v>
      </c>
      <c r="G14" s="16">
        <f t="shared" si="1"/>
        <v>131.44600962887293</v>
      </c>
      <c r="M14" s="2"/>
    </row>
    <row r="15" spans="3:13">
      <c r="C15" s="1">
        <v>2400</v>
      </c>
      <c r="D15" s="16">
        <f t="shared" si="1"/>
        <v>160.70715555870419</v>
      </c>
      <c r="E15" s="16">
        <f>(NPV(E$11,$D$5 * ($C15-$E$5),$D$6 * ($C15-$E$6),$D$7 * ($C15-$E$7),$D$8 * ($C15-$E$8)))/10^6</f>
        <v>156.62292781162799</v>
      </c>
      <c r="F15" s="16">
        <f t="shared" si="1"/>
        <v>152.69365978537598</v>
      </c>
      <c r="G15" s="16">
        <f t="shared" si="1"/>
        <v>148.91185182697299</v>
      </c>
      <c r="M15" s="2"/>
    </row>
    <row r="16" spans="3:13">
      <c r="C16" s="19">
        <v>2500</v>
      </c>
      <c r="D16" s="20">
        <f t="shared" si="1"/>
        <v>179.46948734810965</v>
      </c>
      <c r="E16" s="20">
        <f t="shared" si="1"/>
        <v>174.93684955601898</v>
      </c>
      <c r="F16" s="20">
        <f t="shared" si="1"/>
        <v>170.57568008490125</v>
      </c>
      <c r="G16" s="20">
        <f t="shared" si="1"/>
        <v>166.37769402507303</v>
      </c>
    </row>
    <row r="17" spans="3:8">
      <c r="C17" s="1">
        <v>2600</v>
      </c>
      <c r="D17" s="16">
        <f t="shared" si="1"/>
        <v>198.23181913751515</v>
      </c>
      <c r="E17" s="16">
        <f t="shared" si="1"/>
        <v>193.25077130041001</v>
      </c>
      <c r="F17" s="16">
        <f t="shared" si="1"/>
        <v>188.45770038442649</v>
      </c>
      <c r="G17" s="16">
        <f t="shared" si="1"/>
        <v>183.84353622317309</v>
      </c>
    </row>
    <row r="18" spans="3:8">
      <c r="C18" s="1"/>
      <c r="D18" s="16"/>
      <c r="E18" s="16"/>
      <c r="F18" s="16"/>
      <c r="G18" s="16"/>
    </row>
    <row r="19" spans="3:8">
      <c r="C19" s="9" t="s">
        <v>22</v>
      </c>
      <c r="D19" s="26">
        <f>+main!F6</f>
        <v>12.228479</v>
      </c>
    </row>
    <row r="20" spans="3:8">
      <c r="C20" s="9" t="s">
        <v>21</v>
      </c>
      <c r="D20" s="27">
        <f>+main!F7</f>
        <v>135.73611689999998</v>
      </c>
    </row>
    <row r="21" spans="3:8">
      <c r="C21" s="9" t="s">
        <v>23</v>
      </c>
      <c r="D21" s="28">
        <f>+D20/D19</f>
        <v>11.099999999999998</v>
      </c>
    </row>
    <row r="22" spans="3:8">
      <c r="C22" s="9"/>
      <c r="D22" s="18"/>
    </row>
    <row r="23" spans="3:8">
      <c r="C23" s="24"/>
      <c r="D23" s="24"/>
      <c r="E23" s="24"/>
      <c r="F23" s="24"/>
      <c r="G23" s="24"/>
    </row>
    <row r="24" spans="3:8">
      <c r="C24" s="21" t="s">
        <v>26</v>
      </c>
      <c r="D24" s="22"/>
      <c r="E24" s="22"/>
      <c r="F24" s="22"/>
      <c r="G24" s="23"/>
    </row>
    <row r="25" spans="3:8">
      <c r="C25" s="7" t="s">
        <v>29</v>
      </c>
      <c r="D25" s="17">
        <f>+D11</f>
        <v>0.06</v>
      </c>
      <c r="E25" s="17">
        <f t="shared" ref="E25:G25" si="2">+E11</f>
        <v>7.0000000000000007E-2</v>
      </c>
      <c r="F25" s="17">
        <f t="shared" si="2"/>
        <v>0.08</v>
      </c>
      <c r="G25" s="17">
        <f t="shared" si="2"/>
        <v>0.09</v>
      </c>
      <c r="H25" s="31" t="s">
        <v>52</v>
      </c>
    </row>
    <row r="26" spans="3:8">
      <c r="C26" s="1">
        <v>2000</v>
      </c>
      <c r="D26" s="16">
        <f>+D12/$D$19</f>
        <v>7.0047819030545204</v>
      </c>
      <c r="E26" s="16">
        <f>+E12/$D$19</f>
        <v>6.8174660833995677</v>
      </c>
      <c r="F26" s="16">
        <f>+F12/$D$19</f>
        <v>6.637422249101868</v>
      </c>
      <c r="G26" s="16">
        <f>+G12/$D$19</f>
        <v>6.4642939677594269</v>
      </c>
      <c r="H26" s="29">
        <f>AVERAGE(D26:G26)</f>
        <v>6.7309910508288455</v>
      </c>
    </row>
    <row r="27" spans="3:8">
      <c r="C27" s="1">
        <v>2200</v>
      </c>
      <c r="D27" s="16">
        <f>+D13/$D$19</f>
        <v>10.073410763504867</v>
      </c>
      <c r="E27" s="16">
        <f>+E13/$D$19</f>
        <v>9.8127562980519443</v>
      </c>
      <c r="F27" s="16">
        <f>+F13/$D$19</f>
        <v>9.5620738430613876</v>
      </c>
      <c r="G27" s="16">
        <f>+G13/$D$19</f>
        <v>9.320878535325031</v>
      </c>
      <c r="H27" s="29">
        <f>AVERAGE(D27:G27)</f>
        <v>9.692279859985808</v>
      </c>
    </row>
    <row r="28" spans="3:8">
      <c r="C28" s="1">
        <v>2300</v>
      </c>
      <c r="D28" s="16">
        <f>+D14/$D$19</f>
        <v>11.607725193730037</v>
      </c>
      <c r="E28" s="16">
        <f>+E14/$D$19</f>
        <v>11.310401405378128</v>
      </c>
      <c r="F28" s="16">
        <f>+F14/$D$19</f>
        <v>11.024399640041144</v>
      </c>
      <c r="G28" s="16">
        <f>+G14/$D$19</f>
        <v>10.749170819107832</v>
      </c>
      <c r="H28" s="29">
        <f>AVERAGE(D28:G28)</f>
        <v>11.172924264564285</v>
      </c>
    </row>
    <row r="29" spans="3:8">
      <c r="C29" s="1">
        <v>2400</v>
      </c>
      <c r="D29" s="16">
        <f>+D15/$D$19</f>
        <v>13.14203962395521</v>
      </c>
      <c r="E29" s="16">
        <f>+E15/$D$19</f>
        <v>12.808046512704317</v>
      </c>
      <c r="F29" s="16">
        <f>+F15/$D$19</f>
        <v>12.486725437020906</v>
      </c>
      <c r="G29" s="16">
        <f>+G15/$D$19</f>
        <v>12.177463102890636</v>
      </c>
      <c r="H29" s="29">
        <f>AVERAGE(D29:G29)</f>
        <v>12.653568669142768</v>
      </c>
    </row>
    <row r="30" spans="3:8">
      <c r="C30" s="1">
        <v>2500</v>
      </c>
      <c r="D30" s="30">
        <f>+D16/$D$19</f>
        <v>14.676354054180381</v>
      </c>
      <c r="E30" s="16">
        <f>+E16/$D$19</f>
        <v>14.305691620030503</v>
      </c>
      <c r="F30" s="16">
        <f>+F16/$D$19</f>
        <v>13.949051234000667</v>
      </c>
      <c r="G30" s="16">
        <f>+G16/$D$19</f>
        <v>13.605755386673438</v>
      </c>
      <c r="H30" s="29">
        <f>AVERAGE(D30:G30)</f>
        <v>14.134213073721247</v>
      </c>
    </row>
    <row r="31" spans="3:8">
      <c r="C31" s="1">
        <v>2600</v>
      </c>
      <c r="D31" s="16">
        <f>+D17/$D$19</f>
        <v>16.210668484405552</v>
      </c>
      <c r="E31" s="16">
        <f>+E17/$D$19</f>
        <v>15.80333672735669</v>
      </c>
      <c r="F31" s="16">
        <f>+F17/$D$19</f>
        <v>15.411377030980425</v>
      </c>
      <c r="G31" s="16">
        <f>+G17/$D$19</f>
        <v>15.034047670456243</v>
      </c>
      <c r="H31" s="29">
        <f>AVERAGE(D31:G31)</f>
        <v>15.614857478299726</v>
      </c>
    </row>
    <row r="32" spans="3:8">
      <c r="D32" s="12"/>
    </row>
    <row r="33" spans="3:6">
      <c r="D33" s="12"/>
    </row>
    <row r="34" spans="3:6">
      <c r="D34" s="2"/>
    </row>
    <row r="37" spans="3:6">
      <c r="C37" s="3"/>
    </row>
    <row r="38" spans="3:6">
      <c r="C38" s="9"/>
    </row>
    <row r="39" spans="3:6">
      <c r="C39" s="9"/>
    </row>
    <row r="40" spans="3:6">
      <c r="C40" s="13"/>
      <c r="D40" s="13"/>
      <c r="E40" s="13"/>
      <c r="F40" s="13"/>
    </row>
    <row r="41" spans="3:6">
      <c r="D41" s="1"/>
      <c r="E41" s="1"/>
      <c r="F41" s="11"/>
    </row>
    <row r="42" spans="3:6">
      <c r="D42" s="1"/>
      <c r="E42" s="1"/>
      <c r="F42" s="11"/>
    </row>
    <row r="43" spans="3:6">
      <c r="D43" s="1"/>
      <c r="E43" s="1"/>
      <c r="F43" s="11"/>
    </row>
    <row r="44" spans="3:6">
      <c r="D44" s="1"/>
      <c r="E44" s="1"/>
      <c r="F44" s="11"/>
    </row>
    <row r="46" spans="3:6">
      <c r="D46" s="10"/>
    </row>
    <row r="47" spans="3:6">
      <c r="D47" s="11"/>
    </row>
    <row r="48" spans="3:6">
      <c r="D48" s="12"/>
    </row>
    <row r="49" spans="4:4">
      <c r="D49" s="12"/>
    </row>
    <row r="50" spans="4:4">
      <c r="D50" s="2"/>
    </row>
    <row r="51" spans="4:4" s="14" customFormat="1"/>
  </sheetData>
  <mergeCells count="3">
    <mergeCell ref="C10:G10"/>
    <mergeCell ref="C23:G23"/>
    <mergeCell ref="C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2024-12-08T21:06:04Z</dcterms:created>
  <dcterms:modified xsi:type="dcterms:W3CDTF">2025-01-05T14:51:07Z</dcterms:modified>
</cp:coreProperties>
</file>