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Basic Materials/agricultural inputs/"/>
    </mc:Choice>
  </mc:AlternateContent>
  <xr:revisionPtr revIDLastSave="0" documentId="13_ncr:1_{CE71EFBE-DDEF-4B41-B90F-8881A9B1E21F}" xr6:coauthVersionLast="47" xr6:coauthVersionMax="47" xr10:uidLastSave="{00000000-0000-0000-0000-000000000000}"/>
  <bookViews>
    <workbookView xWindow="22000" yWindow="1600" windowWidth="29200" windowHeight="21880" xr2:uid="{F509E0CF-2959-224B-8C22-30F868E5ACC8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6" i="1" l="1"/>
  <c r="AI33" i="1"/>
  <c r="AI31" i="1"/>
  <c r="Y13" i="1"/>
  <c r="Z13" i="1" s="1"/>
  <c r="AA13" i="1" s="1"/>
  <c r="AB13" i="1" s="1"/>
  <c r="AC13" i="1" s="1"/>
  <c r="AD13" i="1" s="1"/>
  <c r="AE13" i="1" s="1"/>
  <c r="AF13" i="1" s="1"/>
  <c r="X13" i="1"/>
  <c r="W7" i="1"/>
  <c r="W3" i="1" s="1"/>
  <c r="W23" i="1" s="1"/>
  <c r="W5" i="1"/>
  <c r="W25" i="1" s="1"/>
  <c r="W4" i="1"/>
  <c r="W24" i="1" s="1"/>
  <c r="W13" i="1"/>
  <c r="W36" i="1"/>
  <c r="AF32" i="1"/>
  <c r="AE32" i="1"/>
  <c r="AD32" i="1"/>
  <c r="AC32" i="1"/>
  <c r="AB32" i="1"/>
  <c r="AA32" i="1"/>
  <c r="Z32" i="1"/>
  <c r="Y32" i="1"/>
  <c r="X32" i="1"/>
  <c r="W32" i="1"/>
  <c r="AF31" i="1"/>
  <c r="AE31" i="1"/>
  <c r="AD31" i="1"/>
  <c r="AC31" i="1"/>
  <c r="AB31" i="1"/>
  <c r="AA31" i="1"/>
  <c r="Z31" i="1"/>
  <c r="Y31" i="1"/>
  <c r="X31" i="1"/>
  <c r="W31" i="1"/>
  <c r="AF30" i="1"/>
  <c r="AE30" i="1"/>
  <c r="AD30" i="1"/>
  <c r="AC30" i="1"/>
  <c r="AB30" i="1"/>
  <c r="AA30" i="1"/>
  <c r="Z30" i="1"/>
  <c r="Y30" i="1"/>
  <c r="X30" i="1"/>
  <c r="W30" i="1"/>
  <c r="AF29" i="1"/>
  <c r="AE29" i="1"/>
  <c r="AD29" i="1"/>
  <c r="AC29" i="1"/>
  <c r="AB29" i="1"/>
  <c r="AA29" i="1"/>
  <c r="Z29" i="1"/>
  <c r="Y29" i="1"/>
  <c r="X29" i="1"/>
  <c r="W29" i="1"/>
  <c r="AF28" i="1"/>
  <c r="AE28" i="1"/>
  <c r="AD28" i="1"/>
  <c r="AC28" i="1"/>
  <c r="AB28" i="1"/>
  <c r="AA28" i="1"/>
  <c r="Z28" i="1"/>
  <c r="Y28" i="1"/>
  <c r="X28" i="1"/>
  <c r="W28" i="1"/>
  <c r="AF12" i="1"/>
  <c r="AE12" i="1"/>
  <c r="AD12" i="1"/>
  <c r="AC12" i="1"/>
  <c r="AB12" i="1"/>
  <c r="AA12" i="1"/>
  <c r="Z12" i="1"/>
  <c r="Y12" i="1"/>
  <c r="X12" i="1"/>
  <c r="W12" i="1"/>
  <c r="Y11" i="1"/>
  <c r="Z11" i="1" s="1"/>
  <c r="AA11" i="1" s="1"/>
  <c r="AB11" i="1" s="1"/>
  <c r="AC11" i="1" s="1"/>
  <c r="AD11" i="1" s="1"/>
  <c r="AE11" i="1" s="1"/>
  <c r="AF11" i="1" s="1"/>
  <c r="X11" i="1"/>
  <c r="X10" i="1"/>
  <c r="Y10" i="1" s="1"/>
  <c r="Z10" i="1" s="1"/>
  <c r="AA10" i="1" s="1"/>
  <c r="AB10" i="1" s="1"/>
  <c r="AC10" i="1" s="1"/>
  <c r="AD10" i="1" s="1"/>
  <c r="AE10" i="1" s="1"/>
  <c r="AF10" i="1" s="1"/>
  <c r="X9" i="1"/>
  <c r="Y9" i="1" s="1"/>
  <c r="Z9" i="1" s="1"/>
  <c r="AA9" i="1" s="1"/>
  <c r="AB9" i="1" s="1"/>
  <c r="AC9" i="1" s="1"/>
  <c r="AD9" i="1" s="1"/>
  <c r="AE9" i="1" s="1"/>
  <c r="AF9" i="1" s="1"/>
  <c r="W11" i="1"/>
  <c r="W10" i="1"/>
  <c r="W9" i="1"/>
  <c r="Y8" i="1"/>
  <c r="Z8" i="1" s="1"/>
  <c r="AA8" i="1" s="1"/>
  <c r="AB8" i="1" s="1"/>
  <c r="AC8" i="1" s="1"/>
  <c r="AD8" i="1" s="1"/>
  <c r="AE8" i="1" s="1"/>
  <c r="AF8" i="1" s="1"/>
  <c r="X8" i="1"/>
  <c r="W8" i="1"/>
  <c r="AF18" i="1"/>
  <c r="AE18" i="1"/>
  <c r="AD18" i="1"/>
  <c r="AC18" i="1"/>
  <c r="AB18" i="1"/>
  <c r="AA18" i="1"/>
  <c r="Z18" i="1"/>
  <c r="Y18" i="1"/>
  <c r="X18" i="1"/>
  <c r="W18" i="1"/>
  <c r="Z38" i="1"/>
  <c r="AA38" i="1" s="1"/>
  <c r="AB38" i="1" s="1"/>
  <c r="AC38" i="1" s="1"/>
  <c r="AD38" i="1" s="1"/>
  <c r="AE38" i="1" s="1"/>
  <c r="AF38" i="1" s="1"/>
  <c r="Y38" i="1"/>
  <c r="X38" i="1"/>
  <c r="W38" i="1"/>
  <c r="J68" i="1"/>
  <c r="J38" i="1"/>
  <c r="V38" i="1"/>
  <c r="AI2" i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AH2" i="1"/>
  <c r="AG2" i="1"/>
  <c r="V33" i="1"/>
  <c r="U33" i="1"/>
  <c r="T33" i="1"/>
  <c r="J33" i="1"/>
  <c r="I33" i="1"/>
  <c r="H33" i="1"/>
  <c r="G33" i="1"/>
  <c r="J32" i="1"/>
  <c r="I32" i="1"/>
  <c r="H32" i="1"/>
  <c r="G32" i="1"/>
  <c r="G78" i="1"/>
  <c r="C78" i="1"/>
  <c r="V78" i="1"/>
  <c r="U78" i="1"/>
  <c r="T78" i="1"/>
  <c r="D76" i="1"/>
  <c r="E76" i="1" s="1"/>
  <c r="E78" i="1" s="1"/>
  <c r="H77" i="1"/>
  <c r="I77" i="1" s="1"/>
  <c r="H76" i="1"/>
  <c r="I76" i="1" s="1"/>
  <c r="I78" i="1" s="1"/>
  <c r="E77" i="1"/>
  <c r="F77" i="1" s="1"/>
  <c r="J71" i="1"/>
  <c r="I71" i="1"/>
  <c r="H71" i="1"/>
  <c r="G71" i="1"/>
  <c r="F71" i="1"/>
  <c r="E71" i="1"/>
  <c r="D71" i="1"/>
  <c r="C71" i="1"/>
  <c r="J70" i="1"/>
  <c r="I70" i="1"/>
  <c r="H70" i="1"/>
  <c r="G70" i="1"/>
  <c r="F70" i="1"/>
  <c r="E70" i="1"/>
  <c r="D70" i="1"/>
  <c r="C70" i="1"/>
  <c r="J67" i="1"/>
  <c r="I67" i="1"/>
  <c r="H67" i="1"/>
  <c r="G67" i="1"/>
  <c r="F67" i="1"/>
  <c r="E67" i="1"/>
  <c r="D67" i="1"/>
  <c r="C67" i="1"/>
  <c r="J66" i="1"/>
  <c r="J72" i="1" s="1"/>
  <c r="I66" i="1"/>
  <c r="I72" i="1" s="1"/>
  <c r="H66" i="1"/>
  <c r="H72" i="1" s="1"/>
  <c r="G66" i="1"/>
  <c r="G72" i="1" s="1"/>
  <c r="F66" i="1"/>
  <c r="F72" i="1" s="1"/>
  <c r="E66" i="1"/>
  <c r="E72" i="1" s="1"/>
  <c r="D66" i="1"/>
  <c r="D72" i="1" s="1"/>
  <c r="C66" i="1"/>
  <c r="C72" i="1" s="1"/>
  <c r="W6" i="1" l="1"/>
  <c r="W26" i="1" s="1"/>
  <c r="W27" i="1"/>
  <c r="W33" i="1"/>
  <c r="W17" i="1"/>
  <c r="H78" i="1"/>
  <c r="J76" i="1"/>
  <c r="J77" i="1"/>
  <c r="D78" i="1"/>
  <c r="F76" i="1"/>
  <c r="F78" i="1" s="1"/>
  <c r="I80" i="1" s="1"/>
  <c r="H68" i="1"/>
  <c r="I68" i="1"/>
  <c r="C68" i="1"/>
  <c r="D68" i="1"/>
  <c r="E68" i="1"/>
  <c r="F68" i="1"/>
  <c r="G68" i="1"/>
  <c r="C63" i="1"/>
  <c r="C50" i="1"/>
  <c r="G63" i="1"/>
  <c r="G50" i="1"/>
  <c r="D63" i="1"/>
  <c r="D50" i="1"/>
  <c r="H63" i="1"/>
  <c r="H50" i="1"/>
  <c r="E50" i="1"/>
  <c r="E63" i="1"/>
  <c r="I63" i="1"/>
  <c r="I50" i="1"/>
  <c r="J25" i="1"/>
  <c r="J20" i="1"/>
  <c r="J18" i="1"/>
  <c r="J17" i="1"/>
  <c r="J16" i="1"/>
  <c r="J15" i="1"/>
  <c r="J14" i="1"/>
  <c r="J10" i="1"/>
  <c r="J30" i="1" s="1"/>
  <c r="J9" i="1"/>
  <c r="J29" i="1" s="1"/>
  <c r="J8" i="1"/>
  <c r="J28" i="1" s="1"/>
  <c r="J6" i="1"/>
  <c r="J26" i="1" s="1"/>
  <c r="J5" i="1"/>
  <c r="J4" i="1"/>
  <c r="J24" i="1" s="1"/>
  <c r="J3" i="1"/>
  <c r="J23" i="1" s="1"/>
  <c r="F50" i="1"/>
  <c r="F63" i="1"/>
  <c r="J63" i="1"/>
  <c r="J50" i="1"/>
  <c r="V11" i="1"/>
  <c r="V7" i="1"/>
  <c r="T31" i="1"/>
  <c r="T30" i="1"/>
  <c r="T29" i="1"/>
  <c r="T28" i="1"/>
  <c r="T26" i="1"/>
  <c r="T25" i="1"/>
  <c r="T24" i="1"/>
  <c r="T12" i="1"/>
  <c r="S12" i="1"/>
  <c r="I12" i="1"/>
  <c r="H12" i="1"/>
  <c r="G12" i="1"/>
  <c r="F12" i="1"/>
  <c r="E12" i="1"/>
  <c r="D12" i="1"/>
  <c r="C12" i="1"/>
  <c r="I31" i="1"/>
  <c r="H31" i="1"/>
  <c r="G31" i="1"/>
  <c r="I30" i="1"/>
  <c r="H30" i="1"/>
  <c r="G30" i="1"/>
  <c r="I29" i="1"/>
  <c r="H29" i="1"/>
  <c r="G29" i="1"/>
  <c r="I28" i="1"/>
  <c r="H28" i="1"/>
  <c r="G28" i="1"/>
  <c r="I26" i="1"/>
  <c r="H26" i="1"/>
  <c r="G26" i="1"/>
  <c r="I25" i="1"/>
  <c r="H25" i="1"/>
  <c r="G25" i="1"/>
  <c r="I24" i="1"/>
  <c r="H24" i="1"/>
  <c r="G24" i="1"/>
  <c r="T23" i="1"/>
  <c r="R13" i="1"/>
  <c r="Q13" i="1"/>
  <c r="P13" i="1"/>
  <c r="O13" i="1"/>
  <c r="N13" i="1"/>
  <c r="M13" i="1"/>
  <c r="T7" i="1"/>
  <c r="S7" i="1"/>
  <c r="U20" i="1"/>
  <c r="U18" i="1"/>
  <c r="U17" i="1"/>
  <c r="U16" i="1"/>
  <c r="U15" i="1"/>
  <c r="U14" i="1"/>
  <c r="U11" i="1"/>
  <c r="U31" i="1" s="1"/>
  <c r="U10" i="1"/>
  <c r="U9" i="1"/>
  <c r="U8" i="1"/>
  <c r="V28" i="1" s="1"/>
  <c r="U6" i="1"/>
  <c r="U26" i="1" s="1"/>
  <c r="U5" i="1"/>
  <c r="U25" i="1" s="1"/>
  <c r="U4" i="1"/>
  <c r="U24" i="1" s="1"/>
  <c r="U3" i="1"/>
  <c r="U23" i="1" s="1"/>
  <c r="I7" i="1"/>
  <c r="H7" i="1"/>
  <c r="G7" i="1"/>
  <c r="F7" i="1"/>
  <c r="E7" i="1"/>
  <c r="D7" i="1"/>
  <c r="C7" i="1"/>
  <c r="N2" i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G23" i="1"/>
  <c r="H23" i="1"/>
  <c r="I23" i="1"/>
  <c r="G7" i="2"/>
  <c r="G8" i="2" s="1"/>
  <c r="F8" i="2"/>
  <c r="F7" i="2"/>
  <c r="AI29" i="1" s="1"/>
  <c r="F6" i="2"/>
  <c r="J78" i="1" l="1"/>
  <c r="J80" i="1" s="1"/>
  <c r="V12" i="1"/>
  <c r="V31" i="1"/>
  <c r="G80" i="1"/>
  <c r="F80" i="1"/>
  <c r="U29" i="1"/>
  <c r="V29" i="1"/>
  <c r="U30" i="1"/>
  <c r="V30" i="1"/>
  <c r="I13" i="1"/>
  <c r="I35" i="1" s="1"/>
  <c r="H80" i="1"/>
  <c r="J69" i="1"/>
  <c r="E69" i="1"/>
  <c r="E38" i="1"/>
  <c r="D69" i="1"/>
  <c r="D38" i="1"/>
  <c r="C69" i="1"/>
  <c r="C38" i="1"/>
  <c r="F69" i="1"/>
  <c r="F38" i="1"/>
  <c r="I69" i="1"/>
  <c r="I38" i="1"/>
  <c r="G69" i="1"/>
  <c r="G38" i="1"/>
  <c r="H69" i="1"/>
  <c r="H38" i="1"/>
  <c r="J7" i="1"/>
  <c r="J27" i="1" s="1"/>
  <c r="J11" i="1"/>
  <c r="J31" i="1" s="1"/>
  <c r="J12" i="1"/>
  <c r="U12" i="1"/>
  <c r="T32" i="1"/>
  <c r="V26" i="1"/>
  <c r="V23" i="1"/>
  <c r="V24" i="1"/>
  <c r="V25" i="1"/>
  <c r="F9" i="2"/>
  <c r="T13" i="1"/>
  <c r="T36" i="1" s="1"/>
  <c r="F13" i="1"/>
  <c r="F19" i="1" s="1"/>
  <c r="F21" i="1" s="1"/>
  <c r="U7" i="1"/>
  <c r="H13" i="1"/>
  <c r="H35" i="1" s="1"/>
  <c r="D13" i="1"/>
  <c r="D35" i="1" s="1"/>
  <c r="E13" i="1"/>
  <c r="E19" i="1" s="1"/>
  <c r="E21" i="1" s="1"/>
  <c r="G13" i="1"/>
  <c r="G35" i="1" s="1"/>
  <c r="U28" i="1"/>
  <c r="T27" i="1"/>
  <c r="S13" i="1"/>
  <c r="S35" i="1" s="1"/>
  <c r="C13" i="1"/>
  <c r="C36" i="1" s="1"/>
  <c r="I36" i="1"/>
  <c r="G27" i="1"/>
  <c r="I27" i="1"/>
  <c r="H27" i="1"/>
  <c r="I19" i="1"/>
  <c r="I21" i="1" s="1"/>
  <c r="V13" i="1" l="1"/>
  <c r="V32" i="1"/>
  <c r="I81" i="1"/>
  <c r="D36" i="1"/>
  <c r="U32" i="1"/>
  <c r="J13" i="1"/>
  <c r="F35" i="1"/>
  <c r="G36" i="1"/>
  <c r="U13" i="1"/>
  <c r="U35" i="1" s="1"/>
  <c r="T35" i="1"/>
  <c r="T19" i="1"/>
  <c r="T21" i="1" s="1"/>
  <c r="G19" i="1"/>
  <c r="G21" i="1" s="1"/>
  <c r="F36" i="1"/>
  <c r="V27" i="1"/>
  <c r="H36" i="1"/>
  <c r="E36" i="1"/>
  <c r="S36" i="1"/>
  <c r="U27" i="1"/>
  <c r="H19" i="1"/>
  <c r="H21" i="1" s="1"/>
  <c r="E35" i="1"/>
  <c r="D19" i="1"/>
  <c r="C19" i="1"/>
  <c r="C35" i="1"/>
  <c r="V35" i="1" l="1"/>
  <c r="V19" i="1"/>
  <c r="V36" i="1"/>
  <c r="H81" i="1"/>
  <c r="U19" i="1"/>
  <c r="U36" i="1"/>
  <c r="J35" i="1"/>
  <c r="J36" i="1"/>
  <c r="J19" i="1"/>
  <c r="D21" i="1"/>
  <c r="C21" i="1"/>
  <c r="F81" i="1" s="1"/>
  <c r="W15" i="1" l="1"/>
  <c r="W14" i="1"/>
  <c r="W16" i="1"/>
  <c r="V21" i="1"/>
  <c r="J21" i="1" s="1"/>
  <c r="J81" i="1" s="1"/>
  <c r="G81" i="1"/>
  <c r="U21" i="1"/>
  <c r="W19" i="1" l="1"/>
  <c r="W20" i="1" s="1"/>
  <c r="W21" i="1" s="1"/>
  <c r="W35" i="1"/>
  <c r="Z19" i="1" l="1"/>
  <c r="Y27" i="1"/>
  <c r="Y36" i="1"/>
  <c r="AB36" i="1"/>
  <c r="AC36" i="1"/>
  <c r="X19" i="1"/>
  <c r="Z36" i="1"/>
  <c r="Z27" i="1"/>
  <c r="Z33" i="1"/>
  <c r="Z7" i="1"/>
  <c r="Z17" i="1"/>
  <c r="AA17" i="1" s="1"/>
  <c r="AB17" i="1" s="1"/>
  <c r="AC17" i="1" s="1"/>
  <c r="AB33" i="1"/>
  <c r="AB7" i="1"/>
  <c r="AC33" i="1"/>
  <c r="AC7" i="1"/>
  <c r="AE7" i="1"/>
  <c r="AE33" i="1"/>
  <c r="Y35" i="1"/>
  <c r="Y15" i="1"/>
  <c r="Z15" i="1" s="1"/>
  <c r="AA15" i="1" s="1"/>
  <c r="AB15" i="1" s="1"/>
  <c r="AC15" i="1" s="1"/>
  <c r="AD15" i="1" s="1"/>
  <c r="AE15" i="1" s="1"/>
  <c r="AF15" i="1" s="1"/>
  <c r="Y7" i="1"/>
  <c r="Y33" i="1"/>
  <c r="AA33" i="1"/>
  <c r="AA7" i="1"/>
  <c r="AD17" i="1"/>
  <c r="AE17" i="1" s="1"/>
  <c r="AF17" i="1" s="1"/>
  <c r="AD7" i="1"/>
  <c r="AD33" i="1"/>
  <c r="X17" i="1"/>
  <c r="Y17" i="1" s="1"/>
  <c r="X16" i="1"/>
  <c r="Y16" i="1" s="1"/>
  <c r="Z16" i="1" s="1"/>
  <c r="AA16" i="1" s="1"/>
  <c r="AB16" i="1" s="1"/>
  <c r="AC16" i="1" s="1"/>
  <c r="AD16" i="1" s="1"/>
  <c r="AE16" i="1" s="1"/>
  <c r="X15" i="1"/>
  <c r="X33" i="1"/>
  <c r="X14" i="1"/>
  <c r="Y14" i="1" s="1"/>
  <c r="Z14" i="1" s="1"/>
  <c r="AA14" i="1" s="1"/>
  <c r="X7" i="1"/>
  <c r="X35" i="1"/>
  <c r="AF16" i="1"/>
  <c r="AF33" i="1"/>
  <c r="AF7" i="1"/>
  <c r="AF27" i="1" s="1"/>
  <c r="AA35" i="1" l="1"/>
  <c r="AA19" i="1"/>
  <c r="AB14" i="1"/>
  <c r="X4" i="1"/>
  <c r="X5" i="1"/>
  <c r="X36" i="1"/>
  <c r="X3" i="1"/>
  <c r="X23" i="1" s="1"/>
  <c r="X6" i="1"/>
  <c r="X27" i="1"/>
  <c r="AC27" i="1"/>
  <c r="Z35" i="1"/>
  <c r="Y19" i="1"/>
  <c r="AD27" i="1"/>
  <c r="AD36" i="1"/>
  <c r="X20" i="1"/>
  <c r="X21" i="1"/>
  <c r="AF36" i="1"/>
  <c r="AE27" i="1"/>
  <c r="AE36" i="1"/>
  <c r="AA27" i="1"/>
  <c r="AA36" i="1"/>
  <c r="AB27" i="1"/>
  <c r="X26" i="1" l="1"/>
  <c r="Y6" i="1"/>
  <c r="X25" i="1"/>
  <c r="Y5" i="1"/>
  <c r="Y3" i="1"/>
  <c r="X24" i="1"/>
  <c r="Y4" i="1"/>
  <c r="Y20" i="1"/>
  <c r="Z20" i="1" s="1"/>
  <c r="Z21" i="1" s="1"/>
  <c r="Y21" i="1"/>
  <c r="AB19" i="1"/>
  <c r="AC14" i="1"/>
  <c r="AB35" i="1"/>
  <c r="AA20" i="1"/>
  <c r="AA21" i="1" s="1"/>
  <c r="Y24" i="1" l="1"/>
  <c r="Z4" i="1"/>
  <c r="Y23" i="1"/>
  <c r="Z3" i="1"/>
  <c r="AC35" i="1"/>
  <c r="AC19" i="1"/>
  <c r="AD14" i="1"/>
  <c r="Y25" i="1"/>
  <c r="Z5" i="1"/>
  <c r="AB20" i="1"/>
  <c r="AB21" i="1" s="1"/>
  <c r="Z6" i="1"/>
  <c r="Y26" i="1"/>
  <c r="Z24" i="1" l="1"/>
  <c r="AA4" i="1"/>
  <c r="AC20" i="1"/>
  <c r="AC21" i="1"/>
  <c r="Z26" i="1"/>
  <c r="AA6" i="1"/>
  <c r="Z23" i="1"/>
  <c r="AA3" i="1"/>
  <c r="Z25" i="1"/>
  <c r="AA5" i="1"/>
  <c r="AD19" i="1"/>
  <c r="AD35" i="1"/>
  <c r="AE14" i="1"/>
  <c r="AA26" i="1" l="1"/>
  <c r="AB6" i="1"/>
  <c r="AA24" i="1"/>
  <c r="AB4" i="1"/>
  <c r="AA23" i="1"/>
  <c r="AB3" i="1"/>
  <c r="AE19" i="1"/>
  <c r="AE35" i="1"/>
  <c r="AF14" i="1"/>
  <c r="AD20" i="1"/>
  <c r="AD21" i="1"/>
  <c r="AA25" i="1"/>
  <c r="AB5" i="1"/>
  <c r="AE20" i="1" l="1"/>
  <c r="AE21" i="1"/>
  <c r="AB23" i="1"/>
  <c r="AC3" i="1"/>
  <c r="AB24" i="1"/>
  <c r="AC4" i="1"/>
  <c r="AB26" i="1"/>
  <c r="AC6" i="1"/>
  <c r="AB25" i="1"/>
  <c r="AC5" i="1"/>
  <c r="AF19" i="1"/>
  <c r="AF35" i="1"/>
  <c r="AC26" i="1" l="1"/>
  <c r="AD6" i="1"/>
  <c r="AC24" i="1"/>
  <c r="AD4" i="1"/>
  <c r="AC23" i="1"/>
  <c r="AD3" i="1"/>
  <c r="AF21" i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CP21" i="1" s="1"/>
  <c r="CQ21" i="1" s="1"/>
  <c r="CR21" i="1" s="1"/>
  <c r="CS21" i="1" s="1"/>
  <c r="CT21" i="1" s="1"/>
  <c r="CU21" i="1" s="1"/>
  <c r="CV21" i="1" s="1"/>
  <c r="CW21" i="1" s="1"/>
  <c r="CX21" i="1" s="1"/>
  <c r="CY21" i="1" s="1"/>
  <c r="CZ21" i="1" s="1"/>
  <c r="DA21" i="1" s="1"/>
  <c r="DB21" i="1" s="1"/>
  <c r="DC21" i="1" s="1"/>
  <c r="DD21" i="1" s="1"/>
  <c r="DE21" i="1" s="1"/>
  <c r="DF21" i="1" s="1"/>
  <c r="DG21" i="1" s="1"/>
  <c r="DH21" i="1" s="1"/>
  <c r="DI21" i="1" s="1"/>
  <c r="DJ21" i="1" s="1"/>
  <c r="DK21" i="1" s="1"/>
  <c r="DL21" i="1" s="1"/>
  <c r="DM21" i="1" s="1"/>
  <c r="DN21" i="1" s="1"/>
  <c r="DO21" i="1" s="1"/>
  <c r="DP21" i="1" s="1"/>
  <c r="DQ21" i="1" s="1"/>
  <c r="DR21" i="1" s="1"/>
  <c r="DS21" i="1" s="1"/>
  <c r="DT21" i="1" s="1"/>
  <c r="DU21" i="1" s="1"/>
  <c r="DV21" i="1" s="1"/>
  <c r="DW21" i="1" s="1"/>
  <c r="DX21" i="1" s="1"/>
  <c r="DY21" i="1" s="1"/>
  <c r="DZ21" i="1" s="1"/>
  <c r="EA21" i="1" s="1"/>
  <c r="EB21" i="1" s="1"/>
  <c r="EC21" i="1" s="1"/>
  <c r="ED21" i="1" s="1"/>
  <c r="EE21" i="1" s="1"/>
  <c r="EF21" i="1" s="1"/>
  <c r="EG21" i="1" s="1"/>
  <c r="EH21" i="1" s="1"/>
  <c r="EI21" i="1" s="1"/>
  <c r="EJ21" i="1" s="1"/>
  <c r="EK21" i="1" s="1"/>
  <c r="EL21" i="1" s="1"/>
  <c r="EM21" i="1" s="1"/>
  <c r="EN21" i="1" s="1"/>
  <c r="EO21" i="1" s="1"/>
  <c r="EP21" i="1" s="1"/>
  <c r="EQ21" i="1" s="1"/>
  <c r="ER21" i="1" s="1"/>
  <c r="ES21" i="1" s="1"/>
  <c r="ET21" i="1" s="1"/>
  <c r="EU21" i="1" s="1"/>
  <c r="EV21" i="1" s="1"/>
  <c r="EW21" i="1" s="1"/>
  <c r="EX21" i="1" s="1"/>
  <c r="EY21" i="1" s="1"/>
  <c r="EZ21" i="1" s="1"/>
  <c r="FA21" i="1" s="1"/>
  <c r="FB21" i="1" s="1"/>
  <c r="FC21" i="1" s="1"/>
  <c r="FD21" i="1" s="1"/>
  <c r="FE21" i="1" s="1"/>
  <c r="FF21" i="1" s="1"/>
  <c r="FG21" i="1" s="1"/>
  <c r="FH21" i="1" s="1"/>
  <c r="FI21" i="1" s="1"/>
  <c r="FJ21" i="1" s="1"/>
  <c r="FK21" i="1" s="1"/>
  <c r="FL21" i="1" s="1"/>
  <c r="FM21" i="1" s="1"/>
  <c r="FN21" i="1" s="1"/>
  <c r="FO21" i="1" s="1"/>
  <c r="FP21" i="1" s="1"/>
  <c r="FQ21" i="1" s="1"/>
  <c r="FR21" i="1" s="1"/>
  <c r="FS21" i="1" s="1"/>
  <c r="FT21" i="1" s="1"/>
  <c r="FU21" i="1" s="1"/>
  <c r="FV21" i="1" s="1"/>
  <c r="FW21" i="1" s="1"/>
  <c r="FX21" i="1" s="1"/>
  <c r="FY21" i="1" s="1"/>
  <c r="FZ21" i="1" s="1"/>
  <c r="GA21" i="1" s="1"/>
  <c r="GB21" i="1" s="1"/>
  <c r="GC21" i="1" s="1"/>
  <c r="GD21" i="1" s="1"/>
  <c r="GE21" i="1" s="1"/>
  <c r="GF21" i="1" s="1"/>
  <c r="GG21" i="1" s="1"/>
  <c r="GH21" i="1" s="1"/>
  <c r="GI21" i="1" s="1"/>
  <c r="GJ21" i="1" s="1"/>
  <c r="GK21" i="1" s="1"/>
  <c r="GL21" i="1" s="1"/>
  <c r="GM21" i="1" s="1"/>
  <c r="GN21" i="1" s="1"/>
  <c r="GO21" i="1" s="1"/>
  <c r="GP21" i="1" s="1"/>
  <c r="GQ21" i="1" s="1"/>
  <c r="GR21" i="1" s="1"/>
  <c r="GS21" i="1" s="1"/>
  <c r="GT21" i="1" s="1"/>
  <c r="GU21" i="1" s="1"/>
  <c r="GV21" i="1" s="1"/>
  <c r="GW21" i="1" s="1"/>
  <c r="GX21" i="1" s="1"/>
  <c r="GY21" i="1" s="1"/>
  <c r="GZ21" i="1" s="1"/>
  <c r="HA21" i="1" s="1"/>
  <c r="HB21" i="1" s="1"/>
  <c r="HC21" i="1" s="1"/>
  <c r="HD21" i="1" s="1"/>
  <c r="HE21" i="1" s="1"/>
  <c r="HF21" i="1" s="1"/>
  <c r="HG21" i="1" s="1"/>
  <c r="HH21" i="1" s="1"/>
  <c r="HI21" i="1" s="1"/>
  <c r="HJ21" i="1" s="1"/>
  <c r="HK21" i="1" s="1"/>
  <c r="HL21" i="1" s="1"/>
  <c r="HM21" i="1" s="1"/>
  <c r="HN21" i="1" s="1"/>
  <c r="HO21" i="1" s="1"/>
  <c r="HP21" i="1" s="1"/>
  <c r="HQ21" i="1" s="1"/>
  <c r="HR21" i="1" s="1"/>
  <c r="HS21" i="1" s="1"/>
  <c r="HT21" i="1" s="1"/>
  <c r="HU21" i="1" s="1"/>
  <c r="HV21" i="1" s="1"/>
  <c r="HW21" i="1" s="1"/>
  <c r="HX21" i="1" s="1"/>
  <c r="AI28" i="1" s="1"/>
  <c r="AI30" i="1" s="1"/>
  <c r="AI32" i="1" s="1"/>
  <c r="AI34" i="1" s="1"/>
  <c r="AF20" i="1"/>
  <c r="AC25" i="1"/>
  <c r="AD5" i="1"/>
  <c r="AD23" i="1" l="1"/>
  <c r="AE3" i="1"/>
  <c r="AD26" i="1"/>
  <c r="AE6" i="1"/>
  <c r="AD24" i="1"/>
  <c r="AE4" i="1"/>
  <c r="AD25" i="1"/>
  <c r="AE5" i="1"/>
  <c r="AE25" i="1" l="1"/>
  <c r="AF5" i="1"/>
  <c r="AF25" i="1" s="1"/>
  <c r="AE24" i="1"/>
  <c r="AF4" i="1"/>
  <c r="AF24" i="1" s="1"/>
  <c r="AE26" i="1"/>
  <c r="AF6" i="1"/>
  <c r="AF26" i="1" s="1"/>
  <c r="AE23" i="1"/>
  <c r="AF3" i="1"/>
  <c r="AF23" i="1" s="1"/>
</calcChain>
</file>

<file path=xl/sharedStrings.xml><?xml version="1.0" encoding="utf-8"?>
<sst xmlns="http://schemas.openxmlformats.org/spreadsheetml/2006/main" count="144" uniqueCount="130">
  <si>
    <t>Q123</t>
  </si>
  <si>
    <t>Q223</t>
  </si>
  <si>
    <t>Q323</t>
  </si>
  <si>
    <t>Q423</t>
  </si>
  <si>
    <t>Q124</t>
  </si>
  <si>
    <t>Q224</t>
  </si>
  <si>
    <t>Q324</t>
  </si>
  <si>
    <t>Q424</t>
  </si>
  <si>
    <t>P</t>
  </si>
  <si>
    <t>S</t>
  </si>
  <si>
    <t>MC</t>
  </si>
  <si>
    <t>C</t>
  </si>
  <si>
    <t>D</t>
  </si>
  <si>
    <t>EV</t>
  </si>
  <si>
    <t xml:space="preserve">CEO </t>
  </si>
  <si>
    <t xml:space="preserve">CFO </t>
  </si>
  <si>
    <t>Chuck Magro</t>
  </si>
  <si>
    <t xml:space="preserve">Total Revenue </t>
  </si>
  <si>
    <t>Corn</t>
  </si>
  <si>
    <t>Soybean</t>
  </si>
  <si>
    <t>Other oilseeds</t>
  </si>
  <si>
    <t>Other seeds</t>
  </si>
  <si>
    <t>Herbacides</t>
  </si>
  <si>
    <t>Fungicides</t>
  </si>
  <si>
    <t xml:space="preserve">Net Income </t>
  </si>
  <si>
    <t>Taxes</t>
  </si>
  <si>
    <t>EBT</t>
  </si>
  <si>
    <t>Interest Expense</t>
  </si>
  <si>
    <t>Other income</t>
  </si>
  <si>
    <t>SG&amp;A</t>
  </si>
  <si>
    <t>R&amp;D</t>
  </si>
  <si>
    <t>Cogs</t>
  </si>
  <si>
    <t>Other Crops</t>
  </si>
  <si>
    <t>Insecticides</t>
  </si>
  <si>
    <t>Seed</t>
  </si>
  <si>
    <t>Seed Segment</t>
  </si>
  <si>
    <t xml:space="preserve">Herbacides Segment </t>
  </si>
  <si>
    <t xml:space="preserve">GM % </t>
  </si>
  <si>
    <t>Seeds % Rev</t>
  </si>
  <si>
    <t xml:space="preserve">Segment </t>
  </si>
  <si>
    <t>raw materials</t>
  </si>
  <si>
    <t>corn, soybean seeds</t>
  </si>
  <si>
    <t>Crop Protection</t>
  </si>
  <si>
    <t>chlorinated pyridines derivatives, chlorine, seed treatment</t>
  </si>
  <si>
    <t>cash</t>
  </si>
  <si>
    <t>securities</t>
  </si>
  <si>
    <t>a/r</t>
  </si>
  <si>
    <t>inventories</t>
  </si>
  <si>
    <t>oca</t>
  </si>
  <si>
    <t>ppe</t>
  </si>
  <si>
    <t>goodwill</t>
  </si>
  <si>
    <t>other intangibles</t>
  </si>
  <si>
    <t>deferred i/t</t>
  </si>
  <si>
    <t>oa</t>
  </si>
  <si>
    <t xml:space="preserve">total assets </t>
  </si>
  <si>
    <t>short term debt</t>
  </si>
  <si>
    <t>income taxes</t>
  </si>
  <si>
    <t>deferred revenue</t>
  </si>
  <si>
    <t>accrued/ocl</t>
  </si>
  <si>
    <t xml:space="preserve">long term debt </t>
  </si>
  <si>
    <t>equity</t>
  </si>
  <si>
    <t>noncontrolling</t>
  </si>
  <si>
    <t xml:space="preserve">total liab + equity </t>
  </si>
  <si>
    <t>a/p</t>
  </si>
  <si>
    <t xml:space="preserve">Investment </t>
  </si>
  <si>
    <t>pension / post employment</t>
  </si>
  <si>
    <t>other noncur obligations</t>
  </si>
  <si>
    <t xml:space="preserve">CFFO </t>
  </si>
  <si>
    <t>Capex</t>
  </si>
  <si>
    <t xml:space="preserve">FCF </t>
  </si>
  <si>
    <t xml:space="preserve">Total Debt </t>
  </si>
  <si>
    <t xml:space="preserve">Total Cash </t>
  </si>
  <si>
    <t xml:space="preserve">Net Cash </t>
  </si>
  <si>
    <t>Net cash Per Share</t>
  </si>
  <si>
    <t>Current Ratio</t>
  </si>
  <si>
    <t>Tangible Book Value</t>
  </si>
  <si>
    <t xml:space="preserve">Debt to Equity </t>
  </si>
  <si>
    <t xml:space="preserve">Balance Sheet Key Metrics </t>
  </si>
  <si>
    <t>4Q FCF</t>
  </si>
  <si>
    <t>TR</t>
  </si>
  <si>
    <t xml:space="preserve">terminal </t>
  </si>
  <si>
    <t>discount</t>
  </si>
  <si>
    <t>NPV</t>
  </si>
  <si>
    <t xml:space="preserve">Equity value </t>
  </si>
  <si>
    <t>ROIC</t>
  </si>
  <si>
    <t>Shares</t>
  </si>
  <si>
    <t>Estimate</t>
  </si>
  <si>
    <t>Current Price</t>
  </si>
  <si>
    <t>Upside</t>
  </si>
  <si>
    <t xml:space="preserve">4Q NI </t>
  </si>
  <si>
    <t>Notes</t>
  </si>
  <si>
    <t xml:space="preserve">Biological Risk: Systemic Instability </t>
  </si>
  <si>
    <t xml:space="preserve">natural corn genome is an interconnected system </t>
  </si>
  <si>
    <t xml:space="preserve">removal or editing of specific geens (via biotech traits (trait stacking) or Crispr) could cause uninetended systemic disruptions </t>
  </si>
  <si>
    <t>these disruptions may not be fully visible during short term trials but could manifest later as yield instability, pest susceptibility, or enviromental failures</t>
  </si>
  <si>
    <t>Health Risk: Consumption of Altered Biomass</t>
  </si>
  <si>
    <t xml:space="preserve">CRISPR-edited and gentically modified corn could produce: untintended or novel proteins + misregulated metabolic pathways </t>
  </si>
  <si>
    <t>Chronic exposure  to altered biomass could lead to long term metabolic, immunlogical, or microbiome effects not currently detected in regulatory testing</t>
  </si>
  <si>
    <t>Ecological Risk: Soil and Insect Microbiome Collapse</t>
  </si>
  <si>
    <t xml:space="preserve">modified root exudates and train stacked plants could disrupt soil microbial communities and beneficial insect populations </t>
  </si>
  <si>
    <t xml:space="preserve">long term soil health degradation could emerge from the acc of synthetic traits or toxin expressing crops </t>
  </si>
  <si>
    <t xml:space="preserve">Legal and Reg Risk: Information Asymmetry </t>
  </si>
  <si>
    <t>company may possess internal research identifying off terget CRISPR edits, trait drift, or unintended metabolites</t>
  </si>
  <si>
    <t>Systemic defects in CTVA’s GMO and CRISPR-edited seed portfolio may represent an underappreciated tail risk.</t>
  </si>
  <si>
    <t>If materialized, risks could result in regulatory action, major lawsuits, and permanent brand damage.</t>
  </si>
  <si>
    <t xml:space="preserve">Working short thesis </t>
  </si>
  <si>
    <t>Monitoring long-term soil studies, food safety research, consumer sentiment shifts, and regulatory tightening is important</t>
  </si>
  <si>
    <t xml:space="preserve">Occurrence and nature of off target mods by CRISPR-Cas in Plants </t>
  </si>
  <si>
    <t>https://pubs.acs.org/doi/10.1021/acsagscitech.1c00270?utm_source=chatgpt.com</t>
  </si>
  <si>
    <t xml:space="preserve">CRISPR-Cas9 Editing in Maize: Systemic Eval of off target activity </t>
  </si>
  <si>
    <t>https://pubmed.ncbi.nlm.nih.gov/31040331/</t>
  </si>
  <si>
    <t>Which factors effect the ocurr of off target effects caused by CRISPR/Cas</t>
  </si>
  <si>
    <t>https://www.frontiersin.org/journals/plant-science/articles/10.3389/fpls.2020.574959/full?utm_source=chatgpt.com</t>
  </si>
  <si>
    <t xml:space="preserve">Impact of Bt corn on Rhyizopheric and soil eubacterial communities </t>
  </si>
  <si>
    <t>https://www.researchgate.net/publication/233236682_The_Effect_of_Bt-corn_on_Soil_Invertebrates_Soil_Microbial_Community_and_Decomposition_Rates_of_Corn_Post-Harvest_Residues_Under_Field_and_Laboratory_Conditions?utm_source=chatgpt.com</t>
  </si>
  <si>
    <t>Soil Microbial Endpoints chnaged by Bt Crops  v conventional?</t>
  </si>
  <si>
    <t>https://environmentalevidencejournal.biomedcentral.com/articles/10.1186/2047-2382-3-11?utm_source=chatgpt.com</t>
  </si>
  <si>
    <t xml:space="preserve">Gene editing risks </t>
  </si>
  <si>
    <t>https://www.greens-efa.eu/files/assets/docs/chapter_4_gene_editing_is_risky_and_its_products_can_be_unsafe.pdf?utm_source=chatgpt.com</t>
  </si>
  <si>
    <t>assessment of genetically mod Maize DP23211 for food/feed</t>
  </si>
  <si>
    <t>https://efsa.onlinelibrary.wiley.com/doi/10.2903/j.efsa.2024.8483?utm_source=chatgpt.com</t>
  </si>
  <si>
    <t xml:space="preserve">CTVA plant breeding innovation </t>
  </si>
  <si>
    <t>https://www.corteva.com/resources/media-center/corteva-announces-plant-breeding-innovation-to-combat-corn-disease.html?utm_source=chatgpt.com</t>
  </si>
  <si>
    <t>CTVA</t>
  </si>
  <si>
    <t>https://www.corteva.com/our-impact/innovation/crispr.html?utm_source=chatgpt.com</t>
  </si>
  <si>
    <t xml:space="preserve">Research </t>
  </si>
  <si>
    <t xml:space="preserve">Dave Anderson </t>
  </si>
  <si>
    <t xml:space="preserve">Public </t>
  </si>
  <si>
    <t>EV/26E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</si>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</sst>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\x"/>
    <numFmt numFmtId="166" formatCode="0.0%"/>
  </numFmts>
  <fonts count="6"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u/>
      <sz val="10"/>
      <color theme="1"/>
      <name val="ArialMT"/>
      <family val="2"/>
    </font>
    <font>
      <b/>
      <u/>
      <sz val="10"/>
      <color theme="1"/>
      <name val="ArialMT"/>
    </font>
    <font>
      <u/>
      <sz val="10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1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3" fontId="0" fillId="0" borderId="0" xfId="0" applyNumberFormat="1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3" fontId="4" fillId="0" borderId="0" xfId="0" applyNumberFormat="1" applyFont="1"/>
    <xf numFmtId="166" fontId="0" fillId="0" borderId="0" xfId="0" applyNumberFormat="1"/>
    <xf numFmtId="1" fontId="1" fillId="0" borderId="0" xfId="0" applyNumberFormat="1" applyFont="1"/>
    <xf numFmtId="3" fontId="2" fillId="0" borderId="0" xfId="0" applyNumberFormat="1" applyFont="1" applyAlignment="1">
      <alignment horizontal="left" indent="1"/>
    </xf>
    <xf numFmtId="3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480321</xdr:colOff>
      <xdr:row>0</xdr:row>
      <xdr:rowOff>65128</xdr:rowOff>
    </xdr:from>
    <xdr:to>
      <xdr:col>22</xdr:col>
      <xdr:colOff>48846</xdr:colOff>
      <xdr:row>73</xdr:row>
      <xdr:rowOff>56988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0F1C96-F872-02A4-1396-AAEA28AC6D22}"/>
            </a:ext>
          </a:extLst>
        </xdr:cNvPr>
        <xdr:cNvCxnSpPr/>
      </xdr:nvCxnSpPr>
      <xdr:spPr>
        <a:xfrm>
          <a:off x="11918462" y="65128"/>
          <a:ext cx="73269" cy="118777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8141</xdr:colOff>
      <xdr:row>0</xdr:row>
      <xdr:rowOff>0</xdr:rowOff>
    </xdr:from>
    <xdr:to>
      <xdr:col>10</xdr:col>
      <xdr:colOff>40705</xdr:colOff>
      <xdr:row>86</xdr:row>
      <xdr:rowOff>89551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D304D6E-F7A3-9244-BF55-83C3EB11E8D0}"/>
            </a:ext>
          </a:extLst>
        </xdr:cNvPr>
        <xdr:cNvCxnSpPr/>
      </xdr:nvCxnSpPr>
      <xdr:spPr>
        <a:xfrm>
          <a:off x="5942949" y="0"/>
          <a:ext cx="32564" cy="140921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teva.com/resources/media-center/corteva-announces-plant-breeding-innovation-to-combat-corn-disease.html?utm_source=chatgpt.com" TargetMode="External"/><Relationship Id="rId3" Type="http://schemas.openxmlformats.org/officeDocument/2006/relationships/hyperlink" Target="https://www.frontiersin.org/journals/plant-science/articles/10.3389/fpls.2020.574959/full?utm_source=chatgpt.com" TargetMode="External"/><Relationship Id="rId7" Type="http://schemas.openxmlformats.org/officeDocument/2006/relationships/hyperlink" Target="https://efsa.onlinelibrary.wiley.com/doi/10.2903/j.efsa.2024.8483?utm_source=chatgpt.com" TargetMode="External"/><Relationship Id="rId2" Type="http://schemas.openxmlformats.org/officeDocument/2006/relationships/hyperlink" Target="https://pubmed.ncbi.nlm.nih.gov/31040331/" TargetMode="External"/><Relationship Id="rId1" Type="http://schemas.openxmlformats.org/officeDocument/2006/relationships/hyperlink" Target="https://pubs.acs.org/doi/10.1021/acsagscitech.1c00270?utm_source=chatgpt.com" TargetMode="External"/><Relationship Id="rId6" Type="http://schemas.openxmlformats.org/officeDocument/2006/relationships/hyperlink" Target="https://www.greens-efa.eu/files/assets/docs/chapter_4_gene_editing_is_risky_and_its_products_can_be_unsafe.pdf?utm_source=chatgpt.com" TargetMode="External"/><Relationship Id="rId5" Type="http://schemas.openxmlformats.org/officeDocument/2006/relationships/hyperlink" Target="https://environmentalevidencejournal.biomedcentral.com/articles/10.1186/2047-2382-3-11?utm_source=chatgpt.com" TargetMode="External"/><Relationship Id="rId4" Type="http://schemas.openxmlformats.org/officeDocument/2006/relationships/hyperlink" Target="https://www.researchgate.net/publication/233236682_The_Effect_of_Bt-corn_on_Soil_Invertebrates_Soil_Microbial_Community_and_Decomposition_Rates_of_Corn_Post-Harvest_Residues_Under_Field_and_Laboratory_Conditions?utm_source=chatgpt.com" TargetMode="External"/><Relationship Id="rId9" Type="http://schemas.openxmlformats.org/officeDocument/2006/relationships/hyperlink" Target="https://www.corteva.com/our-impact/innovation/crispr.html?utm_source=chatgp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1FF7-3FEF-354F-968B-8697BCE60DF5}">
  <dimension ref="B3:G47"/>
  <sheetViews>
    <sheetView tabSelected="1" zoomScale="135" zoomScaleNormal="190" workbookViewId="0">
      <selection activeCell="J13" sqref="J13"/>
    </sheetView>
  </sheetViews>
  <sheetFormatPr baseColWidth="10" defaultRowHeight="13"/>
  <cols>
    <col min="1" max="1" width="1.33203125" style="1" customWidth="1"/>
    <col min="2" max="2" width="15.1640625" style="1" customWidth="1"/>
    <col min="3" max="3" width="12.5" style="1" customWidth="1"/>
    <col min="4" max="4" width="10.83203125" style="1"/>
    <col min="5" max="5" width="3.6640625" style="1" bestFit="1" customWidth="1"/>
    <col min="6" max="6" width="6.6640625" style="1" bestFit="1" customWidth="1"/>
    <col min="7" max="7" width="5.5" style="1" bestFit="1" customWidth="1"/>
    <col min="8" max="16384" width="10.83203125" style="1"/>
  </cols>
  <sheetData>
    <row r="3" spans="2:7">
      <c r="B3" s="1" t="s">
        <v>14</v>
      </c>
      <c r="C3" s="1" t="s">
        <v>16</v>
      </c>
    </row>
    <row r="4" spans="2:7">
      <c r="B4" s="1" t="s">
        <v>15</v>
      </c>
      <c r="C4" s="1" t="s">
        <v>126</v>
      </c>
      <c r="E4" s="1" t="s">
        <v>8</v>
      </c>
      <c r="F4" s="2">
        <v>61.47</v>
      </c>
    </row>
    <row r="5" spans="2:7">
      <c r="B5" s="1" t="s">
        <v>127</v>
      </c>
      <c r="C5" s="6">
        <v>2019</v>
      </c>
      <c r="E5" s="1" t="s">
        <v>9</v>
      </c>
      <c r="F5" s="1">
        <v>692.24699999999996</v>
      </c>
      <c r="G5" s="1" t="s">
        <v>7</v>
      </c>
    </row>
    <row r="6" spans="2:7">
      <c r="B6" s="1" t="s">
        <v>129</v>
      </c>
      <c r="C6" s="1">
        <v>22000</v>
      </c>
      <c r="E6" s="1" t="s">
        <v>10</v>
      </c>
      <c r="F6" s="1">
        <f>+F5*F4</f>
        <v>42552.423089999997</v>
      </c>
    </row>
    <row r="7" spans="2:7">
      <c r="E7" s="1" t="s">
        <v>11</v>
      </c>
      <c r="F7" s="1">
        <f>1839+120</f>
        <v>1959</v>
      </c>
      <c r="G7" s="1" t="str">
        <f>+G5</f>
        <v>Q424</v>
      </c>
    </row>
    <row r="8" spans="2:7">
      <c r="E8" s="1" t="s">
        <v>12</v>
      </c>
      <c r="F8" s="1">
        <f>2253+2471</f>
        <v>4724</v>
      </c>
      <c r="G8" s="1" t="str">
        <f>+G7</f>
        <v>Q424</v>
      </c>
    </row>
    <row r="9" spans="2:7">
      <c r="E9" s="1" t="s">
        <v>13</v>
      </c>
      <c r="F9" s="1">
        <f>+F6-F7+F8</f>
        <v>45317.423089999997</v>
      </c>
    </row>
    <row r="13" spans="2:7">
      <c r="B13" s="1" t="s">
        <v>39</v>
      </c>
      <c r="C13" s="1" t="s">
        <v>40</v>
      </c>
    </row>
    <row r="14" spans="2:7">
      <c r="B14" s="1" t="s">
        <v>34</v>
      </c>
      <c r="C14" s="1" t="s">
        <v>41</v>
      </c>
    </row>
    <row r="15" spans="2:7">
      <c r="B15" s="1" t="s">
        <v>42</v>
      </c>
      <c r="C15" s="1" t="s">
        <v>43</v>
      </c>
    </row>
    <row r="18" spans="2:2">
      <c r="B18" s="8" t="s">
        <v>90</v>
      </c>
    </row>
    <row r="19" spans="2:2">
      <c r="B19" s="8" t="s">
        <v>91</v>
      </c>
    </row>
    <row r="20" spans="2:2">
      <c r="B20" s="9" t="s">
        <v>92</v>
      </c>
    </row>
    <row r="21" spans="2:2">
      <c r="B21" s="9" t="s">
        <v>93</v>
      </c>
    </row>
    <row r="22" spans="2:2">
      <c r="B22" s="15" t="s">
        <v>94</v>
      </c>
    </row>
    <row r="23" spans="2:2">
      <c r="B23" s="8" t="s">
        <v>95</v>
      </c>
    </row>
    <row r="24" spans="2:2">
      <c r="B24" s="9" t="s">
        <v>96</v>
      </c>
    </row>
    <row r="25" spans="2:2">
      <c r="B25" s="15" t="s">
        <v>97</v>
      </c>
    </row>
    <row r="26" spans="2:2">
      <c r="B26" s="7" t="s">
        <v>98</v>
      </c>
    </row>
    <row r="27" spans="2:2">
      <c r="B27" s="9" t="s">
        <v>99</v>
      </c>
    </row>
    <row r="28" spans="2:2">
      <c r="B28" s="9" t="s">
        <v>100</v>
      </c>
    </row>
    <row r="29" spans="2:2">
      <c r="B29" s="8" t="s">
        <v>101</v>
      </c>
    </row>
    <row r="30" spans="2:2">
      <c r="B30" s="1" t="s">
        <v>102</v>
      </c>
    </row>
    <row r="32" spans="2:2">
      <c r="B32" s="3" t="s">
        <v>105</v>
      </c>
    </row>
    <row r="33" spans="2:3">
      <c r="B33" s="1" t="s">
        <v>103</v>
      </c>
    </row>
    <row r="34" spans="2:3">
      <c r="B34" s="1" t="s">
        <v>106</v>
      </c>
    </row>
    <row r="35" spans="2:3">
      <c r="B35" s="1" t="s">
        <v>104</v>
      </c>
    </row>
    <row r="38" spans="2:3">
      <c r="B38" s="12" t="s">
        <v>125</v>
      </c>
    </row>
    <row r="39" spans="2:3">
      <c r="B39" s="1" t="s">
        <v>107</v>
      </c>
      <c r="C39" s="16" t="s">
        <v>108</v>
      </c>
    </row>
    <row r="40" spans="2:3">
      <c r="B40" s="8" t="s">
        <v>109</v>
      </c>
      <c r="C40" s="16" t="s">
        <v>110</v>
      </c>
    </row>
    <row r="41" spans="2:3">
      <c r="B41" s="1" t="s">
        <v>111</v>
      </c>
      <c r="C41" s="16" t="s">
        <v>112</v>
      </c>
    </row>
    <row r="42" spans="2:3">
      <c r="B42" s="1" t="s">
        <v>113</v>
      </c>
      <c r="C42" s="16" t="s">
        <v>114</v>
      </c>
    </row>
    <row r="43" spans="2:3">
      <c r="B43" s="1" t="s">
        <v>115</v>
      </c>
      <c r="C43" s="16" t="s">
        <v>116</v>
      </c>
    </row>
    <row r="44" spans="2:3">
      <c r="B44" s="1" t="s">
        <v>117</v>
      </c>
      <c r="C44" s="16" t="s">
        <v>118</v>
      </c>
    </row>
    <row r="45" spans="2:3">
      <c r="B45" s="1" t="s">
        <v>119</v>
      </c>
      <c r="C45" s="16" t="s">
        <v>120</v>
      </c>
    </row>
    <row r="46" spans="2:3">
      <c r="B46" s="1" t="s">
        <v>121</v>
      </c>
      <c r="C46" s="16" t="s">
        <v>122</v>
      </c>
    </row>
    <row r="47" spans="2:3">
      <c r="B47" s="1" t="s">
        <v>123</v>
      </c>
      <c r="C47" s="16" t="s">
        <v>124</v>
      </c>
    </row>
  </sheetData>
  <hyperlinks>
    <hyperlink ref="C39" r:id="rId1" xr:uid="{F8B6CD52-FA6E-EA4E-BB7A-DDFA802961BC}"/>
    <hyperlink ref="C40" r:id="rId2" xr:uid="{FC3C36B4-0907-1244-AF71-C3066661CC7F}"/>
    <hyperlink ref="C41" r:id="rId3" xr:uid="{E9D68469-89FC-334A-B6B0-6EE1984E53A0}"/>
    <hyperlink ref="C42" r:id="rId4" xr:uid="{7D47256C-21F2-3F4E-86B8-2836CAE8CE06}"/>
    <hyperlink ref="C43" r:id="rId5" xr:uid="{D3BAD860-314F-E948-88AF-D2FB83B3ADB9}"/>
    <hyperlink ref="C44" r:id="rId6" xr:uid="{02135D7F-15A6-6B48-9282-B4C7DB6AEAF1}"/>
    <hyperlink ref="C45" r:id="rId7" xr:uid="{5FEC6A39-F535-7D46-9A31-BD165410CF53}"/>
    <hyperlink ref="C46" r:id="rId8" xr:uid="{1A44E189-31F5-D144-86C2-4FCBEA66C309}"/>
    <hyperlink ref="C47" r:id="rId9" xr:uid="{283B1D98-4B1A-DC44-B26F-3BC8A52DB5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F838-00A9-5F4B-96C9-E14EE18ECF2F}">
  <dimension ref="B2:HX81"/>
  <sheetViews>
    <sheetView zoomScale="114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7" sqref="P17"/>
    </sheetView>
  </sheetViews>
  <sheetFormatPr baseColWidth="10" defaultRowHeight="13"/>
  <cols>
    <col min="1" max="1" width="0.83203125" style="1" customWidth="1"/>
    <col min="2" max="2" width="24" style="1" bestFit="1" customWidth="1"/>
    <col min="3" max="10" width="6.6640625" style="1" bestFit="1" customWidth="1"/>
    <col min="11" max="11" width="5.5" style="1" customWidth="1"/>
    <col min="12" max="12" width="3.5" style="1" customWidth="1"/>
    <col min="13" max="18" width="5.1640625" style="1" bestFit="1" customWidth="1"/>
    <col min="19" max="32" width="6.6640625" style="1" bestFit="1" customWidth="1"/>
    <col min="33" max="33" width="5.6640625" style="1" bestFit="1" customWidth="1"/>
    <col min="34" max="34" width="10.5" style="1" bestFit="1" customWidth="1"/>
    <col min="35" max="35" width="9.6640625" style="1" bestFit="1" customWidth="1"/>
    <col min="36" max="90" width="5.6640625" style="1" bestFit="1" customWidth="1"/>
    <col min="91" max="232" width="5.1640625" style="1" bestFit="1" customWidth="1"/>
    <col min="233" max="16384" width="10.83203125" style="1"/>
  </cols>
  <sheetData>
    <row r="2" spans="2:232" s="6" customFormat="1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M2" s="6">
        <v>2015</v>
      </c>
      <c r="N2" s="6">
        <f>+M2+1</f>
        <v>2016</v>
      </c>
      <c r="O2" s="6">
        <f t="shared" ref="O2:AF2" si="0">+N2+1</f>
        <v>2017</v>
      </c>
      <c r="P2" s="6">
        <f t="shared" si="0"/>
        <v>2018</v>
      </c>
      <c r="Q2" s="6">
        <f t="shared" si="0"/>
        <v>2019</v>
      </c>
      <c r="R2" s="6">
        <f t="shared" si="0"/>
        <v>2020</v>
      </c>
      <c r="S2" s="6">
        <f t="shared" si="0"/>
        <v>2021</v>
      </c>
      <c r="T2" s="6">
        <f t="shared" si="0"/>
        <v>2022</v>
      </c>
      <c r="U2" s="6">
        <f t="shared" si="0"/>
        <v>2023</v>
      </c>
      <c r="V2" s="6">
        <f t="shared" si="0"/>
        <v>2024</v>
      </c>
      <c r="W2" s="6">
        <f t="shared" si="0"/>
        <v>2025</v>
      </c>
      <c r="X2" s="6">
        <f t="shared" si="0"/>
        <v>2026</v>
      </c>
      <c r="Y2" s="6">
        <f t="shared" si="0"/>
        <v>2027</v>
      </c>
      <c r="Z2" s="6">
        <f t="shared" si="0"/>
        <v>2028</v>
      </c>
      <c r="AA2" s="6">
        <f t="shared" si="0"/>
        <v>2029</v>
      </c>
      <c r="AB2" s="6">
        <f t="shared" si="0"/>
        <v>2030</v>
      </c>
      <c r="AC2" s="6">
        <f t="shared" si="0"/>
        <v>2031</v>
      </c>
      <c r="AD2" s="6">
        <f t="shared" si="0"/>
        <v>2032</v>
      </c>
      <c r="AE2" s="6">
        <f t="shared" si="0"/>
        <v>2033</v>
      </c>
      <c r="AF2" s="6">
        <f t="shared" si="0"/>
        <v>2034</v>
      </c>
      <c r="AG2" s="6">
        <f>+AF2+1</f>
        <v>2035</v>
      </c>
      <c r="AH2" s="6">
        <f t="shared" ref="AH2:CS2" si="1">+AG2+1</f>
        <v>2036</v>
      </c>
      <c r="AI2" s="6">
        <f t="shared" si="1"/>
        <v>2037</v>
      </c>
      <c r="AJ2" s="6">
        <f t="shared" si="1"/>
        <v>2038</v>
      </c>
      <c r="AK2" s="6">
        <f t="shared" si="1"/>
        <v>2039</v>
      </c>
      <c r="AL2" s="6">
        <f t="shared" si="1"/>
        <v>2040</v>
      </c>
      <c r="AM2" s="6">
        <f t="shared" si="1"/>
        <v>2041</v>
      </c>
      <c r="AN2" s="6">
        <f t="shared" si="1"/>
        <v>2042</v>
      </c>
      <c r="AO2" s="6">
        <f t="shared" si="1"/>
        <v>2043</v>
      </c>
      <c r="AP2" s="6">
        <f t="shared" si="1"/>
        <v>2044</v>
      </c>
      <c r="AQ2" s="6">
        <f t="shared" si="1"/>
        <v>2045</v>
      </c>
      <c r="AR2" s="6">
        <f t="shared" si="1"/>
        <v>2046</v>
      </c>
      <c r="AS2" s="6">
        <f t="shared" si="1"/>
        <v>2047</v>
      </c>
      <c r="AT2" s="6">
        <f t="shared" si="1"/>
        <v>2048</v>
      </c>
      <c r="AU2" s="6">
        <f t="shared" si="1"/>
        <v>2049</v>
      </c>
      <c r="AV2" s="6">
        <f t="shared" si="1"/>
        <v>2050</v>
      </c>
      <c r="AW2" s="6">
        <f t="shared" si="1"/>
        <v>2051</v>
      </c>
      <c r="AX2" s="6">
        <f t="shared" si="1"/>
        <v>2052</v>
      </c>
      <c r="AY2" s="6">
        <f t="shared" si="1"/>
        <v>2053</v>
      </c>
      <c r="AZ2" s="6">
        <f t="shared" si="1"/>
        <v>2054</v>
      </c>
      <c r="BA2" s="6">
        <f t="shared" si="1"/>
        <v>2055</v>
      </c>
      <c r="BB2" s="6">
        <f t="shared" si="1"/>
        <v>2056</v>
      </c>
      <c r="BC2" s="6">
        <f t="shared" si="1"/>
        <v>2057</v>
      </c>
      <c r="BD2" s="6">
        <f t="shared" si="1"/>
        <v>2058</v>
      </c>
      <c r="BE2" s="6">
        <f t="shared" si="1"/>
        <v>2059</v>
      </c>
      <c r="BF2" s="6">
        <f t="shared" si="1"/>
        <v>2060</v>
      </c>
      <c r="BG2" s="6">
        <f t="shared" si="1"/>
        <v>2061</v>
      </c>
      <c r="BH2" s="6">
        <f t="shared" si="1"/>
        <v>2062</v>
      </c>
      <c r="BI2" s="6">
        <f t="shared" si="1"/>
        <v>2063</v>
      </c>
      <c r="BJ2" s="6">
        <f t="shared" si="1"/>
        <v>2064</v>
      </c>
      <c r="BK2" s="6">
        <f t="shared" si="1"/>
        <v>2065</v>
      </c>
      <c r="BL2" s="6">
        <f t="shared" si="1"/>
        <v>2066</v>
      </c>
      <c r="BM2" s="6">
        <f t="shared" si="1"/>
        <v>2067</v>
      </c>
      <c r="BN2" s="6">
        <f t="shared" si="1"/>
        <v>2068</v>
      </c>
      <c r="BO2" s="6">
        <f t="shared" si="1"/>
        <v>2069</v>
      </c>
      <c r="BP2" s="6">
        <f t="shared" si="1"/>
        <v>2070</v>
      </c>
      <c r="BQ2" s="6">
        <f t="shared" si="1"/>
        <v>2071</v>
      </c>
      <c r="BR2" s="6">
        <f t="shared" si="1"/>
        <v>2072</v>
      </c>
      <c r="BS2" s="6">
        <f t="shared" si="1"/>
        <v>2073</v>
      </c>
      <c r="BT2" s="6">
        <f t="shared" si="1"/>
        <v>2074</v>
      </c>
      <c r="BU2" s="6">
        <f t="shared" si="1"/>
        <v>2075</v>
      </c>
      <c r="BV2" s="6">
        <f t="shared" si="1"/>
        <v>2076</v>
      </c>
      <c r="BW2" s="6">
        <f t="shared" si="1"/>
        <v>2077</v>
      </c>
      <c r="BX2" s="6">
        <f t="shared" si="1"/>
        <v>2078</v>
      </c>
      <c r="BY2" s="6">
        <f t="shared" si="1"/>
        <v>2079</v>
      </c>
      <c r="BZ2" s="6">
        <f t="shared" si="1"/>
        <v>2080</v>
      </c>
      <c r="CA2" s="6">
        <f t="shared" si="1"/>
        <v>2081</v>
      </c>
      <c r="CB2" s="6">
        <f t="shared" si="1"/>
        <v>2082</v>
      </c>
      <c r="CC2" s="6">
        <f t="shared" si="1"/>
        <v>2083</v>
      </c>
      <c r="CD2" s="6">
        <f t="shared" si="1"/>
        <v>2084</v>
      </c>
      <c r="CE2" s="6">
        <f t="shared" si="1"/>
        <v>2085</v>
      </c>
      <c r="CF2" s="6">
        <f t="shared" si="1"/>
        <v>2086</v>
      </c>
      <c r="CG2" s="6">
        <f t="shared" si="1"/>
        <v>2087</v>
      </c>
      <c r="CH2" s="6">
        <f t="shared" si="1"/>
        <v>2088</v>
      </c>
      <c r="CI2" s="6">
        <f t="shared" si="1"/>
        <v>2089</v>
      </c>
      <c r="CJ2" s="6">
        <f t="shared" si="1"/>
        <v>2090</v>
      </c>
      <c r="CK2" s="6">
        <f t="shared" si="1"/>
        <v>2091</v>
      </c>
      <c r="CL2" s="6">
        <f t="shared" si="1"/>
        <v>2092</v>
      </c>
      <c r="CM2" s="6">
        <f t="shared" si="1"/>
        <v>2093</v>
      </c>
      <c r="CN2" s="6">
        <f t="shared" si="1"/>
        <v>2094</v>
      </c>
      <c r="CO2" s="6">
        <f t="shared" si="1"/>
        <v>2095</v>
      </c>
      <c r="CP2" s="6">
        <f t="shared" si="1"/>
        <v>2096</v>
      </c>
      <c r="CQ2" s="6">
        <f t="shared" si="1"/>
        <v>2097</v>
      </c>
      <c r="CR2" s="6">
        <f t="shared" si="1"/>
        <v>2098</v>
      </c>
      <c r="CS2" s="6">
        <f t="shared" si="1"/>
        <v>2099</v>
      </c>
      <c r="CT2" s="6">
        <f t="shared" ref="CT2:FE2" si="2">+CS2+1</f>
        <v>2100</v>
      </c>
      <c r="CU2" s="6">
        <f t="shared" si="2"/>
        <v>2101</v>
      </c>
      <c r="CV2" s="6">
        <f t="shared" si="2"/>
        <v>2102</v>
      </c>
      <c r="CW2" s="6">
        <f t="shared" si="2"/>
        <v>2103</v>
      </c>
      <c r="CX2" s="6">
        <f t="shared" si="2"/>
        <v>2104</v>
      </c>
      <c r="CY2" s="6">
        <f t="shared" si="2"/>
        <v>2105</v>
      </c>
      <c r="CZ2" s="6">
        <f t="shared" si="2"/>
        <v>2106</v>
      </c>
      <c r="DA2" s="6">
        <f t="shared" si="2"/>
        <v>2107</v>
      </c>
      <c r="DB2" s="6">
        <f t="shared" si="2"/>
        <v>2108</v>
      </c>
      <c r="DC2" s="6">
        <f t="shared" si="2"/>
        <v>2109</v>
      </c>
      <c r="DD2" s="6">
        <f t="shared" si="2"/>
        <v>2110</v>
      </c>
      <c r="DE2" s="6">
        <f t="shared" si="2"/>
        <v>2111</v>
      </c>
      <c r="DF2" s="6">
        <f t="shared" si="2"/>
        <v>2112</v>
      </c>
      <c r="DG2" s="6">
        <f t="shared" si="2"/>
        <v>2113</v>
      </c>
      <c r="DH2" s="6">
        <f t="shared" si="2"/>
        <v>2114</v>
      </c>
      <c r="DI2" s="6">
        <f t="shared" si="2"/>
        <v>2115</v>
      </c>
      <c r="DJ2" s="6">
        <f t="shared" si="2"/>
        <v>2116</v>
      </c>
      <c r="DK2" s="6">
        <f t="shared" si="2"/>
        <v>2117</v>
      </c>
      <c r="DL2" s="6">
        <f t="shared" si="2"/>
        <v>2118</v>
      </c>
      <c r="DM2" s="6">
        <f t="shared" si="2"/>
        <v>2119</v>
      </c>
      <c r="DN2" s="6">
        <f t="shared" si="2"/>
        <v>2120</v>
      </c>
      <c r="DO2" s="6">
        <f t="shared" si="2"/>
        <v>2121</v>
      </c>
      <c r="DP2" s="6">
        <f t="shared" si="2"/>
        <v>2122</v>
      </c>
      <c r="DQ2" s="6">
        <f t="shared" si="2"/>
        <v>2123</v>
      </c>
      <c r="DR2" s="6">
        <f t="shared" si="2"/>
        <v>2124</v>
      </c>
      <c r="DS2" s="6">
        <f t="shared" si="2"/>
        <v>2125</v>
      </c>
      <c r="DT2" s="6">
        <f t="shared" si="2"/>
        <v>2126</v>
      </c>
      <c r="DU2" s="6">
        <f t="shared" si="2"/>
        <v>2127</v>
      </c>
      <c r="DV2" s="6">
        <f t="shared" si="2"/>
        <v>2128</v>
      </c>
      <c r="DW2" s="6">
        <f t="shared" si="2"/>
        <v>2129</v>
      </c>
      <c r="DX2" s="6">
        <f t="shared" si="2"/>
        <v>2130</v>
      </c>
      <c r="DY2" s="6">
        <f t="shared" si="2"/>
        <v>2131</v>
      </c>
      <c r="DZ2" s="6">
        <f t="shared" si="2"/>
        <v>2132</v>
      </c>
      <c r="EA2" s="6">
        <f t="shared" si="2"/>
        <v>2133</v>
      </c>
      <c r="EB2" s="6">
        <f t="shared" si="2"/>
        <v>2134</v>
      </c>
      <c r="EC2" s="6">
        <f t="shared" si="2"/>
        <v>2135</v>
      </c>
      <c r="ED2" s="6">
        <f t="shared" si="2"/>
        <v>2136</v>
      </c>
      <c r="EE2" s="6">
        <f t="shared" si="2"/>
        <v>2137</v>
      </c>
      <c r="EF2" s="6">
        <f t="shared" si="2"/>
        <v>2138</v>
      </c>
      <c r="EG2" s="6">
        <f t="shared" si="2"/>
        <v>2139</v>
      </c>
      <c r="EH2" s="6">
        <f t="shared" si="2"/>
        <v>2140</v>
      </c>
      <c r="EI2" s="6">
        <f t="shared" si="2"/>
        <v>2141</v>
      </c>
      <c r="EJ2" s="6">
        <f t="shared" si="2"/>
        <v>2142</v>
      </c>
      <c r="EK2" s="6">
        <f t="shared" si="2"/>
        <v>2143</v>
      </c>
      <c r="EL2" s="6">
        <f t="shared" si="2"/>
        <v>2144</v>
      </c>
      <c r="EM2" s="6">
        <f t="shared" si="2"/>
        <v>2145</v>
      </c>
      <c r="EN2" s="6">
        <f t="shared" si="2"/>
        <v>2146</v>
      </c>
      <c r="EO2" s="6">
        <f t="shared" si="2"/>
        <v>2147</v>
      </c>
      <c r="EP2" s="6">
        <f t="shared" si="2"/>
        <v>2148</v>
      </c>
      <c r="EQ2" s="6">
        <f t="shared" si="2"/>
        <v>2149</v>
      </c>
      <c r="ER2" s="6">
        <f t="shared" si="2"/>
        <v>2150</v>
      </c>
      <c r="ES2" s="6">
        <f t="shared" si="2"/>
        <v>2151</v>
      </c>
      <c r="ET2" s="6">
        <f t="shared" si="2"/>
        <v>2152</v>
      </c>
      <c r="EU2" s="6">
        <f t="shared" si="2"/>
        <v>2153</v>
      </c>
      <c r="EV2" s="6">
        <f t="shared" si="2"/>
        <v>2154</v>
      </c>
      <c r="EW2" s="6">
        <f t="shared" si="2"/>
        <v>2155</v>
      </c>
      <c r="EX2" s="6">
        <f t="shared" si="2"/>
        <v>2156</v>
      </c>
      <c r="EY2" s="6">
        <f t="shared" si="2"/>
        <v>2157</v>
      </c>
      <c r="EZ2" s="6">
        <f t="shared" si="2"/>
        <v>2158</v>
      </c>
      <c r="FA2" s="6">
        <f t="shared" si="2"/>
        <v>2159</v>
      </c>
      <c r="FB2" s="6">
        <f t="shared" si="2"/>
        <v>2160</v>
      </c>
      <c r="FC2" s="6">
        <f t="shared" si="2"/>
        <v>2161</v>
      </c>
      <c r="FD2" s="6">
        <f t="shared" si="2"/>
        <v>2162</v>
      </c>
      <c r="FE2" s="6">
        <f t="shared" si="2"/>
        <v>2163</v>
      </c>
      <c r="FF2" s="6">
        <f t="shared" ref="FF2:HQ2" si="3">+FE2+1</f>
        <v>2164</v>
      </c>
      <c r="FG2" s="6">
        <f t="shared" si="3"/>
        <v>2165</v>
      </c>
      <c r="FH2" s="6">
        <f t="shared" si="3"/>
        <v>2166</v>
      </c>
      <c r="FI2" s="6">
        <f t="shared" si="3"/>
        <v>2167</v>
      </c>
      <c r="FJ2" s="6">
        <f t="shared" si="3"/>
        <v>2168</v>
      </c>
      <c r="FK2" s="6">
        <f t="shared" si="3"/>
        <v>2169</v>
      </c>
      <c r="FL2" s="6">
        <f t="shared" si="3"/>
        <v>2170</v>
      </c>
      <c r="FM2" s="6">
        <f t="shared" si="3"/>
        <v>2171</v>
      </c>
      <c r="FN2" s="6">
        <f t="shared" si="3"/>
        <v>2172</v>
      </c>
      <c r="FO2" s="6">
        <f t="shared" si="3"/>
        <v>2173</v>
      </c>
      <c r="FP2" s="6">
        <f t="shared" si="3"/>
        <v>2174</v>
      </c>
      <c r="FQ2" s="6">
        <f t="shared" si="3"/>
        <v>2175</v>
      </c>
      <c r="FR2" s="6">
        <f t="shared" si="3"/>
        <v>2176</v>
      </c>
      <c r="FS2" s="6">
        <f t="shared" si="3"/>
        <v>2177</v>
      </c>
      <c r="FT2" s="6">
        <f t="shared" si="3"/>
        <v>2178</v>
      </c>
      <c r="FU2" s="6">
        <f t="shared" si="3"/>
        <v>2179</v>
      </c>
      <c r="FV2" s="6">
        <f t="shared" si="3"/>
        <v>2180</v>
      </c>
      <c r="FW2" s="6">
        <f t="shared" si="3"/>
        <v>2181</v>
      </c>
      <c r="FX2" s="6">
        <f t="shared" si="3"/>
        <v>2182</v>
      </c>
      <c r="FY2" s="6">
        <f t="shared" si="3"/>
        <v>2183</v>
      </c>
      <c r="FZ2" s="6">
        <f t="shared" si="3"/>
        <v>2184</v>
      </c>
      <c r="GA2" s="6">
        <f t="shared" si="3"/>
        <v>2185</v>
      </c>
      <c r="GB2" s="6">
        <f t="shared" si="3"/>
        <v>2186</v>
      </c>
      <c r="GC2" s="6">
        <f t="shared" si="3"/>
        <v>2187</v>
      </c>
      <c r="GD2" s="6">
        <f t="shared" si="3"/>
        <v>2188</v>
      </c>
      <c r="GE2" s="6">
        <f t="shared" si="3"/>
        <v>2189</v>
      </c>
      <c r="GF2" s="6">
        <f t="shared" si="3"/>
        <v>2190</v>
      </c>
      <c r="GG2" s="6">
        <f t="shared" si="3"/>
        <v>2191</v>
      </c>
      <c r="GH2" s="6">
        <f t="shared" si="3"/>
        <v>2192</v>
      </c>
      <c r="GI2" s="6">
        <f t="shared" si="3"/>
        <v>2193</v>
      </c>
      <c r="GJ2" s="6">
        <f t="shared" si="3"/>
        <v>2194</v>
      </c>
      <c r="GK2" s="6">
        <f t="shared" si="3"/>
        <v>2195</v>
      </c>
      <c r="GL2" s="6">
        <f t="shared" si="3"/>
        <v>2196</v>
      </c>
      <c r="GM2" s="6">
        <f t="shared" si="3"/>
        <v>2197</v>
      </c>
      <c r="GN2" s="6">
        <f t="shared" si="3"/>
        <v>2198</v>
      </c>
      <c r="GO2" s="6">
        <f t="shared" si="3"/>
        <v>2199</v>
      </c>
      <c r="GP2" s="6">
        <f t="shared" si="3"/>
        <v>2200</v>
      </c>
      <c r="GQ2" s="6">
        <f t="shared" si="3"/>
        <v>2201</v>
      </c>
      <c r="GR2" s="6">
        <f t="shared" si="3"/>
        <v>2202</v>
      </c>
      <c r="GS2" s="6">
        <f t="shared" si="3"/>
        <v>2203</v>
      </c>
      <c r="GT2" s="6">
        <f t="shared" si="3"/>
        <v>2204</v>
      </c>
      <c r="GU2" s="6">
        <f t="shared" si="3"/>
        <v>2205</v>
      </c>
      <c r="GV2" s="6">
        <f t="shared" si="3"/>
        <v>2206</v>
      </c>
      <c r="GW2" s="6">
        <f t="shared" si="3"/>
        <v>2207</v>
      </c>
      <c r="GX2" s="6">
        <f t="shared" si="3"/>
        <v>2208</v>
      </c>
      <c r="GY2" s="6">
        <f t="shared" si="3"/>
        <v>2209</v>
      </c>
      <c r="GZ2" s="6">
        <f t="shared" si="3"/>
        <v>2210</v>
      </c>
      <c r="HA2" s="6">
        <f t="shared" si="3"/>
        <v>2211</v>
      </c>
      <c r="HB2" s="6">
        <f t="shared" si="3"/>
        <v>2212</v>
      </c>
      <c r="HC2" s="6">
        <f t="shared" si="3"/>
        <v>2213</v>
      </c>
      <c r="HD2" s="6">
        <f t="shared" si="3"/>
        <v>2214</v>
      </c>
      <c r="HE2" s="6">
        <f t="shared" si="3"/>
        <v>2215</v>
      </c>
      <c r="HF2" s="6">
        <f t="shared" si="3"/>
        <v>2216</v>
      </c>
      <c r="HG2" s="6">
        <f t="shared" si="3"/>
        <v>2217</v>
      </c>
      <c r="HH2" s="6">
        <f t="shared" si="3"/>
        <v>2218</v>
      </c>
      <c r="HI2" s="6">
        <f t="shared" si="3"/>
        <v>2219</v>
      </c>
      <c r="HJ2" s="6">
        <f t="shared" si="3"/>
        <v>2220</v>
      </c>
      <c r="HK2" s="6">
        <f t="shared" si="3"/>
        <v>2221</v>
      </c>
      <c r="HL2" s="6">
        <f t="shared" si="3"/>
        <v>2222</v>
      </c>
      <c r="HM2" s="6">
        <f t="shared" si="3"/>
        <v>2223</v>
      </c>
      <c r="HN2" s="6">
        <f t="shared" si="3"/>
        <v>2224</v>
      </c>
      <c r="HO2" s="6">
        <f t="shared" si="3"/>
        <v>2225</v>
      </c>
      <c r="HP2" s="6">
        <f t="shared" si="3"/>
        <v>2226</v>
      </c>
      <c r="HQ2" s="6">
        <f t="shared" si="3"/>
        <v>2227</v>
      </c>
      <c r="HR2" s="6">
        <f t="shared" ref="HR2:HX2" si="4">+HQ2+1</f>
        <v>2228</v>
      </c>
      <c r="HS2" s="6">
        <f t="shared" si="4"/>
        <v>2229</v>
      </c>
      <c r="HT2" s="6">
        <f t="shared" si="4"/>
        <v>2230</v>
      </c>
      <c r="HU2" s="6">
        <f t="shared" si="4"/>
        <v>2231</v>
      </c>
      <c r="HV2" s="6">
        <f t="shared" si="4"/>
        <v>2232</v>
      </c>
      <c r="HW2" s="6">
        <f t="shared" si="4"/>
        <v>2233</v>
      </c>
      <c r="HX2" s="6">
        <f t="shared" si="4"/>
        <v>2234</v>
      </c>
    </row>
    <row r="3" spans="2:232" s="7" customFormat="1">
      <c r="B3" s="7" t="s">
        <v>18</v>
      </c>
      <c r="C3" s="7">
        <v>1979</v>
      </c>
      <c r="D3" s="7">
        <v>2673</v>
      </c>
      <c r="E3" s="7">
        <v>487</v>
      </c>
      <c r="F3" s="7">
        <v>1308</v>
      </c>
      <c r="G3" s="7">
        <v>2087</v>
      </c>
      <c r="H3" s="7">
        <v>2683</v>
      </c>
      <c r="I3" s="7">
        <v>315</v>
      </c>
      <c r="J3" s="7">
        <f>+V3-SUM(G3:I3)</f>
        <v>1411</v>
      </c>
      <c r="S3" s="7">
        <v>5618</v>
      </c>
      <c r="T3" s="7">
        <v>5955</v>
      </c>
      <c r="U3" s="7">
        <f>SUM(C3:F3)</f>
        <v>6447</v>
      </c>
      <c r="V3" s="7">
        <v>6496</v>
      </c>
      <c r="W3" s="7">
        <f>+W$7*(V3/V$7)</f>
        <v>6379.4838783865898</v>
      </c>
      <c r="X3" s="7">
        <f>+X$7*(W3/W$7)</f>
        <v>6315.6890396027229</v>
      </c>
      <c r="Y3" s="7">
        <f t="shared" ref="Y3:AF3" si="5">+Y$7*(X3/X$7)</f>
        <v>6252.5321492066969</v>
      </c>
      <c r="Z3" s="7">
        <f t="shared" si="5"/>
        <v>6190.0068277146293</v>
      </c>
      <c r="AA3" s="7">
        <f t="shared" si="5"/>
        <v>6128.1067594374827</v>
      </c>
      <c r="AB3" s="7">
        <f t="shared" si="5"/>
        <v>6066.8256918431089</v>
      </c>
      <c r="AC3" s="7">
        <f t="shared" si="5"/>
        <v>6006.1574349246775</v>
      </c>
      <c r="AD3" s="7">
        <f t="shared" si="5"/>
        <v>5946.0958605754313</v>
      </c>
      <c r="AE3" s="7">
        <f t="shared" si="5"/>
        <v>5886.6349019696763</v>
      </c>
      <c r="AF3" s="7">
        <f t="shared" si="5"/>
        <v>5827.7685529499795</v>
      </c>
    </row>
    <row r="4" spans="2:232" s="7" customFormat="1">
      <c r="B4" s="7" t="s">
        <v>19</v>
      </c>
      <c r="C4" s="7">
        <v>269</v>
      </c>
      <c r="D4" s="7">
        <v>1255</v>
      </c>
      <c r="E4" s="7">
        <v>189</v>
      </c>
      <c r="F4" s="7">
        <v>145</v>
      </c>
      <c r="G4" s="7">
        <v>292</v>
      </c>
      <c r="H4" s="7">
        <v>1317</v>
      </c>
      <c r="I4" s="7">
        <v>164</v>
      </c>
      <c r="J4" s="7">
        <f t="shared" ref="J4:J21" si="6">+V4-SUM(G4:I4)</f>
        <v>154</v>
      </c>
      <c r="S4" s="7">
        <v>1568</v>
      </c>
      <c r="T4" s="7">
        <v>1810</v>
      </c>
      <c r="U4" s="7">
        <f t="shared" ref="U4:V21" si="7">SUM(C4:F4)</f>
        <v>1858</v>
      </c>
      <c r="V4" s="7">
        <v>1927</v>
      </c>
      <c r="W4" s="7">
        <f>+W$7*(V4/V$7)</f>
        <v>1892.436181288633</v>
      </c>
      <c r="X4" s="7">
        <f t="shared" ref="X4:AF4" si="8">+X$7*(W4/W$7)</f>
        <v>1873.5118194757465</v>
      </c>
      <c r="Y4" s="7">
        <f t="shared" si="8"/>
        <v>1854.7767012809893</v>
      </c>
      <c r="Z4" s="7">
        <f t="shared" si="8"/>
        <v>1836.2289342681793</v>
      </c>
      <c r="AA4" s="7">
        <f t="shared" si="8"/>
        <v>1817.8666449254972</v>
      </c>
      <c r="AB4" s="7">
        <f t="shared" si="8"/>
        <v>1799.6879784762427</v>
      </c>
      <c r="AC4" s="7">
        <f t="shared" si="8"/>
        <v>1781.69109869148</v>
      </c>
      <c r="AD4" s="7">
        <f t="shared" si="8"/>
        <v>1763.8741877045654</v>
      </c>
      <c r="AE4" s="7">
        <f t="shared" si="8"/>
        <v>1746.2354458275197</v>
      </c>
      <c r="AF4" s="7">
        <f t="shared" si="8"/>
        <v>1728.7730913692444</v>
      </c>
    </row>
    <row r="5" spans="2:232" s="7" customFormat="1">
      <c r="B5" s="7" t="s">
        <v>20</v>
      </c>
      <c r="C5" s="7">
        <v>301</v>
      </c>
      <c r="D5" s="7">
        <v>194</v>
      </c>
      <c r="E5" s="7">
        <v>142</v>
      </c>
      <c r="F5" s="7">
        <v>71</v>
      </c>
      <c r="G5" s="7">
        <v>245</v>
      </c>
      <c r="H5" s="7">
        <v>186</v>
      </c>
      <c r="I5" s="7">
        <v>135</v>
      </c>
      <c r="J5" s="7">
        <f t="shared" si="6"/>
        <v>87</v>
      </c>
      <c r="S5" s="7">
        <v>752</v>
      </c>
      <c r="T5" s="7">
        <v>714</v>
      </c>
      <c r="U5" s="7">
        <f t="shared" si="7"/>
        <v>708</v>
      </c>
      <c r="V5" s="7">
        <v>653</v>
      </c>
      <c r="W5" s="7">
        <f>+W$7*(V5/V$7)</f>
        <v>641.28740341540083</v>
      </c>
      <c r="X5" s="7">
        <f t="shared" ref="X5:AF5" si="9">+X$7*(W5/W$7)</f>
        <v>634.8745293812467</v>
      </c>
      <c r="Y5" s="7">
        <f t="shared" si="9"/>
        <v>628.52578408743432</v>
      </c>
      <c r="Z5" s="7">
        <f t="shared" si="9"/>
        <v>622.24052624655997</v>
      </c>
      <c r="AA5" s="7">
        <f t="shared" si="9"/>
        <v>616.01812098409425</v>
      </c>
      <c r="AB5" s="7">
        <f t="shared" si="9"/>
        <v>609.85793977425351</v>
      </c>
      <c r="AC5" s="7">
        <f t="shared" si="9"/>
        <v>603.75936037651081</v>
      </c>
      <c r="AD5" s="7">
        <f t="shared" si="9"/>
        <v>597.72176677274581</v>
      </c>
      <c r="AE5" s="7">
        <f t="shared" si="9"/>
        <v>591.74454910501834</v>
      </c>
      <c r="AF5" s="7">
        <f t="shared" si="9"/>
        <v>585.82710361396812</v>
      </c>
    </row>
    <row r="6" spans="2:232" s="7" customFormat="1">
      <c r="B6" s="7" t="s">
        <v>21</v>
      </c>
      <c r="C6" s="7">
        <v>146</v>
      </c>
      <c r="D6" s="7">
        <v>142</v>
      </c>
      <c r="E6" s="7">
        <v>60</v>
      </c>
      <c r="F6" s="7">
        <v>111</v>
      </c>
      <c r="G6" s="7">
        <v>127</v>
      </c>
      <c r="H6" s="7">
        <v>145</v>
      </c>
      <c r="I6" s="7">
        <v>77</v>
      </c>
      <c r="J6" s="7">
        <f t="shared" si="6"/>
        <v>120</v>
      </c>
      <c r="S6" s="7">
        <v>464</v>
      </c>
      <c r="T6" s="7">
        <v>500</v>
      </c>
      <c r="U6" s="7">
        <f t="shared" si="7"/>
        <v>459</v>
      </c>
      <c r="V6" s="7">
        <v>469</v>
      </c>
      <c r="W6" s="7">
        <f>+W$7*(V6/V$7)</f>
        <v>460.5877369093767</v>
      </c>
      <c r="X6" s="7">
        <f t="shared" ref="X6:AF6" si="10">+X$7*(W6/W$7)</f>
        <v>455.98185954028287</v>
      </c>
      <c r="Y6" s="7">
        <f t="shared" si="10"/>
        <v>451.42204094488011</v>
      </c>
      <c r="Z6" s="7">
        <f t="shared" si="10"/>
        <v>446.90782053543126</v>
      </c>
      <c r="AA6" s="7">
        <f t="shared" si="10"/>
        <v>442.43874233007693</v>
      </c>
      <c r="AB6" s="7">
        <f t="shared" si="10"/>
        <v>438.01435490677625</v>
      </c>
      <c r="AC6" s="7">
        <f t="shared" si="10"/>
        <v>433.63421135770841</v>
      </c>
      <c r="AD6" s="7">
        <f t="shared" si="10"/>
        <v>429.29786924413139</v>
      </c>
      <c r="AE6" s="7">
        <f t="shared" si="10"/>
        <v>425.00489055169004</v>
      </c>
      <c r="AF6" s="7">
        <f t="shared" si="10"/>
        <v>420.75484164617313</v>
      </c>
    </row>
    <row r="7" spans="2:232" s="7" customFormat="1">
      <c r="B7" s="7" t="s">
        <v>35</v>
      </c>
      <c r="C7" s="7">
        <f>SUM(C3:C6)</f>
        <v>2695</v>
      </c>
      <c r="D7" s="7">
        <f t="shared" ref="D7:I7" si="11">SUM(D3:D6)</f>
        <v>4264</v>
      </c>
      <c r="E7" s="7">
        <f t="shared" si="11"/>
        <v>878</v>
      </c>
      <c r="F7" s="7">
        <f t="shared" si="11"/>
        <v>1635</v>
      </c>
      <c r="G7" s="7">
        <f t="shared" si="11"/>
        <v>2751</v>
      </c>
      <c r="H7" s="7">
        <f t="shared" si="11"/>
        <v>4331</v>
      </c>
      <c r="I7" s="7">
        <f t="shared" si="11"/>
        <v>691</v>
      </c>
      <c r="J7" s="7">
        <f t="shared" si="6"/>
        <v>1772</v>
      </c>
      <c r="S7" s="7">
        <f>+SUM(S3:S6)</f>
        <v>8402</v>
      </c>
      <c r="T7" s="7">
        <f>+SUM(T3:T6)</f>
        <v>8979</v>
      </c>
      <c r="U7" s="7">
        <f t="shared" si="7"/>
        <v>9472</v>
      </c>
      <c r="V7" s="7">
        <f>SUM(V3:V6)</f>
        <v>9545</v>
      </c>
      <c r="W7" s="7">
        <f>+W13*0.56</f>
        <v>9373.7952000000005</v>
      </c>
      <c r="X7" s="7">
        <f t="shared" ref="X7:AF7" si="12">+X13*0.56</f>
        <v>9280.0572479999992</v>
      </c>
      <c r="Y7" s="7">
        <f t="shared" si="12"/>
        <v>9187.2566755200005</v>
      </c>
      <c r="Z7" s="7">
        <f t="shared" si="12"/>
        <v>9095.3841087647997</v>
      </c>
      <c r="AA7" s="7">
        <f t="shared" si="12"/>
        <v>9004.4302676771513</v>
      </c>
      <c r="AB7" s="7">
        <f t="shared" si="12"/>
        <v>8914.3859650003815</v>
      </c>
      <c r="AC7" s="7">
        <f t="shared" si="12"/>
        <v>8825.2421053503767</v>
      </c>
      <c r="AD7" s="7">
        <f t="shared" si="12"/>
        <v>8736.9896842968737</v>
      </c>
      <c r="AE7" s="7">
        <f t="shared" si="12"/>
        <v>8649.6197874539048</v>
      </c>
      <c r="AF7" s="7">
        <f t="shared" si="12"/>
        <v>8563.1235895793652</v>
      </c>
    </row>
    <row r="8" spans="2:232" s="7" customFormat="1">
      <c r="B8" s="7" t="s">
        <v>22</v>
      </c>
      <c r="C8" s="7">
        <v>1242</v>
      </c>
      <c r="D8" s="7">
        <v>986</v>
      </c>
      <c r="E8" s="7">
        <v>815</v>
      </c>
      <c r="F8" s="7">
        <v>991</v>
      </c>
      <c r="G8" s="7">
        <v>886</v>
      </c>
      <c r="H8" s="7">
        <v>946</v>
      </c>
      <c r="I8" s="7">
        <v>736</v>
      </c>
      <c r="J8" s="7">
        <f t="shared" si="6"/>
        <v>1031</v>
      </c>
      <c r="S8" s="7">
        <v>3815</v>
      </c>
      <c r="T8" s="7">
        <v>4591</v>
      </c>
      <c r="U8" s="7">
        <f t="shared" si="7"/>
        <v>4034</v>
      </c>
      <c r="V8" s="7">
        <v>3599</v>
      </c>
      <c r="W8" s="7">
        <f>+V8*0.9</f>
        <v>3239.1</v>
      </c>
      <c r="X8" s="7">
        <f t="shared" ref="X8:AF8" si="13">+W8*0.9</f>
        <v>2915.19</v>
      </c>
      <c r="Y8" s="7">
        <f t="shared" si="13"/>
        <v>2623.6710000000003</v>
      </c>
      <c r="Z8" s="7">
        <f t="shared" si="13"/>
        <v>2361.3039000000003</v>
      </c>
      <c r="AA8" s="7">
        <f t="shared" si="13"/>
        <v>2125.1735100000005</v>
      </c>
      <c r="AB8" s="7">
        <f t="shared" si="13"/>
        <v>1912.6561590000006</v>
      </c>
      <c r="AC8" s="7">
        <f t="shared" si="13"/>
        <v>1721.3905431000005</v>
      </c>
      <c r="AD8" s="7">
        <f t="shared" si="13"/>
        <v>1549.2514887900004</v>
      </c>
      <c r="AE8" s="7">
        <f t="shared" si="13"/>
        <v>1394.3263399110003</v>
      </c>
      <c r="AF8" s="7">
        <f t="shared" si="13"/>
        <v>1254.8937059199004</v>
      </c>
    </row>
    <row r="9" spans="2:232" s="7" customFormat="1">
      <c r="B9" s="7" t="s">
        <v>33</v>
      </c>
      <c r="C9" s="7">
        <v>409</v>
      </c>
      <c r="D9" s="7">
        <v>331</v>
      </c>
      <c r="E9" s="7">
        <v>416</v>
      </c>
      <c r="F9" s="7">
        <v>442</v>
      </c>
      <c r="G9" s="7">
        <v>373</v>
      </c>
      <c r="H9" s="7">
        <v>415</v>
      </c>
      <c r="I9" s="7">
        <v>437</v>
      </c>
      <c r="J9" s="7">
        <f t="shared" si="6"/>
        <v>490</v>
      </c>
      <c r="S9" s="7">
        <v>1730</v>
      </c>
      <c r="T9" s="7">
        <v>1831</v>
      </c>
      <c r="U9" s="7">
        <f t="shared" si="7"/>
        <v>1598</v>
      </c>
      <c r="V9" s="7">
        <v>1715</v>
      </c>
      <c r="W9" s="7">
        <f>+V9*1.07</f>
        <v>1835.0500000000002</v>
      </c>
      <c r="X9" s="7">
        <f t="shared" ref="X9:AF9" si="14">+W9*1.07</f>
        <v>1963.5035000000003</v>
      </c>
      <c r="Y9" s="7">
        <f t="shared" si="14"/>
        <v>2100.9487450000006</v>
      </c>
      <c r="Z9" s="7">
        <f t="shared" si="14"/>
        <v>2248.015157150001</v>
      </c>
      <c r="AA9" s="7">
        <f t="shared" si="14"/>
        <v>2405.3762181505012</v>
      </c>
      <c r="AB9" s="7">
        <f t="shared" si="14"/>
        <v>2573.7525534210363</v>
      </c>
      <c r="AC9" s="7">
        <f t="shared" si="14"/>
        <v>2753.9152321605088</v>
      </c>
      <c r="AD9" s="7">
        <f t="shared" si="14"/>
        <v>2946.6892984117444</v>
      </c>
      <c r="AE9" s="7">
        <f t="shared" si="14"/>
        <v>3152.9575493005668</v>
      </c>
      <c r="AF9" s="7">
        <f t="shared" si="14"/>
        <v>3373.6645777516069</v>
      </c>
    </row>
    <row r="10" spans="2:232" s="7" customFormat="1">
      <c r="B10" s="7" t="s">
        <v>23</v>
      </c>
      <c r="C10" s="7">
        <v>359</v>
      </c>
      <c r="D10" s="7">
        <v>252</v>
      </c>
      <c r="E10" s="7">
        <v>226</v>
      </c>
      <c r="F10" s="7">
        <v>275</v>
      </c>
      <c r="G10" s="7">
        <v>295</v>
      </c>
      <c r="H10" s="7">
        <v>250</v>
      </c>
      <c r="I10" s="7">
        <v>216</v>
      </c>
      <c r="J10" s="7">
        <f t="shared" si="6"/>
        <v>320</v>
      </c>
      <c r="S10" s="7">
        <v>1310</v>
      </c>
      <c r="T10" s="7">
        <v>1450</v>
      </c>
      <c r="U10" s="7">
        <f t="shared" si="7"/>
        <v>1112</v>
      </c>
      <c r="V10" s="7">
        <v>1081</v>
      </c>
      <c r="W10" s="7">
        <f>+V10*0.96</f>
        <v>1037.76</v>
      </c>
      <c r="X10" s="7">
        <f t="shared" ref="X10:AF10" si="15">+W10*0.96</f>
        <v>996.24959999999999</v>
      </c>
      <c r="Y10" s="7">
        <f t="shared" si="15"/>
        <v>956.39961599999992</v>
      </c>
      <c r="Z10" s="7">
        <f t="shared" si="15"/>
        <v>918.14363135999986</v>
      </c>
      <c r="AA10" s="7">
        <f t="shared" si="15"/>
        <v>881.41788610559979</v>
      </c>
      <c r="AB10" s="7">
        <f t="shared" si="15"/>
        <v>846.16117066137576</v>
      </c>
      <c r="AC10" s="7">
        <f t="shared" si="15"/>
        <v>812.31472383492076</v>
      </c>
      <c r="AD10" s="7">
        <f t="shared" si="15"/>
        <v>779.82213488152388</v>
      </c>
      <c r="AE10" s="7">
        <f t="shared" si="15"/>
        <v>748.62924948626289</v>
      </c>
      <c r="AF10" s="7">
        <f t="shared" si="15"/>
        <v>718.6840795068124</v>
      </c>
    </row>
    <row r="11" spans="2:232" s="7" customFormat="1">
      <c r="B11" s="7" t="s">
        <v>32</v>
      </c>
      <c r="C11" s="7">
        <v>179</v>
      </c>
      <c r="D11" s="7">
        <v>212</v>
      </c>
      <c r="E11" s="7">
        <v>255</v>
      </c>
      <c r="F11" s="7">
        <v>364</v>
      </c>
      <c r="G11" s="7">
        <v>187</v>
      </c>
      <c r="H11" s="7">
        <v>170</v>
      </c>
      <c r="I11" s="7">
        <v>246</v>
      </c>
      <c r="J11" s="7">
        <f t="shared" si="6"/>
        <v>365</v>
      </c>
      <c r="S11" s="7">
        <v>398</v>
      </c>
      <c r="T11" s="7">
        <v>604</v>
      </c>
      <c r="U11" s="7">
        <f t="shared" si="7"/>
        <v>1010</v>
      </c>
      <c r="V11" s="7">
        <f>476+492</f>
        <v>968</v>
      </c>
      <c r="W11" s="7">
        <f>+V11*0.97</f>
        <v>938.95999999999992</v>
      </c>
      <c r="X11" s="7">
        <f t="shared" ref="X11:AF11" si="16">+W11*0.97</f>
        <v>910.79119999999989</v>
      </c>
      <c r="Y11" s="7">
        <f t="shared" si="16"/>
        <v>883.46746399999984</v>
      </c>
      <c r="Z11" s="7">
        <f t="shared" si="16"/>
        <v>856.96344007999983</v>
      </c>
      <c r="AA11" s="7">
        <f t="shared" si="16"/>
        <v>831.25453687759978</v>
      </c>
      <c r="AB11" s="7">
        <f t="shared" si="16"/>
        <v>806.31690077127178</v>
      </c>
      <c r="AC11" s="7">
        <f t="shared" si="16"/>
        <v>782.12739374813361</v>
      </c>
      <c r="AD11" s="7">
        <f t="shared" si="16"/>
        <v>758.66357193568956</v>
      </c>
      <c r="AE11" s="7">
        <f t="shared" si="16"/>
        <v>735.90366477761881</v>
      </c>
      <c r="AF11" s="7">
        <f t="shared" si="16"/>
        <v>713.82655483429028</v>
      </c>
    </row>
    <row r="12" spans="2:232" s="7" customFormat="1">
      <c r="B12" s="7" t="s">
        <v>36</v>
      </c>
      <c r="C12" s="7">
        <f>SUM(C8:C11)</f>
        <v>2189</v>
      </c>
      <c r="D12" s="7">
        <f t="shared" ref="D12:I12" si="17">SUM(D8:D11)</f>
        <v>1781</v>
      </c>
      <c r="E12" s="7">
        <f t="shared" si="17"/>
        <v>1712</v>
      </c>
      <c r="F12" s="7">
        <f t="shared" si="17"/>
        <v>2072</v>
      </c>
      <c r="G12" s="7">
        <f t="shared" si="17"/>
        <v>1741</v>
      </c>
      <c r="H12" s="7">
        <f t="shared" si="17"/>
        <v>1781</v>
      </c>
      <c r="I12" s="7">
        <f t="shared" si="17"/>
        <v>1635</v>
      </c>
      <c r="J12" s="7">
        <f t="shared" si="6"/>
        <v>2206</v>
      </c>
      <c r="S12" s="7">
        <f t="shared" ref="S12:AF12" si="18">SUM(S8:S11)</f>
        <v>7253</v>
      </c>
      <c r="T12" s="7">
        <f t="shared" si="18"/>
        <v>8476</v>
      </c>
      <c r="U12" s="7">
        <f t="shared" si="18"/>
        <v>7754</v>
      </c>
      <c r="V12" s="7">
        <f t="shared" si="18"/>
        <v>7363</v>
      </c>
      <c r="W12" s="7">
        <f t="shared" si="18"/>
        <v>7050.87</v>
      </c>
      <c r="X12" s="7">
        <f t="shared" si="18"/>
        <v>6785.7343000000001</v>
      </c>
      <c r="Y12" s="7">
        <f t="shared" si="18"/>
        <v>6564.486825</v>
      </c>
      <c r="Z12" s="7">
        <f t="shared" si="18"/>
        <v>6384.4261285900011</v>
      </c>
      <c r="AA12" s="7">
        <f t="shared" si="18"/>
        <v>6243.2221511337011</v>
      </c>
      <c r="AB12" s="7">
        <f t="shared" si="18"/>
        <v>6138.8867838536844</v>
      </c>
      <c r="AC12" s="7">
        <f t="shared" si="18"/>
        <v>6069.7478928435639</v>
      </c>
      <c r="AD12" s="7">
        <f t="shared" si="18"/>
        <v>6034.4264940189587</v>
      </c>
      <c r="AE12" s="7">
        <f t="shared" si="18"/>
        <v>6031.816803475449</v>
      </c>
      <c r="AF12" s="7">
        <f t="shared" si="18"/>
        <v>6061.068918012611</v>
      </c>
    </row>
    <row r="13" spans="2:232" s="7" customFormat="1">
      <c r="B13" s="7" t="s">
        <v>17</v>
      </c>
      <c r="C13" s="7">
        <f>+SUM(C7,C12)</f>
        <v>4884</v>
      </c>
      <c r="D13" s="7">
        <f t="shared" ref="D13:I13" si="19">+SUM(D7,D12)</f>
        <v>6045</v>
      </c>
      <c r="E13" s="7">
        <f t="shared" si="19"/>
        <v>2590</v>
      </c>
      <c r="F13" s="7">
        <f t="shared" si="19"/>
        <v>3707</v>
      </c>
      <c r="G13" s="7">
        <f t="shared" si="19"/>
        <v>4492</v>
      </c>
      <c r="H13" s="7">
        <f t="shared" si="19"/>
        <v>6112</v>
      </c>
      <c r="I13" s="7">
        <f t="shared" si="19"/>
        <v>2326</v>
      </c>
      <c r="J13" s="7">
        <f t="shared" si="6"/>
        <v>3978</v>
      </c>
      <c r="M13" s="7">
        <f t="shared" ref="M13:R13" si="20">SUM(M7:M11)</f>
        <v>0</v>
      </c>
      <c r="N13" s="7">
        <f t="shared" si="20"/>
        <v>0</v>
      </c>
      <c r="O13" s="7">
        <f t="shared" si="20"/>
        <v>0</v>
      </c>
      <c r="P13" s="7">
        <f t="shared" si="20"/>
        <v>0</v>
      </c>
      <c r="Q13" s="7">
        <f t="shared" si="20"/>
        <v>0</v>
      </c>
      <c r="R13" s="7">
        <f t="shared" si="20"/>
        <v>0</v>
      </c>
      <c r="S13" s="7">
        <f t="shared" ref="S13:V13" si="21">+SUM(S7,S12)</f>
        <v>15655</v>
      </c>
      <c r="T13" s="7">
        <f t="shared" si="21"/>
        <v>17455</v>
      </c>
      <c r="U13" s="7">
        <f t="shared" si="21"/>
        <v>17226</v>
      </c>
      <c r="V13" s="7">
        <f t="shared" si="21"/>
        <v>16908</v>
      </c>
      <c r="W13" s="7">
        <f>+V13*0.99</f>
        <v>16738.919999999998</v>
      </c>
      <c r="X13" s="7">
        <f t="shared" ref="X13:AF13" si="22">+W13*0.99</f>
        <v>16571.530799999997</v>
      </c>
      <c r="Y13" s="7">
        <f t="shared" si="22"/>
        <v>16405.815491999998</v>
      </c>
      <c r="Z13" s="7">
        <f t="shared" si="22"/>
        <v>16241.757337079998</v>
      </c>
      <c r="AA13" s="7">
        <f t="shared" si="22"/>
        <v>16079.339763709198</v>
      </c>
      <c r="AB13" s="7">
        <f t="shared" si="22"/>
        <v>15918.546366072107</v>
      </c>
      <c r="AC13" s="7">
        <f t="shared" si="22"/>
        <v>15759.360902411387</v>
      </c>
      <c r="AD13" s="7">
        <f t="shared" si="22"/>
        <v>15601.767293387273</v>
      </c>
      <c r="AE13" s="7">
        <f t="shared" si="22"/>
        <v>15445.7496204534</v>
      </c>
      <c r="AF13" s="7">
        <f t="shared" si="22"/>
        <v>15291.292124248866</v>
      </c>
    </row>
    <row r="14" spans="2:232">
      <c r="B14" s="1" t="s">
        <v>31</v>
      </c>
      <c r="C14" s="1">
        <v>2771</v>
      </c>
      <c r="D14" s="1">
        <v>3137</v>
      </c>
      <c r="E14" s="1">
        <v>1646</v>
      </c>
      <c r="F14" s="1">
        <v>2366</v>
      </c>
      <c r="G14" s="1">
        <v>2550</v>
      </c>
      <c r="H14" s="1">
        <v>2918</v>
      </c>
      <c r="I14" s="1">
        <v>1565</v>
      </c>
      <c r="J14" s="7">
        <f t="shared" si="6"/>
        <v>2496</v>
      </c>
      <c r="T14" s="1">
        <v>10436</v>
      </c>
      <c r="U14" s="1">
        <f t="shared" si="7"/>
        <v>9920</v>
      </c>
      <c r="V14" s="1">
        <v>9529</v>
      </c>
      <c r="W14" s="1">
        <f>+W13*(V14/V13)</f>
        <v>9433.7099999999991</v>
      </c>
      <c r="X14" s="1">
        <f t="shared" ref="X14:AF14" si="23">+X13*(W14/W13)</f>
        <v>9339.3728999999985</v>
      </c>
      <c r="Y14" s="1">
        <f t="shared" si="23"/>
        <v>9245.979170999999</v>
      </c>
      <c r="Z14" s="1">
        <f t="shared" si="23"/>
        <v>9153.5193792899991</v>
      </c>
      <c r="AA14" s="1">
        <f t="shared" si="23"/>
        <v>9061.9841854971</v>
      </c>
      <c r="AB14" s="1">
        <f t="shared" si="23"/>
        <v>8971.364343642128</v>
      </c>
      <c r="AC14" s="1">
        <f t="shared" si="23"/>
        <v>8881.6507002057078</v>
      </c>
      <c r="AD14" s="1">
        <f t="shared" si="23"/>
        <v>8792.834193203651</v>
      </c>
      <c r="AE14" s="1">
        <f t="shared" si="23"/>
        <v>8704.9058512716147</v>
      </c>
      <c r="AF14" s="1">
        <f t="shared" si="23"/>
        <v>8617.8567927588974</v>
      </c>
    </row>
    <row r="15" spans="2:232">
      <c r="B15" s="1" t="s">
        <v>30</v>
      </c>
      <c r="C15" s="1">
        <v>316</v>
      </c>
      <c r="D15" s="1">
        <v>329</v>
      </c>
      <c r="E15" s="1">
        <v>335</v>
      </c>
      <c r="F15" s="1">
        <v>357</v>
      </c>
      <c r="G15" s="1">
        <v>332</v>
      </c>
      <c r="H15" s="1">
        <v>357</v>
      </c>
      <c r="I15" s="1">
        <v>348</v>
      </c>
      <c r="J15" s="7">
        <f t="shared" si="6"/>
        <v>365</v>
      </c>
      <c r="T15" s="1">
        <v>1216</v>
      </c>
      <c r="U15" s="1">
        <f t="shared" si="7"/>
        <v>1337</v>
      </c>
      <c r="V15" s="1">
        <v>1402</v>
      </c>
      <c r="W15" s="1">
        <f>+W13*(V15/V13)</f>
        <v>1387.9799999999998</v>
      </c>
      <c r="X15" s="1">
        <f t="shared" ref="X15:AF15" si="24">+X13*(W15/W13)</f>
        <v>1374.1001999999996</v>
      </c>
      <c r="Y15" s="1">
        <f t="shared" si="24"/>
        <v>1360.3591979999997</v>
      </c>
      <c r="Z15" s="1">
        <f t="shared" si="24"/>
        <v>1346.7556060199997</v>
      </c>
      <c r="AA15" s="1">
        <f t="shared" si="24"/>
        <v>1333.2880499597998</v>
      </c>
      <c r="AB15" s="1">
        <f t="shared" si="24"/>
        <v>1319.9551694602019</v>
      </c>
      <c r="AC15" s="1">
        <f t="shared" si="24"/>
        <v>1306.7556177655999</v>
      </c>
      <c r="AD15" s="1">
        <f t="shared" si="24"/>
        <v>1293.6880615879438</v>
      </c>
      <c r="AE15" s="1">
        <f t="shared" si="24"/>
        <v>1280.7511809720645</v>
      </c>
      <c r="AF15" s="1">
        <f t="shared" si="24"/>
        <v>1267.9436691623439</v>
      </c>
    </row>
    <row r="16" spans="2:232">
      <c r="B16" s="1" t="s">
        <v>29</v>
      </c>
      <c r="C16" s="1">
        <v>726</v>
      </c>
      <c r="D16" s="1">
        <v>1045</v>
      </c>
      <c r="E16" s="1">
        <v>670</v>
      </c>
      <c r="F16" s="1">
        <v>735</v>
      </c>
      <c r="G16" s="1">
        <v>736</v>
      </c>
      <c r="H16" s="1">
        <v>1054</v>
      </c>
      <c r="I16" s="1">
        <v>671</v>
      </c>
      <c r="J16" s="7">
        <f t="shared" si="6"/>
        <v>735</v>
      </c>
      <c r="T16" s="1">
        <v>3173</v>
      </c>
      <c r="U16" s="1">
        <f t="shared" si="7"/>
        <v>3176</v>
      </c>
      <c r="V16" s="1">
        <v>3196</v>
      </c>
      <c r="W16" s="1">
        <f>+W13*(V16/V13)</f>
        <v>3164.04</v>
      </c>
      <c r="X16" s="1">
        <f t="shared" ref="X16:AF16" si="25">+X13*(W16/W13)</f>
        <v>3132.3995999999997</v>
      </c>
      <c r="Y16" s="1">
        <f t="shared" si="25"/>
        <v>3101.0756039999997</v>
      </c>
      <c r="Z16" s="1">
        <f t="shared" si="25"/>
        <v>3070.06484796</v>
      </c>
      <c r="AA16" s="1">
        <f t="shared" si="25"/>
        <v>3039.3641994803997</v>
      </c>
      <c r="AB16" s="1">
        <f t="shared" si="25"/>
        <v>3008.9705574855961</v>
      </c>
      <c r="AC16" s="1">
        <f t="shared" si="25"/>
        <v>2978.8808519107401</v>
      </c>
      <c r="AD16" s="1">
        <f t="shared" si="25"/>
        <v>2949.0920433916326</v>
      </c>
      <c r="AE16" s="1">
        <f t="shared" si="25"/>
        <v>2919.6011229577161</v>
      </c>
      <c r="AF16" s="1">
        <f t="shared" si="25"/>
        <v>2890.4051117281388</v>
      </c>
    </row>
    <row r="17" spans="2:232">
      <c r="B17" s="1" t="s">
        <v>28</v>
      </c>
      <c r="C17" s="1">
        <v>-71</v>
      </c>
      <c r="D17" s="1">
        <v>-134</v>
      </c>
      <c r="E17" s="1">
        <v>-149</v>
      </c>
      <c r="F17" s="1">
        <v>-94</v>
      </c>
      <c r="G17" s="1">
        <v>-99</v>
      </c>
      <c r="H17" s="1">
        <v>-113</v>
      </c>
      <c r="I17" s="1">
        <v>-107</v>
      </c>
      <c r="J17" s="7">
        <f t="shared" si="6"/>
        <v>19</v>
      </c>
      <c r="T17" s="1">
        <v>-60</v>
      </c>
      <c r="U17" s="1">
        <f t="shared" si="7"/>
        <v>-448</v>
      </c>
      <c r="V17" s="1">
        <v>-300</v>
      </c>
      <c r="W17" s="1">
        <f>+W13*(V17/V13)</f>
        <v>-296.99999999999994</v>
      </c>
      <c r="X17" s="1">
        <f t="shared" ref="X17:AF17" si="26">+X13*(W17/W13)</f>
        <v>-294.02999999999992</v>
      </c>
      <c r="Y17" s="1">
        <f t="shared" si="26"/>
        <v>-291.08969999999994</v>
      </c>
      <c r="Z17" s="1">
        <f t="shared" si="26"/>
        <v>-288.17880299999996</v>
      </c>
      <c r="AA17" s="1">
        <f t="shared" si="26"/>
        <v>-285.29701496999996</v>
      </c>
      <c r="AB17" s="1">
        <f t="shared" si="26"/>
        <v>-282.44404482030001</v>
      </c>
      <c r="AC17" s="1">
        <f t="shared" si="26"/>
        <v>-279.619604372097</v>
      </c>
      <c r="AD17" s="1">
        <f t="shared" si="26"/>
        <v>-276.82340832837605</v>
      </c>
      <c r="AE17" s="1">
        <f t="shared" si="26"/>
        <v>-274.05517424509225</v>
      </c>
      <c r="AF17" s="1">
        <f t="shared" si="26"/>
        <v>-271.31462250264133</v>
      </c>
    </row>
    <row r="18" spans="2:232">
      <c r="B18" s="1" t="s">
        <v>27</v>
      </c>
      <c r="C18" s="1">
        <v>31</v>
      </c>
      <c r="D18" s="1">
        <v>66</v>
      </c>
      <c r="E18" s="1">
        <v>58</v>
      </c>
      <c r="F18" s="1">
        <v>62</v>
      </c>
      <c r="G18" s="1">
        <v>41</v>
      </c>
      <c r="H18" s="1">
        <v>66</v>
      </c>
      <c r="I18" s="1">
        <v>66</v>
      </c>
      <c r="J18" s="7">
        <f t="shared" si="6"/>
        <v>60</v>
      </c>
      <c r="T18" s="1">
        <v>79</v>
      </c>
      <c r="U18" s="1">
        <f t="shared" si="7"/>
        <v>217</v>
      </c>
      <c r="V18" s="1">
        <v>233</v>
      </c>
      <c r="W18" s="1">
        <f t="shared" ref="W18:AF18" si="27">+V38 * $AI$25</f>
        <v>24</v>
      </c>
      <c r="X18" s="1">
        <f t="shared" si="27"/>
        <v>24.240000000000002</v>
      </c>
      <c r="Y18" s="1">
        <f t="shared" si="27"/>
        <v>24.482400000000002</v>
      </c>
      <c r="Z18" s="1">
        <f t="shared" si="27"/>
        <v>24.727224000000003</v>
      </c>
      <c r="AA18" s="1">
        <f t="shared" si="27"/>
        <v>24.974496240000004</v>
      </c>
      <c r="AB18" s="1">
        <f t="shared" si="27"/>
        <v>25.224241202400005</v>
      </c>
      <c r="AC18" s="1">
        <f t="shared" si="27"/>
        <v>25.476483614424005</v>
      </c>
      <c r="AD18" s="1">
        <f t="shared" si="27"/>
        <v>25.731248450568245</v>
      </c>
      <c r="AE18" s="1">
        <f t="shared" si="27"/>
        <v>25.988560935073931</v>
      </c>
      <c r="AF18" s="1">
        <f t="shared" si="27"/>
        <v>26.24844654442467</v>
      </c>
    </row>
    <row r="19" spans="2:232">
      <c r="B19" s="1" t="s">
        <v>26</v>
      </c>
      <c r="C19" s="1">
        <f t="shared" ref="C19:I19" si="28">+C13-SUM(C14:C18)</f>
        <v>1111</v>
      </c>
      <c r="D19" s="1">
        <f t="shared" si="28"/>
        <v>1602</v>
      </c>
      <c r="E19" s="1">
        <f t="shared" si="28"/>
        <v>30</v>
      </c>
      <c r="F19" s="1">
        <f t="shared" si="28"/>
        <v>281</v>
      </c>
      <c r="G19" s="1">
        <f t="shared" si="28"/>
        <v>932</v>
      </c>
      <c r="H19" s="1">
        <f t="shared" si="28"/>
        <v>1830</v>
      </c>
      <c r="I19" s="1">
        <f t="shared" si="28"/>
        <v>-217</v>
      </c>
      <c r="J19" s="7">
        <f t="shared" si="6"/>
        <v>303</v>
      </c>
      <c r="T19" s="1">
        <f>+T13-SUM(T14:T18)</f>
        <v>2611</v>
      </c>
      <c r="U19" s="1">
        <f t="shared" si="7"/>
        <v>3024</v>
      </c>
      <c r="V19" s="1">
        <f>+V13-SUM(V14:V18)</f>
        <v>2848</v>
      </c>
      <c r="W19" s="1">
        <f>+W13-SUM(W14:W18)</f>
        <v>3026.1899999999987</v>
      </c>
      <c r="X19" s="1">
        <f t="shared" ref="X19:AF19" si="29">+X13-SUM(X14:X18)</f>
        <v>2995.4481000000014</v>
      </c>
      <c r="Y19" s="1">
        <f t="shared" si="29"/>
        <v>2965.0088189999988</v>
      </c>
      <c r="Z19" s="1">
        <f t="shared" si="29"/>
        <v>2934.8690828099989</v>
      </c>
      <c r="AA19" s="1">
        <f t="shared" si="29"/>
        <v>2905.0258475018982</v>
      </c>
      <c r="AB19" s="1">
        <f t="shared" si="29"/>
        <v>2875.4760991020812</v>
      </c>
      <c r="AC19" s="1">
        <f t="shared" si="29"/>
        <v>2846.216853287011</v>
      </c>
      <c r="AD19" s="1">
        <f t="shared" si="29"/>
        <v>2817.245155081855</v>
      </c>
      <c r="AE19" s="1">
        <f t="shared" si="29"/>
        <v>2788.5580785620241</v>
      </c>
      <c r="AF19" s="1">
        <f t="shared" si="29"/>
        <v>2760.1527265577042</v>
      </c>
    </row>
    <row r="20" spans="2:232">
      <c r="B20" s="1" t="s">
        <v>25</v>
      </c>
      <c r="C20" s="1">
        <v>169</v>
      </c>
      <c r="D20" s="1">
        <v>204</v>
      </c>
      <c r="E20" s="1">
        <v>-129</v>
      </c>
      <c r="F20" s="1">
        <v>-92</v>
      </c>
      <c r="G20" s="1">
        <v>106</v>
      </c>
      <c r="H20" s="1">
        <v>282</v>
      </c>
      <c r="I20" s="1">
        <v>-114</v>
      </c>
      <c r="J20" s="7">
        <f t="shared" si="6"/>
        <v>138</v>
      </c>
      <c r="T20" s="1">
        <v>210</v>
      </c>
      <c r="U20" s="1">
        <f t="shared" si="7"/>
        <v>152</v>
      </c>
      <c r="V20" s="1">
        <v>412</v>
      </c>
      <c r="W20" s="1">
        <f>+W19*(V20/V19)</f>
        <v>437.77748595505597</v>
      </c>
      <c r="X20" s="1">
        <f t="shared" ref="X20:AF20" si="30">+X19*(W20/W19)</f>
        <v>433.33027289325861</v>
      </c>
      <c r="Y20" s="1">
        <f t="shared" si="30"/>
        <v>428.92683758005597</v>
      </c>
      <c r="Z20" s="1">
        <f t="shared" si="30"/>
        <v>424.56673529414309</v>
      </c>
      <c r="AA20" s="1">
        <f t="shared" si="30"/>
        <v>420.24952569198808</v>
      </c>
      <c r="AB20" s="1">
        <f t="shared" si="30"/>
        <v>415.97477276336286</v>
      </c>
      <c r="AC20" s="1">
        <f t="shared" si="30"/>
        <v>411.74204478730633</v>
      </c>
      <c r="AD20" s="1">
        <f t="shared" si="30"/>
        <v>407.55091428852677</v>
      </c>
      <c r="AE20" s="1">
        <f t="shared" si="30"/>
        <v>403.40095799422539</v>
      </c>
      <c r="AF20" s="1">
        <f t="shared" si="30"/>
        <v>399.29175679135324</v>
      </c>
    </row>
    <row r="21" spans="2:232">
      <c r="B21" s="1" t="s">
        <v>24</v>
      </c>
      <c r="C21" s="1">
        <f t="shared" ref="C21:I21" si="31">+C19-C20</f>
        <v>942</v>
      </c>
      <c r="D21" s="1">
        <f t="shared" si="31"/>
        <v>1398</v>
      </c>
      <c r="E21" s="1">
        <f t="shared" si="31"/>
        <v>159</v>
      </c>
      <c r="F21" s="1">
        <f t="shared" si="31"/>
        <v>373</v>
      </c>
      <c r="G21" s="1">
        <f t="shared" si="31"/>
        <v>826</v>
      </c>
      <c r="H21" s="1">
        <f t="shared" si="31"/>
        <v>1548</v>
      </c>
      <c r="I21" s="1">
        <f t="shared" si="31"/>
        <v>-103</v>
      </c>
      <c r="J21" s="7">
        <f t="shared" si="6"/>
        <v>485</v>
      </c>
      <c r="T21" s="1">
        <f>+T19-T20</f>
        <v>2401</v>
      </c>
      <c r="U21" s="1">
        <f t="shared" si="7"/>
        <v>2872</v>
      </c>
      <c r="V21" s="1">
        <f t="shared" si="7"/>
        <v>2756</v>
      </c>
      <c r="W21" s="1">
        <f>+W19-W20</f>
        <v>2588.4125140449428</v>
      </c>
      <c r="X21" s="1">
        <f t="shared" ref="X21:AF21" si="32">+X19-X20</f>
        <v>2562.1178271067429</v>
      </c>
      <c r="Y21" s="1">
        <f t="shared" si="32"/>
        <v>2536.0819814199426</v>
      </c>
      <c r="Z21" s="1">
        <f t="shared" si="32"/>
        <v>2510.3023475158557</v>
      </c>
      <c r="AA21" s="1">
        <f t="shared" si="32"/>
        <v>2484.7763218099099</v>
      </c>
      <c r="AB21" s="1">
        <f t="shared" si="32"/>
        <v>2459.5013263387182</v>
      </c>
      <c r="AC21" s="1">
        <f t="shared" si="32"/>
        <v>2434.4748084997045</v>
      </c>
      <c r="AD21" s="1">
        <f t="shared" si="32"/>
        <v>2409.6942407933284</v>
      </c>
      <c r="AE21" s="1">
        <f t="shared" si="32"/>
        <v>2385.1571205677988</v>
      </c>
      <c r="AF21" s="1">
        <f t="shared" si="32"/>
        <v>2360.860969766351</v>
      </c>
      <c r="AG21" s="1">
        <f t="shared" ref="AG21:BL21" si="33">+AF21*(1+$AI$26)</f>
        <v>2384.4695794640147</v>
      </c>
      <c r="AH21" s="1">
        <f t="shared" si="33"/>
        <v>2408.314275258655</v>
      </c>
      <c r="AI21" s="1">
        <f t="shared" si="33"/>
        <v>2432.3974180112414</v>
      </c>
      <c r="AJ21" s="1">
        <f t="shared" si="33"/>
        <v>2456.721392191354</v>
      </c>
      <c r="AK21" s="1">
        <f t="shared" si="33"/>
        <v>2481.2886061132676</v>
      </c>
      <c r="AL21" s="1">
        <f t="shared" si="33"/>
        <v>2506.1014921744004</v>
      </c>
      <c r="AM21" s="1">
        <f t="shared" si="33"/>
        <v>2531.1625070961445</v>
      </c>
      <c r="AN21" s="1">
        <f t="shared" si="33"/>
        <v>2556.4741321671058</v>
      </c>
      <c r="AO21" s="1">
        <f t="shared" si="33"/>
        <v>2582.038873488777</v>
      </c>
      <c r="AP21" s="1">
        <f t="shared" si="33"/>
        <v>2607.8592622236647</v>
      </c>
      <c r="AQ21" s="1">
        <f t="shared" si="33"/>
        <v>2633.9378548459013</v>
      </c>
      <c r="AR21" s="1">
        <f t="shared" si="33"/>
        <v>2660.2772333943603</v>
      </c>
      <c r="AS21" s="1">
        <f t="shared" si="33"/>
        <v>2686.8800057283038</v>
      </c>
      <c r="AT21" s="1">
        <f t="shared" si="33"/>
        <v>2713.7488057855867</v>
      </c>
      <c r="AU21" s="1">
        <f t="shared" si="33"/>
        <v>2740.8862938434427</v>
      </c>
      <c r="AV21" s="1">
        <f t="shared" si="33"/>
        <v>2768.2951567818773</v>
      </c>
      <c r="AW21" s="1">
        <f t="shared" si="33"/>
        <v>2795.978108349696</v>
      </c>
      <c r="AX21" s="1">
        <f t="shared" si="33"/>
        <v>2823.937889433193</v>
      </c>
      <c r="AY21" s="1">
        <f t="shared" si="33"/>
        <v>2852.1772683275249</v>
      </c>
      <c r="AZ21" s="1">
        <f t="shared" si="33"/>
        <v>2880.6990410108001</v>
      </c>
      <c r="BA21" s="1">
        <f t="shared" si="33"/>
        <v>2909.5060314209081</v>
      </c>
      <c r="BB21" s="1">
        <f t="shared" si="33"/>
        <v>2938.6010917351173</v>
      </c>
      <c r="BC21" s="1">
        <f t="shared" si="33"/>
        <v>2967.9871026524684</v>
      </c>
      <c r="BD21" s="1">
        <f t="shared" si="33"/>
        <v>2997.6669736789931</v>
      </c>
      <c r="BE21" s="1">
        <f t="shared" si="33"/>
        <v>3027.6436434157831</v>
      </c>
      <c r="BF21" s="1">
        <f t="shared" si="33"/>
        <v>3057.920079849941</v>
      </c>
      <c r="BG21" s="1">
        <f t="shared" si="33"/>
        <v>3088.4992806484406</v>
      </c>
      <c r="BH21" s="1">
        <f t="shared" si="33"/>
        <v>3119.3842734549253</v>
      </c>
      <c r="BI21" s="1">
        <f t="shared" si="33"/>
        <v>3150.5781161894747</v>
      </c>
      <c r="BJ21" s="1">
        <f t="shared" si="33"/>
        <v>3182.0838973513696</v>
      </c>
      <c r="BK21" s="1">
        <f t="shared" si="33"/>
        <v>3213.9047363248833</v>
      </c>
      <c r="BL21" s="1">
        <f t="shared" si="33"/>
        <v>3246.043783688132</v>
      </c>
      <c r="BM21" s="1">
        <f t="shared" ref="BM21:CR21" si="34">+BL21*(1+$AI$26)</f>
        <v>3278.5042215250132</v>
      </c>
      <c r="BN21" s="1">
        <f t="shared" si="34"/>
        <v>3311.2892637402633</v>
      </c>
      <c r="BO21" s="1">
        <f t="shared" si="34"/>
        <v>3344.402156377666</v>
      </c>
      <c r="BP21" s="1">
        <f t="shared" si="34"/>
        <v>3377.8461779414429</v>
      </c>
      <c r="BQ21" s="1">
        <f t="shared" si="34"/>
        <v>3411.6246397208574</v>
      </c>
      <c r="BR21" s="1">
        <f t="shared" si="34"/>
        <v>3445.7408861180661</v>
      </c>
      <c r="BS21" s="1">
        <f t="shared" si="34"/>
        <v>3480.1982949792468</v>
      </c>
      <c r="BT21" s="1">
        <f t="shared" si="34"/>
        <v>3515.0002779290394</v>
      </c>
      <c r="BU21" s="1">
        <f t="shared" si="34"/>
        <v>3550.1502807083298</v>
      </c>
      <c r="BV21" s="1">
        <f t="shared" si="34"/>
        <v>3585.6517835154132</v>
      </c>
      <c r="BW21" s="1">
        <f t="shared" si="34"/>
        <v>3621.5083013505673</v>
      </c>
      <c r="BX21" s="1">
        <f t="shared" si="34"/>
        <v>3657.7233843640729</v>
      </c>
      <c r="BY21" s="1">
        <f t="shared" si="34"/>
        <v>3694.3006182077138</v>
      </c>
      <c r="BZ21" s="1">
        <f t="shared" si="34"/>
        <v>3731.243624389791</v>
      </c>
      <c r="CA21" s="1">
        <f t="shared" si="34"/>
        <v>3768.556060633689</v>
      </c>
      <c r="CB21" s="1">
        <f t="shared" si="34"/>
        <v>3806.2416212400258</v>
      </c>
      <c r="CC21" s="1">
        <f t="shared" si="34"/>
        <v>3844.3040374524262</v>
      </c>
      <c r="CD21" s="1">
        <f t="shared" si="34"/>
        <v>3882.7470778269503</v>
      </c>
      <c r="CE21" s="1">
        <f t="shared" si="34"/>
        <v>3921.5745486052197</v>
      </c>
      <c r="CF21" s="1">
        <f t="shared" si="34"/>
        <v>3960.7902940912718</v>
      </c>
      <c r="CG21" s="1">
        <f t="shared" si="34"/>
        <v>4000.3981970321847</v>
      </c>
      <c r="CH21" s="1">
        <f t="shared" si="34"/>
        <v>4040.4021790025067</v>
      </c>
      <c r="CI21" s="1">
        <f t="shared" si="34"/>
        <v>4080.8062007925319</v>
      </c>
      <c r="CJ21" s="1">
        <f t="shared" si="34"/>
        <v>4121.6142628004573</v>
      </c>
      <c r="CK21" s="1">
        <f t="shared" si="34"/>
        <v>4162.8304054284617</v>
      </c>
      <c r="CL21" s="1">
        <f t="shared" si="34"/>
        <v>4204.4587094827466</v>
      </c>
      <c r="CM21" s="1">
        <f t="shared" si="34"/>
        <v>4246.5032965775745</v>
      </c>
      <c r="CN21" s="1">
        <f t="shared" si="34"/>
        <v>4288.9683295433506</v>
      </c>
      <c r="CO21" s="1">
        <f t="shared" si="34"/>
        <v>4331.8580128387839</v>
      </c>
      <c r="CP21" s="1">
        <f t="shared" si="34"/>
        <v>4375.1765929671719</v>
      </c>
      <c r="CQ21" s="1">
        <f t="shared" si="34"/>
        <v>4418.9283588968437</v>
      </c>
      <c r="CR21" s="1">
        <f t="shared" si="34"/>
        <v>4463.1176424858122</v>
      </c>
      <c r="CS21" s="1">
        <f t="shared" ref="CS21:DX21" si="35">+CR21*(1+$AI$26)</f>
        <v>4507.7488189106707</v>
      </c>
      <c r="CT21" s="1">
        <f t="shared" si="35"/>
        <v>4552.8263070997773</v>
      </c>
      <c r="CU21" s="1">
        <f t="shared" si="35"/>
        <v>4598.3545701707753</v>
      </c>
      <c r="CV21" s="1">
        <f t="shared" si="35"/>
        <v>4644.3381158724833</v>
      </c>
      <c r="CW21" s="1">
        <f t="shared" si="35"/>
        <v>4690.7814970312083</v>
      </c>
      <c r="CX21" s="1">
        <f t="shared" si="35"/>
        <v>4737.6893120015202</v>
      </c>
      <c r="CY21" s="1">
        <f t="shared" si="35"/>
        <v>4785.0662051215359</v>
      </c>
      <c r="CZ21" s="1">
        <f t="shared" si="35"/>
        <v>4832.9168671727512</v>
      </c>
      <c r="DA21" s="1">
        <f t="shared" si="35"/>
        <v>4881.2460358444787</v>
      </c>
      <c r="DB21" s="1">
        <f t="shared" si="35"/>
        <v>4930.0584962029234</v>
      </c>
      <c r="DC21" s="1">
        <f t="shared" si="35"/>
        <v>4979.3590811649528</v>
      </c>
      <c r="DD21" s="1">
        <f t="shared" si="35"/>
        <v>5029.1526719766025</v>
      </c>
      <c r="DE21" s="1">
        <f t="shared" si="35"/>
        <v>5079.4441986963684</v>
      </c>
      <c r="DF21" s="1">
        <f t="shared" si="35"/>
        <v>5130.2386406833321</v>
      </c>
      <c r="DG21" s="1">
        <f t="shared" si="35"/>
        <v>5181.5410270901657</v>
      </c>
      <c r="DH21" s="1">
        <f t="shared" si="35"/>
        <v>5233.356437361067</v>
      </c>
      <c r="DI21" s="1">
        <f t="shared" si="35"/>
        <v>5285.6900017346779</v>
      </c>
      <c r="DJ21" s="1">
        <f t="shared" si="35"/>
        <v>5338.5469017520245</v>
      </c>
      <c r="DK21" s="1">
        <f t="shared" si="35"/>
        <v>5391.9323707695448</v>
      </c>
      <c r="DL21" s="1">
        <f t="shared" si="35"/>
        <v>5445.85169447724</v>
      </c>
      <c r="DM21" s="1">
        <f t="shared" si="35"/>
        <v>5500.3102114220128</v>
      </c>
      <c r="DN21" s="1">
        <f t="shared" si="35"/>
        <v>5555.3133135362332</v>
      </c>
      <c r="DO21" s="1">
        <f t="shared" si="35"/>
        <v>5610.8664466715954</v>
      </c>
      <c r="DP21" s="1">
        <f t="shared" si="35"/>
        <v>5666.9751111383111</v>
      </c>
      <c r="DQ21" s="1">
        <f t="shared" si="35"/>
        <v>5723.6448622496946</v>
      </c>
      <c r="DR21" s="1">
        <f t="shared" si="35"/>
        <v>5780.8813108721915</v>
      </c>
      <c r="DS21" s="1">
        <f t="shared" si="35"/>
        <v>5838.6901239809131</v>
      </c>
      <c r="DT21" s="1">
        <f t="shared" si="35"/>
        <v>5897.0770252207221</v>
      </c>
      <c r="DU21" s="1">
        <f t="shared" si="35"/>
        <v>5956.0477954729295</v>
      </c>
      <c r="DV21" s="1">
        <f t="shared" si="35"/>
        <v>6015.6082734276588</v>
      </c>
      <c r="DW21" s="1">
        <f t="shared" si="35"/>
        <v>6075.7643561619352</v>
      </c>
      <c r="DX21" s="1">
        <f t="shared" si="35"/>
        <v>6136.5219997235545</v>
      </c>
      <c r="DY21" s="1">
        <f t="shared" ref="DY21:FD21" si="36">+DX21*(1+$AI$26)</f>
        <v>6197.8872197207902</v>
      </c>
      <c r="DZ21" s="1">
        <f t="shared" si="36"/>
        <v>6259.8660919179983</v>
      </c>
      <c r="EA21" s="1">
        <f t="shared" si="36"/>
        <v>6322.4647528371788</v>
      </c>
      <c r="EB21" s="1">
        <f t="shared" si="36"/>
        <v>6385.6894003655507</v>
      </c>
      <c r="EC21" s="1">
        <f t="shared" si="36"/>
        <v>6449.5462943692064</v>
      </c>
      <c r="ED21" s="1">
        <f t="shared" si="36"/>
        <v>6514.0417573128989</v>
      </c>
      <c r="EE21" s="1">
        <f t="shared" si="36"/>
        <v>6579.1821748860275</v>
      </c>
      <c r="EF21" s="1">
        <f t="shared" si="36"/>
        <v>6644.973996634888</v>
      </c>
      <c r="EG21" s="1">
        <f t="shared" si="36"/>
        <v>6711.4237366012367</v>
      </c>
      <c r="EH21" s="1">
        <f t="shared" si="36"/>
        <v>6778.5379739672489</v>
      </c>
      <c r="EI21" s="1">
        <f t="shared" si="36"/>
        <v>6846.3233537069218</v>
      </c>
      <c r="EJ21" s="1">
        <f t="shared" si="36"/>
        <v>6914.7865872439907</v>
      </c>
      <c r="EK21" s="1">
        <f t="shared" si="36"/>
        <v>6983.9344531164306</v>
      </c>
      <c r="EL21" s="1">
        <f t="shared" si="36"/>
        <v>7053.7737976475946</v>
      </c>
      <c r="EM21" s="1">
        <f t="shared" si="36"/>
        <v>7124.3115356240705</v>
      </c>
      <c r="EN21" s="1">
        <f t="shared" si="36"/>
        <v>7195.5546509803116</v>
      </c>
      <c r="EO21" s="1">
        <f t="shared" si="36"/>
        <v>7267.5101974901145</v>
      </c>
      <c r="EP21" s="1">
        <f t="shared" si="36"/>
        <v>7340.1852994650153</v>
      </c>
      <c r="EQ21" s="1">
        <f t="shared" si="36"/>
        <v>7413.587152459666</v>
      </c>
      <c r="ER21" s="1">
        <f t="shared" si="36"/>
        <v>7487.7230239842629</v>
      </c>
      <c r="ES21" s="1">
        <f t="shared" si="36"/>
        <v>7562.6002542241058</v>
      </c>
      <c r="ET21" s="1">
        <f t="shared" si="36"/>
        <v>7638.2262567663465</v>
      </c>
      <c r="EU21" s="1">
        <f t="shared" si="36"/>
        <v>7714.6085193340105</v>
      </c>
      <c r="EV21" s="1">
        <f t="shared" si="36"/>
        <v>7791.7546045273502</v>
      </c>
      <c r="EW21" s="1">
        <f t="shared" si="36"/>
        <v>7869.6721505726237</v>
      </c>
      <c r="EX21" s="1">
        <f t="shared" si="36"/>
        <v>7948.3688720783503</v>
      </c>
      <c r="EY21" s="1">
        <f t="shared" si="36"/>
        <v>8027.8525607991342</v>
      </c>
      <c r="EZ21" s="1">
        <f t="shared" si="36"/>
        <v>8108.1310864071256</v>
      </c>
      <c r="FA21" s="1">
        <f t="shared" si="36"/>
        <v>8189.212397271197</v>
      </c>
      <c r="FB21" s="1">
        <f t="shared" si="36"/>
        <v>8271.1045212439094</v>
      </c>
      <c r="FC21" s="1">
        <f t="shared" si="36"/>
        <v>8353.8155664563492</v>
      </c>
      <c r="FD21" s="1">
        <f t="shared" si="36"/>
        <v>8437.3537221209135</v>
      </c>
      <c r="FE21" s="1">
        <f t="shared" ref="FE21:GJ21" si="37">+FD21*(1+$AI$26)</f>
        <v>8521.7272593421221</v>
      </c>
      <c r="FF21" s="1">
        <f t="shared" si="37"/>
        <v>8606.9445319355436</v>
      </c>
      <c r="FG21" s="1">
        <f t="shared" si="37"/>
        <v>8693.0139772548991</v>
      </c>
      <c r="FH21" s="1">
        <f t="shared" si="37"/>
        <v>8779.9441170274476</v>
      </c>
      <c r="FI21" s="1">
        <f t="shared" si="37"/>
        <v>8867.7435581977225</v>
      </c>
      <c r="FJ21" s="1">
        <f t="shared" si="37"/>
        <v>8956.4209937797004</v>
      </c>
      <c r="FK21" s="1">
        <f t="shared" si="37"/>
        <v>9045.9852037174969</v>
      </c>
      <c r="FL21" s="1">
        <f t="shared" si="37"/>
        <v>9136.4450557546716</v>
      </c>
      <c r="FM21" s="1">
        <f t="shared" si="37"/>
        <v>9227.8095063122182</v>
      </c>
      <c r="FN21" s="1">
        <f t="shared" si="37"/>
        <v>9320.0876013753405</v>
      </c>
      <c r="FO21" s="1">
        <f t="shared" si="37"/>
        <v>9413.2884773890946</v>
      </c>
      <c r="FP21" s="1">
        <f t="shared" si="37"/>
        <v>9507.421362162986</v>
      </c>
      <c r="FQ21" s="1">
        <f t="shared" si="37"/>
        <v>9602.4955757846164</v>
      </c>
      <c r="FR21" s="1">
        <f t="shared" si="37"/>
        <v>9698.5205315424628</v>
      </c>
      <c r="FS21" s="1">
        <f t="shared" si="37"/>
        <v>9795.5057368578873</v>
      </c>
      <c r="FT21" s="1">
        <f t="shared" si="37"/>
        <v>9893.4607942264665</v>
      </c>
      <c r="FU21" s="1">
        <f t="shared" si="37"/>
        <v>9992.3954021687314</v>
      </c>
      <c r="FV21" s="1">
        <f t="shared" si="37"/>
        <v>10092.319356190419</v>
      </c>
      <c r="FW21" s="1">
        <f t="shared" si="37"/>
        <v>10193.242549752324</v>
      </c>
      <c r="FX21" s="1">
        <f t="shared" si="37"/>
        <v>10295.174975249847</v>
      </c>
      <c r="FY21" s="1">
        <f t="shared" si="37"/>
        <v>10398.126725002347</v>
      </c>
      <c r="FZ21" s="1">
        <f t="shared" si="37"/>
        <v>10502.10799225237</v>
      </c>
      <c r="GA21" s="1">
        <f t="shared" si="37"/>
        <v>10607.129072174894</v>
      </c>
      <c r="GB21" s="1">
        <f t="shared" si="37"/>
        <v>10713.200362896643</v>
      </c>
      <c r="GC21" s="1">
        <f t="shared" si="37"/>
        <v>10820.33236652561</v>
      </c>
      <c r="GD21" s="1">
        <f t="shared" si="37"/>
        <v>10928.535690190867</v>
      </c>
      <c r="GE21" s="1">
        <f t="shared" si="37"/>
        <v>11037.821047092775</v>
      </c>
      <c r="GF21" s="1">
        <f t="shared" si="37"/>
        <v>11148.199257563703</v>
      </c>
      <c r="GG21" s="1">
        <f t="shared" si="37"/>
        <v>11259.68125013934</v>
      </c>
      <c r="GH21" s="1">
        <f t="shared" si="37"/>
        <v>11372.278062640733</v>
      </c>
      <c r="GI21" s="1">
        <f t="shared" si="37"/>
        <v>11486.00084326714</v>
      </c>
      <c r="GJ21" s="1">
        <f t="shared" si="37"/>
        <v>11600.860851699812</v>
      </c>
      <c r="GK21" s="1">
        <f t="shared" ref="GK21:HP21" si="38">+GJ21*(1+$AI$26)</f>
        <v>11716.869460216811</v>
      </c>
      <c r="GL21" s="1">
        <f t="shared" si="38"/>
        <v>11834.038154818978</v>
      </c>
      <c r="GM21" s="1">
        <f t="shared" si="38"/>
        <v>11952.378536367169</v>
      </c>
      <c r="GN21" s="1">
        <f t="shared" si="38"/>
        <v>12071.90232173084</v>
      </c>
      <c r="GO21" s="1">
        <f t="shared" si="38"/>
        <v>12192.621344948149</v>
      </c>
      <c r="GP21" s="1">
        <f t="shared" si="38"/>
        <v>12314.547558397631</v>
      </c>
      <c r="GQ21" s="1">
        <f t="shared" si="38"/>
        <v>12437.693033981608</v>
      </c>
      <c r="GR21" s="1">
        <f t="shared" si="38"/>
        <v>12562.069964321425</v>
      </c>
      <c r="GS21" s="1">
        <f t="shared" si="38"/>
        <v>12687.690663964639</v>
      </c>
      <c r="GT21" s="1">
        <f t="shared" si="38"/>
        <v>12814.567570604286</v>
      </c>
      <c r="GU21" s="1">
        <f t="shared" si="38"/>
        <v>12942.713246310328</v>
      </c>
      <c r="GV21" s="1">
        <f t="shared" si="38"/>
        <v>13072.140378773431</v>
      </c>
      <c r="GW21" s="1">
        <f t="shared" si="38"/>
        <v>13202.861782561165</v>
      </c>
      <c r="GX21" s="1">
        <f t="shared" si="38"/>
        <v>13334.890400386777</v>
      </c>
      <c r="GY21" s="1">
        <f t="shared" si="38"/>
        <v>13468.239304390645</v>
      </c>
      <c r="GZ21" s="1">
        <f t="shared" si="38"/>
        <v>13602.921697434551</v>
      </c>
      <c r="HA21" s="1">
        <f t="shared" si="38"/>
        <v>13738.950914408897</v>
      </c>
      <c r="HB21" s="1">
        <f t="shared" si="38"/>
        <v>13876.340423552987</v>
      </c>
      <c r="HC21" s="1">
        <f t="shared" si="38"/>
        <v>14015.103827788516</v>
      </c>
      <c r="HD21" s="1">
        <f t="shared" si="38"/>
        <v>14155.254866066402</v>
      </c>
      <c r="HE21" s="1">
        <f t="shared" si="38"/>
        <v>14296.807414727065</v>
      </c>
      <c r="HF21" s="1">
        <f t="shared" si="38"/>
        <v>14439.775488874337</v>
      </c>
      <c r="HG21" s="1">
        <f t="shared" si="38"/>
        <v>14584.17324376308</v>
      </c>
      <c r="HH21" s="1">
        <f t="shared" si="38"/>
        <v>14730.014976200711</v>
      </c>
      <c r="HI21" s="1">
        <f t="shared" si="38"/>
        <v>14877.315125962719</v>
      </c>
      <c r="HJ21" s="1">
        <f t="shared" si="38"/>
        <v>15026.088277222347</v>
      </c>
      <c r="HK21" s="1">
        <f t="shared" si="38"/>
        <v>15176.34915999457</v>
      </c>
      <c r="HL21" s="1">
        <f t="shared" si="38"/>
        <v>15328.112651594516</v>
      </c>
      <c r="HM21" s="1">
        <f t="shared" si="38"/>
        <v>15481.393778110461</v>
      </c>
      <c r="HN21" s="1">
        <f t="shared" si="38"/>
        <v>15636.207715891565</v>
      </c>
      <c r="HO21" s="1">
        <f t="shared" si="38"/>
        <v>15792.569793050481</v>
      </c>
      <c r="HP21" s="1">
        <f t="shared" si="38"/>
        <v>15950.495490980986</v>
      </c>
      <c r="HQ21" s="1">
        <f t="shared" ref="HQ21:HX21" si="39">+HP21*(1+$AI$26)</f>
        <v>16110.000445890795</v>
      </c>
      <c r="HR21" s="1">
        <f t="shared" si="39"/>
        <v>16271.100450349702</v>
      </c>
      <c r="HS21" s="1">
        <f t="shared" si="39"/>
        <v>16433.811454853199</v>
      </c>
      <c r="HT21" s="1">
        <f t="shared" si="39"/>
        <v>16598.149569401732</v>
      </c>
      <c r="HU21" s="1">
        <f t="shared" si="39"/>
        <v>16764.131065095749</v>
      </c>
      <c r="HV21" s="1">
        <f t="shared" si="39"/>
        <v>16931.772375746707</v>
      </c>
      <c r="HW21" s="1">
        <f t="shared" si="39"/>
        <v>17101.090099504174</v>
      </c>
      <c r="HX21" s="1">
        <f t="shared" si="39"/>
        <v>17272.101000499217</v>
      </c>
    </row>
    <row r="23" spans="2:232" s="5" customFormat="1">
      <c r="B23" s="1" t="s">
        <v>18</v>
      </c>
      <c r="G23" s="5">
        <f t="shared" ref="G23:G31" si="40">+G3/C3-1</f>
        <v>5.4573016675088404E-2</v>
      </c>
      <c r="H23" s="5">
        <f t="shared" ref="H23:H31" si="41">+H3/D3-1</f>
        <v>3.7411148522259463E-3</v>
      </c>
      <c r="I23" s="5">
        <f t="shared" ref="I23:I31" si="42">+I3/E3-1</f>
        <v>-0.35318275154004108</v>
      </c>
      <c r="J23" s="5">
        <f t="shared" ref="J23:J31" si="43">+J3/F3-1</f>
        <v>7.8746177370030646E-2</v>
      </c>
      <c r="T23" s="5">
        <f t="shared" ref="T23:V33" si="44">+T3/S3-1</f>
        <v>5.9985760056959769E-2</v>
      </c>
      <c r="U23" s="5">
        <f t="shared" si="44"/>
        <v>8.2619647355163695E-2</v>
      </c>
      <c r="V23" s="5">
        <f t="shared" si="44"/>
        <v>7.6004343105320338E-3</v>
      </c>
      <c r="W23" s="5">
        <f t="shared" ref="W23:AF23" si="45">+W3/V3-1</f>
        <v>-1.7936595075956019E-2</v>
      </c>
      <c r="X23" s="5">
        <f t="shared" si="45"/>
        <v>-1.000000000000012E-2</v>
      </c>
      <c r="Y23" s="5">
        <f t="shared" si="45"/>
        <v>-9.9999999999997868E-3</v>
      </c>
      <c r="Z23" s="5">
        <f t="shared" si="45"/>
        <v>-1.000000000000012E-2</v>
      </c>
      <c r="AA23" s="5">
        <f t="shared" si="45"/>
        <v>-1.0000000000000009E-2</v>
      </c>
      <c r="AB23" s="5">
        <f t="shared" si="45"/>
        <v>-9.9999999999997868E-3</v>
      </c>
      <c r="AC23" s="5">
        <f t="shared" si="45"/>
        <v>-1.0000000000000009E-2</v>
      </c>
      <c r="AD23" s="5">
        <f t="shared" si="45"/>
        <v>-9.9999999999998979E-3</v>
      </c>
      <c r="AE23" s="5">
        <f t="shared" si="45"/>
        <v>-1.000000000000012E-2</v>
      </c>
      <c r="AF23" s="5">
        <f t="shared" si="45"/>
        <v>-1.0000000000000009E-2</v>
      </c>
    </row>
    <row r="24" spans="2:232" s="5" customFormat="1">
      <c r="B24" s="1" t="s">
        <v>19</v>
      </c>
      <c r="G24" s="5">
        <f t="shared" si="40"/>
        <v>8.5501858736059422E-2</v>
      </c>
      <c r="H24" s="5">
        <f t="shared" si="41"/>
        <v>4.9402390438247012E-2</v>
      </c>
      <c r="I24" s="5">
        <f t="shared" si="42"/>
        <v>-0.13227513227513232</v>
      </c>
      <c r="J24" s="5">
        <f t="shared" si="43"/>
        <v>6.2068965517241281E-2</v>
      </c>
      <c r="T24" s="5">
        <f t="shared" si="44"/>
        <v>0.15433673469387754</v>
      </c>
      <c r="U24" s="5">
        <f t="shared" si="44"/>
        <v>2.6519337016574607E-2</v>
      </c>
      <c r="V24" s="5">
        <f t="shared" si="44"/>
        <v>3.7136706135629804E-2</v>
      </c>
      <c r="W24" s="5">
        <f t="shared" ref="W24:AF24" si="46">+W4/V4-1</f>
        <v>-1.7936595075955908E-2</v>
      </c>
      <c r="X24" s="5">
        <f t="shared" si="46"/>
        <v>-1.0000000000000009E-2</v>
      </c>
      <c r="Y24" s="5">
        <f t="shared" si="46"/>
        <v>-9.9999999999998979E-3</v>
      </c>
      <c r="Z24" s="5">
        <f t="shared" si="46"/>
        <v>-1.000000000000012E-2</v>
      </c>
      <c r="AA24" s="5">
        <f t="shared" si="46"/>
        <v>-1.000000000000012E-2</v>
      </c>
      <c r="AB24" s="5">
        <f t="shared" si="46"/>
        <v>-9.9999999999996758E-3</v>
      </c>
      <c r="AC24" s="5">
        <f t="shared" si="46"/>
        <v>-1.0000000000000231E-2</v>
      </c>
      <c r="AD24" s="5">
        <f t="shared" si="46"/>
        <v>-9.9999999999998979E-3</v>
      </c>
      <c r="AE24" s="5">
        <f t="shared" si="46"/>
        <v>-1.0000000000000009E-2</v>
      </c>
      <c r="AF24" s="5">
        <f t="shared" si="46"/>
        <v>-1.0000000000000009E-2</v>
      </c>
    </row>
    <row r="25" spans="2:232" s="5" customFormat="1">
      <c r="B25" s="1" t="s">
        <v>20</v>
      </c>
      <c r="G25" s="5">
        <f t="shared" si="40"/>
        <v>-0.18604651162790697</v>
      </c>
      <c r="H25" s="5">
        <f t="shared" si="41"/>
        <v>-4.123711340206182E-2</v>
      </c>
      <c r="I25" s="5">
        <f t="shared" si="42"/>
        <v>-4.9295774647887369E-2</v>
      </c>
      <c r="J25" s="5">
        <f t="shared" si="43"/>
        <v>0.22535211267605626</v>
      </c>
      <c r="T25" s="5">
        <f t="shared" si="44"/>
        <v>-5.0531914893616969E-2</v>
      </c>
      <c r="U25" s="5">
        <f t="shared" si="44"/>
        <v>-8.4033613445377853E-3</v>
      </c>
      <c r="V25" s="5">
        <f t="shared" si="44"/>
        <v>-7.7683615819209018E-2</v>
      </c>
      <c r="W25" s="5">
        <f t="shared" ref="W25:AF25" si="47">+W5/V5-1</f>
        <v>-1.7936595075955797E-2</v>
      </c>
      <c r="X25" s="5">
        <f t="shared" si="47"/>
        <v>-1.0000000000000231E-2</v>
      </c>
      <c r="Y25" s="5">
        <f t="shared" si="47"/>
        <v>-9.9999999999998979E-3</v>
      </c>
      <c r="Z25" s="5">
        <f t="shared" si="47"/>
        <v>-1.0000000000000009E-2</v>
      </c>
      <c r="AA25" s="5">
        <f t="shared" si="47"/>
        <v>-1.0000000000000231E-2</v>
      </c>
      <c r="AB25" s="5">
        <f t="shared" si="47"/>
        <v>-9.9999999999996758E-3</v>
      </c>
      <c r="AC25" s="5">
        <f t="shared" si="47"/>
        <v>-1.0000000000000231E-2</v>
      </c>
      <c r="AD25" s="5">
        <f t="shared" si="47"/>
        <v>-9.9999999999997868E-3</v>
      </c>
      <c r="AE25" s="5">
        <f t="shared" si="47"/>
        <v>-1.0000000000000009E-2</v>
      </c>
      <c r="AF25" s="5">
        <f t="shared" si="47"/>
        <v>-1.0000000000000009E-2</v>
      </c>
      <c r="AH25" s="5" t="s">
        <v>84</v>
      </c>
      <c r="AI25" s="5">
        <v>0.04</v>
      </c>
    </row>
    <row r="26" spans="2:232" s="5" customFormat="1">
      <c r="B26" s="1" t="s">
        <v>21</v>
      </c>
      <c r="G26" s="5">
        <f t="shared" si="40"/>
        <v>-0.13013698630136983</v>
      </c>
      <c r="H26" s="5">
        <f t="shared" si="41"/>
        <v>2.1126760563380254E-2</v>
      </c>
      <c r="I26" s="5">
        <f t="shared" si="42"/>
        <v>0.28333333333333344</v>
      </c>
      <c r="J26" s="5">
        <f t="shared" si="43"/>
        <v>8.1081081081081141E-2</v>
      </c>
      <c r="T26" s="5">
        <f t="shared" si="44"/>
        <v>7.7586206896551824E-2</v>
      </c>
      <c r="U26" s="5">
        <f t="shared" si="44"/>
        <v>-8.1999999999999962E-2</v>
      </c>
      <c r="V26" s="5">
        <f t="shared" si="44"/>
        <v>2.1786492374727739E-2</v>
      </c>
      <c r="W26" s="5">
        <f t="shared" ref="W26:AF26" si="48">+W6/V6-1</f>
        <v>-1.7936595075955908E-2</v>
      </c>
      <c r="X26" s="5">
        <f t="shared" si="48"/>
        <v>-1.000000000000012E-2</v>
      </c>
      <c r="Y26" s="5">
        <f t="shared" si="48"/>
        <v>-9.9999999999998979E-3</v>
      </c>
      <c r="Z26" s="5">
        <f t="shared" si="48"/>
        <v>-1.000000000000012E-2</v>
      </c>
      <c r="AA26" s="5">
        <f t="shared" si="48"/>
        <v>-1.0000000000000009E-2</v>
      </c>
      <c r="AB26" s="5">
        <f t="shared" si="48"/>
        <v>-9.9999999999997868E-3</v>
      </c>
      <c r="AC26" s="5">
        <f t="shared" si="48"/>
        <v>-1.000000000000012E-2</v>
      </c>
      <c r="AD26" s="5">
        <f t="shared" si="48"/>
        <v>-9.9999999999998979E-3</v>
      </c>
      <c r="AE26" s="5">
        <f t="shared" si="48"/>
        <v>-1.000000000000012E-2</v>
      </c>
      <c r="AF26" s="5">
        <f t="shared" si="48"/>
        <v>-1.0000000000000009E-2</v>
      </c>
      <c r="AH26" s="5" t="s">
        <v>80</v>
      </c>
      <c r="AI26" s="13">
        <v>0.01</v>
      </c>
    </row>
    <row r="27" spans="2:232" s="5" customFormat="1">
      <c r="B27" s="3" t="s">
        <v>34</v>
      </c>
      <c r="G27" s="5">
        <f t="shared" si="40"/>
        <v>2.0779220779220786E-2</v>
      </c>
      <c r="H27" s="5">
        <f t="shared" si="41"/>
        <v>1.5712945590994343E-2</v>
      </c>
      <c r="I27" s="5">
        <f t="shared" si="42"/>
        <v>-0.21298405466970383</v>
      </c>
      <c r="J27" s="5">
        <f t="shared" si="43"/>
        <v>8.3792048929663521E-2</v>
      </c>
      <c r="T27" s="5">
        <f t="shared" si="44"/>
        <v>6.8674125208283643E-2</v>
      </c>
      <c r="U27" s="5">
        <f t="shared" si="44"/>
        <v>5.4905891524668737E-2</v>
      </c>
      <c r="V27" s="5">
        <f t="shared" si="44"/>
        <v>7.7069256756756577E-3</v>
      </c>
      <c r="W27" s="5">
        <f t="shared" ref="W27:AF27" si="49">+W7/V7-1</f>
        <v>-1.7936595075955908E-2</v>
      </c>
      <c r="X27" s="5">
        <f t="shared" si="49"/>
        <v>-1.000000000000012E-2</v>
      </c>
      <c r="Y27" s="5">
        <f t="shared" si="49"/>
        <v>-9.9999999999998979E-3</v>
      </c>
      <c r="Z27" s="5">
        <f t="shared" si="49"/>
        <v>-1.000000000000012E-2</v>
      </c>
      <c r="AA27" s="5">
        <f t="shared" si="49"/>
        <v>-1.0000000000000009E-2</v>
      </c>
      <c r="AB27" s="5">
        <f t="shared" si="49"/>
        <v>-9.9999999999997868E-3</v>
      </c>
      <c r="AC27" s="5">
        <f t="shared" si="49"/>
        <v>-1.000000000000012E-2</v>
      </c>
      <c r="AD27" s="5">
        <f t="shared" si="49"/>
        <v>-9.9999999999998979E-3</v>
      </c>
      <c r="AE27" s="5">
        <f t="shared" si="49"/>
        <v>-1.0000000000000009E-2</v>
      </c>
      <c r="AF27" s="5">
        <f t="shared" si="49"/>
        <v>-1.0000000000000009E-2</v>
      </c>
      <c r="AH27" s="1" t="s">
        <v>81</v>
      </c>
      <c r="AI27" s="13">
        <v>0.06</v>
      </c>
    </row>
    <row r="28" spans="2:232" s="5" customFormat="1">
      <c r="B28" s="1" t="s">
        <v>22</v>
      </c>
      <c r="G28" s="5">
        <f t="shared" si="40"/>
        <v>-0.28663446054750408</v>
      </c>
      <c r="H28" s="5">
        <f t="shared" si="41"/>
        <v>-4.0567951318458473E-2</v>
      </c>
      <c r="I28" s="5">
        <f t="shared" si="42"/>
        <v>-9.6932515337423308E-2</v>
      </c>
      <c r="J28" s="5">
        <f t="shared" si="43"/>
        <v>4.0363269424823489E-2</v>
      </c>
      <c r="T28" s="5">
        <f t="shared" si="44"/>
        <v>0.20340760157273929</v>
      </c>
      <c r="U28" s="5">
        <f t="shared" si="44"/>
        <v>-0.12132433021128297</v>
      </c>
      <c r="V28" s="5">
        <f t="shared" ref="V28:AF28" si="50">+V8/U8-1</f>
        <v>-0.1078334159643034</v>
      </c>
      <c r="W28" s="5">
        <f t="shared" si="50"/>
        <v>-9.9999999999999978E-2</v>
      </c>
      <c r="X28" s="5">
        <f t="shared" si="50"/>
        <v>-9.9999999999999978E-2</v>
      </c>
      <c r="Y28" s="5">
        <f t="shared" si="50"/>
        <v>-9.9999999999999867E-2</v>
      </c>
      <c r="Z28" s="5">
        <f t="shared" si="50"/>
        <v>-9.9999999999999978E-2</v>
      </c>
      <c r="AA28" s="5">
        <f t="shared" si="50"/>
        <v>-9.9999999999999867E-2</v>
      </c>
      <c r="AB28" s="5">
        <f t="shared" si="50"/>
        <v>-9.9999999999999978E-2</v>
      </c>
      <c r="AC28" s="5">
        <f t="shared" si="50"/>
        <v>-9.9999999999999978E-2</v>
      </c>
      <c r="AD28" s="5">
        <f t="shared" si="50"/>
        <v>-0.10000000000000009</v>
      </c>
      <c r="AE28" s="5">
        <f t="shared" si="50"/>
        <v>-9.9999999999999978E-2</v>
      </c>
      <c r="AF28" s="5">
        <f t="shared" si="50"/>
        <v>-9.9999999999999867E-2</v>
      </c>
      <c r="AH28" s="3" t="s">
        <v>82</v>
      </c>
      <c r="AI28" s="3">
        <f>NPV(AI27,W21:HX21)</f>
        <v>44919.348021991791</v>
      </c>
    </row>
    <row r="29" spans="2:232" s="5" customFormat="1">
      <c r="B29" s="1" t="s">
        <v>33</v>
      </c>
      <c r="G29" s="5">
        <f t="shared" si="40"/>
        <v>-8.801955990220045E-2</v>
      </c>
      <c r="H29" s="5">
        <f t="shared" si="41"/>
        <v>0.25377643504531733</v>
      </c>
      <c r="I29" s="5">
        <f t="shared" si="42"/>
        <v>5.0480769230769162E-2</v>
      </c>
      <c r="J29" s="5">
        <f t="shared" si="43"/>
        <v>0.10859728506787336</v>
      </c>
      <c r="T29" s="5">
        <f t="shared" si="44"/>
        <v>5.838150289017352E-2</v>
      </c>
      <c r="U29" s="5">
        <f t="shared" si="44"/>
        <v>-0.12725286728563623</v>
      </c>
      <c r="V29" s="5">
        <f t="shared" ref="V29:AF29" si="51">+V9/U9-1</f>
        <v>7.3216520650813521E-2</v>
      </c>
      <c r="W29" s="5">
        <f t="shared" si="51"/>
        <v>7.0000000000000062E-2</v>
      </c>
      <c r="X29" s="5">
        <f t="shared" si="51"/>
        <v>7.0000000000000062E-2</v>
      </c>
      <c r="Y29" s="5">
        <f t="shared" si="51"/>
        <v>7.0000000000000062E-2</v>
      </c>
      <c r="Z29" s="5">
        <f t="shared" si="51"/>
        <v>7.0000000000000062E-2</v>
      </c>
      <c r="AA29" s="5">
        <f t="shared" si="51"/>
        <v>7.0000000000000062E-2</v>
      </c>
      <c r="AB29" s="5">
        <f t="shared" si="51"/>
        <v>7.0000000000000062E-2</v>
      </c>
      <c r="AC29" s="5">
        <f t="shared" si="51"/>
        <v>7.0000000000000062E-2</v>
      </c>
      <c r="AD29" s="5">
        <f t="shared" si="51"/>
        <v>7.0000000000000062E-2</v>
      </c>
      <c r="AE29" s="5">
        <f t="shared" si="51"/>
        <v>7.0000000000000062E-2</v>
      </c>
      <c r="AF29" s="5">
        <f t="shared" si="51"/>
        <v>7.0000000000000062E-2</v>
      </c>
      <c r="AH29" s="1" t="s">
        <v>72</v>
      </c>
      <c r="AI29" s="1">
        <f>+Main!F7-Main!F8</f>
        <v>-2765</v>
      </c>
    </row>
    <row r="30" spans="2:232" s="5" customFormat="1">
      <c r="B30" s="1" t="s">
        <v>23</v>
      </c>
      <c r="G30" s="5">
        <f t="shared" si="40"/>
        <v>-0.17827298050139273</v>
      </c>
      <c r="H30" s="5">
        <f t="shared" si="41"/>
        <v>-7.9365079365079083E-3</v>
      </c>
      <c r="I30" s="5">
        <f t="shared" si="42"/>
        <v>-4.4247787610619427E-2</v>
      </c>
      <c r="J30" s="5">
        <f t="shared" si="43"/>
        <v>0.16363636363636358</v>
      </c>
      <c r="T30" s="5">
        <f t="shared" si="44"/>
        <v>0.10687022900763354</v>
      </c>
      <c r="U30" s="5">
        <f t="shared" si="44"/>
        <v>-0.23310344827586205</v>
      </c>
      <c r="V30" s="5">
        <f t="shared" ref="V30:AF30" si="52">+V10/U10-1</f>
        <v>-2.7877697841726667E-2</v>
      </c>
      <c r="W30" s="5">
        <f t="shared" si="52"/>
        <v>-4.0000000000000036E-2</v>
      </c>
      <c r="X30" s="5">
        <f t="shared" si="52"/>
        <v>-4.0000000000000036E-2</v>
      </c>
      <c r="Y30" s="5">
        <f t="shared" si="52"/>
        <v>-4.0000000000000036E-2</v>
      </c>
      <c r="Z30" s="5">
        <f t="shared" si="52"/>
        <v>-4.0000000000000036E-2</v>
      </c>
      <c r="AA30" s="5">
        <f t="shared" si="52"/>
        <v>-4.0000000000000036E-2</v>
      </c>
      <c r="AB30" s="5">
        <f t="shared" si="52"/>
        <v>-4.0000000000000036E-2</v>
      </c>
      <c r="AC30" s="5">
        <f t="shared" si="52"/>
        <v>-3.9999999999999925E-2</v>
      </c>
      <c r="AD30" s="5">
        <f t="shared" si="52"/>
        <v>-4.0000000000000036E-2</v>
      </c>
      <c r="AE30" s="5">
        <f t="shared" si="52"/>
        <v>-4.0000000000000036E-2</v>
      </c>
      <c r="AF30" s="5">
        <f t="shared" si="52"/>
        <v>-3.9999999999999925E-2</v>
      </c>
      <c r="AH30" s="1" t="s">
        <v>83</v>
      </c>
      <c r="AI30" s="1">
        <f>SUM(AI28:AI29)</f>
        <v>42154.348021991791</v>
      </c>
    </row>
    <row r="31" spans="2:232" s="4" customFormat="1">
      <c r="B31" s="1" t="s">
        <v>32</v>
      </c>
      <c r="G31" s="5">
        <f t="shared" si="40"/>
        <v>4.4692737430167551E-2</v>
      </c>
      <c r="H31" s="5">
        <f t="shared" si="41"/>
        <v>-0.19811320754716977</v>
      </c>
      <c r="I31" s="5">
        <f t="shared" si="42"/>
        <v>-3.5294117647058809E-2</v>
      </c>
      <c r="J31" s="5">
        <f t="shared" si="43"/>
        <v>2.7472527472527375E-3</v>
      </c>
      <c r="T31" s="5">
        <f t="shared" si="44"/>
        <v>0.51758793969849237</v>
      </c>
      <c r="U31" s="5">
        <f t="shared" si="44"/>
        <v>0.67218543046357615</v>
      </c>
      <c r="V31" s="5">
        <f t="shared" ref="V31:AF31" si="53">+V11/U11-1</f>
        <v>-4.1584158415841621E-2</v>
      </c>
      <c r="W31" s="5">
        <f t="shared" si="53"/>
        <v>-3.0000000000000027E-2</v>
      </c>
      <c r="X31" s="5">
        <f t="shared" si="53"/>
        <v>-3.0000000000000027E-2</v>
      </c>
      <c r="Y31" s="5">
        <f t="shared" si="53"/>
        <v>-3.0000000000000027E-2</v>
      </c>
      <c r="Z31" s="5">
        <f t="shared" si="53"/>
        <v>-3.0000000000000027E-2</v>
      </c>
      <c r="AA31" s="5">
        <f t="shared" si="53"/>
        <v>-3.0000000000000027E-2</v>
      </c>
      <c r="AB31" s="5">
        <f t="shared" si="53"/>
        <v>-3.0000000000000027E-2</v>
      </c>
      <c r="AC31" s="5">
        <f t="shared" si="53"/>
        <v>-3.0000000000000027E-2</v>
      </c>
      <c r="AD31" s="5">
        <f t="shared" si="53"/>
        <v>-3.0000000000000027E-2</v>
      </c>
      <c r="AE31" s="5">
        <f t="shared" si="53"/>
        <v>-3.0000000000000027E-2</v>
      </c>
      <c r="AF31" s="5">
        <f t="shared" si="53"/>
        <v>-2.9999999999999916E-2</v>
      </c>
      <c r="AH31" s="4" t="s">
        <v>85</v>
      </c>
      <c r="AI31" s="14">
        <f>+Main!F5</f>
        <v>692.24699999999996</v>
      </c>
    </row>
    <row r="32" spans="2:232">
      <c r="B32" s="7" t="s">
        <v>36</v>
      </c>
      <c r="G32" s="5">
        <f t="shared" ref="G32:G33" si="54">+G12/C12-1</f>
        <v>-0.20465966194609408</v>
      </c>
      <c r="H32" s="5">
        <f t="shared" ref="H32:H33" si="55">+H12/D12-1</f>
        <v>0</v>
      </c>
      <c r="I32" s="5">
        <f t="shared" ref="I32:I33" si="56">+I12/E12-1</f>
        <v>-4.4976635514018648E-2</v>
      </c>
      <c r="J32" s="5">
        <f t="shared" ref="J32:J33" si="57">+J12/F12-1</f>
        <v>6.4671814671814598E-2</v>
      </c>
      <c r="T32" s="5">
        <f t="shared" si="44"/>
        <v>0.16861988142837436</v>
      </c>
      <c r="U32" s="5">
        <f t="shared" si="44"/>
        <v>-8.5181689476167999E-2</v>
      </c>
      <c r="V32" s="5">
        <f t="shared" ref="V32:AF33" si="58">+V12/U12-1</f>
        <v>-5.0425586793912847E-2</v>
      </c>
      <c r="W32" s="5">
        <f t="shared" ref="W32:AF32" si="59">+W12/V12-1</f>
        <v>-4.2391688170582698E-2</v>
      </c>
      <c r="X32" s="5">
        <f t="shared" si="59"/>
        <v>-3.7603260306884101E-2</v>
      </c>
      <c r="Y32" s="5">
        <f t="shared" si="59"/>
        <v>-3.2604794885647048E-2</v>
      </c>
      <c r="Z32" s="5">
        <f t="shared" si="59"/>
        <v>-2.742951600180854E-2</v>
      </c>
      <c r="AA32" s="5">
        <f t="shared" si="59"/>
        <v>-2.2116941227336984E-2</v>
      </c>
      <c r="AB32" s="5">
        <f t="shared" si="59"/>
        <v>-1.671178195398193E-2</v>
      </c>
      <c r="AC32" s="5">
        <f t="shared" si="59"/>
        <v>-1.1262447646366081E-2</v>
      </c>
      <c r="AD32" s="5">
        <f t="shared" si="59"/>
        <v>-5.8192530312914936E-3</v>
      </c>
      <c r="AE32" s="5">
        <f t="shared" si="59"/>
        <v>-4.3246703661004027E-4</v>
      </c>
      <c r="AF32" s="5">
        <f t="shared" si="59"/>
        <v>4.8496357714822302E-3</v>
      </c>
      <c r="AH32" s="1" t="s">
        <v>86</v>
      </c>
      <c r="AI32" s="1">
        <f>+AI30/AI31</f>
        <v>60.894952267025779</v>
      </c>
    </row>
    <row r="33" spans="2:35">
      <c r="B33" s="7" t="s">
        <v>79</v>
      </c>
      <c r="G33" s="5">
        <f t="shared" si="54"/>
        <v>-8.026208026208026E-2</v>
      </c>
      <c r="H33" s="5">
        <f t="shared" si="55"/>
        <v>1.1083540115798263E-2</v>
      </c>
      <c r="I33" s="5">
        <f t="shared" si="56"/>
        <v>-0.1019305019305019</v>
      </c>
      <c r="J33" s="5">
        <f t="shared" si="57"/>
        <v>7.3104936606420257E-2</v>
      </c>
      <c r="T33" s="5">
        <f t="shared" si="44"/>
        <v>0.11497923985946978</v>
      </c>
      <c r="U33" s="5">
        <f t="shared" si="44"/>
        <v>-1.3119450014322576E-2</v>
      </c>
      <c r="V33" s="5">
        <f t="shared" si="58"/>
        <v>-1.846046673632884E-2</v>
      </c>
      <c r="W33" s="5">
        <f t="shared" si="58"/>
        <v>-1.000000000000012E-2</v>
      </c>
      <c r="X33" s="5">
        <f t="shared" si="58"/>
        <v>-1.000000000000012E-2</v>
      </c>
      <c r="Y33" s="5">
        <f t="shared" si="58"/>
        <v>-9.9999999999998979E-3</v>
      </c>
      <c r="Z33" s="5">
        <f t="shared" si="58"/>
        <v>-1.0000000000000009E-2</v>
      </c>
      <c r="AA33" s="5">
        <f t="shared" si="58"/>
        <v>-1.0000000000000009E-2</v>
      </c>
      <c r="AB33" s="5">
        <f t="shared" si="58"/>
        <v>-1.0000000000000009E-2</v>
      </c>
      <c r="AC33" s="5">
        <f t="shared" si="58"/>
        <v>-1.0000000000000009E-2</v>
      </c>
      <c r="AD33" s="5">
        <f t="shared" si="58"/>
        <v>-1.0000000000000009E-2</v>
      </c>
      <c r="AE33" s="5">
        <f t="shared" si="58"/>
        <v>-1.0000000000000009E-2</v>
      </c>
      <c r="AF33" s="5">
        <f t="shared" si="58"/>
        <v>-1.0000000000000009E-2</v>
      </c>
      <c r="AH33" s="1" t="s">
        <v>87</v>
      </c>
      <c r="AI33" s="1">
        <f>+Main!F4</f>
        <v>61.47</v>
      </c>
    </row>
    <row r="34" spans="2:35">
      <c r="AH34" s="1" t="s">
        <v>88</v>
      </c>
      <c r="AI34" s="5">
        <f>+AI32/AI33-1</f>
        <v>-9.3549330238200668E-3</v>
      </c>
    </row>
    <row r="35" spans="2:35" s="5" customFormat="1">
      <c r="B35" s="5" t="s">
        <v>37</v>
      </c>
      <c r="C35" s="5">
        <f t="shared" ref="C35:J35" si="60">+(C13-C14)/C13</f>
        <v>0.43263718263718265</v>
      </c>
      <c r="D35" s="5">
        <f t="shared" si="60"/>
        <v>0.48105872622001655</v>
      </c>
      <c r="E35" s="5">
        <f t="shared" si="60"/>
        <v>0.36447876447876448</v>
      </c>
      <c r="F35" s="5">
        <f t="shared" si="60"/>
        <v>0.36174804424062584</v>
      </c>
      <c r="G35" s="5">
        <f t="shared" si="60"/>
        <v>0.43232413178984863</v>
      </c>
      <c r="H35" s="5">
        <f t="shared" si="60"/>
        <v>0.52257853403141363</v>
      </c>
      <c r="I35" s="5">
        <f t="shared" si="60"/>
        <v>0.32717110920034392</v>
      </c>
      <c r="J35" s="5">
        <f t="shared" si="60"/>
        <v>0.37254901960784315</v>
      </c>
      <c r="S35" s="5">
        <f>+(S13-S14)/S13</f>
        <v>1</v>
      </c>
      <c r="T35" s="5">
        <f>+(T13-T14)/T13</f>
        <v>0.40211973646519622</v>
      </c>
      <c r="U35" s="5">
        <f>+(U13-U14)/U13</f>
        <v>0.42412632067804484</v>
      </c>
      <c r="V35" s="5">
        <f>+(V13-V14)/V13</f>
        <v>0.43642062928791103</v>
      </c>
      <c r="W35" s="5">
        <f t="shared" ref="W35:AF35" si="61">+(W13-W14)/W13</f>
        <v>0.43642062928791103</v>
      </c>
      <c r="X35" s="5">
        <f t="shared" si="61"/>
        <v>0.43642062928791103</v>
      </c>
      <c r="Y35" s="5">
        <f t="shared" si="61"/>
        <v>0.43642062928791103</v>
      </c>
      <c r="Z35" s="5">
        <f t="shared" si="61"/>
        <v>0.43642062928791103</v>
      </c>
      <c r="AA35" s="5">
        <f t="shared" si="61"/>
        <v>0.43642062928791098</v>
      </c>
      <c r="AB35" s="5">
        <f t="shared" si="61"/>
        <v>0.43642062928791109</v>
      </c>
      <c r="AC35" s="5">
        <f t="shared" si="61"/>
        <v>0.43642062928791103</v>
      </c>
      <c r="AD35" s="5">
        <f t="shared" si="61"/>
        <v>0.43642062928791103</v>
      </c>
      <c r="AE35" s="5">
        <f t="shared" si="61"/>
        <v>0.43642062928791098</v>
      </c>
      <c r="AF35" s="5">
        <f t="shared" si="61"/>
        <v>0.43642062928791109</v>
      </c>
    </row>
    <row r="36" spans="2:35" s="5" customFormat="1">
      <c r="B36" s="5" t="s">
        <v>38</v>
      </c>
      <c r="C36" s="5">
        <f t="shared" ref="C36:J36" si="62">+C7/C13</f>
        <v>0.55180180180180183</v>
      </c>
      <c r="D36" s="5">
        <f t="shared" si="62"/>
        <v>0.70537634408602146</v>
      </c>
      <c r="E36" s="5">
        <f t="shared" si="62"/>
        <v>0.33899613899613901</v>
      </c>
      <c r="F36" s="5">
        <f t="shared" si="62"/>
        <v>0.44105745886161318</v>
      </c>
      <c r="G36" s="5">
        <f t="shared" si="62"/>
        <v>0.61242208370436335</v>
      </c>
      <c r="H36" s="5">
        <f t="shared" si="62"/>
        <v>0.70860602094240843</v>
      </c>
      <c r="I36" s="5">
        <f t="shared" si="62"/>
        <v>0.29707652622527947</v>
      </c>
      <c r="J36" s="5">
        <f t="shared" si="62"/>
        <v>0.44544997486173959</v>
      </c>
      <c r="S36" s="5">
        <f>+S7/S13</f>
        <v>0.53669754072181408</v>
      </c>
      <c r="T36" s="5">
        <f>+T7/T13</f>
        <v>0.51440847894586084</v>
      </c>
      <c r="U36" s="5">
        <f>+U7/U13</f>
        <v>0.54986648090096368</v>
      </c>
      <c r="V36" s="5">
        <f>+V7/V13</f>
        <v>0.56452566832268747</v>
      </c>
      <c r="W36" s="5">
        <f>+W7/W13</f>
        <v>0.56000000000000005</v>
      </c>
      <c r="X36" s="5">
        <f t="shared" ref="X36:AF36" si="63">+X7/X13</f>
        <v>0.56000000000000005</v>
      </c>
      <c r="Y36" s="5">
        <f t="shared" si="63"/>
        <v>0.56000000000000005</v>
      </c>
      <c r="Z36" s="5">
        <f t="shared" si="63"/>
        <v>0.56000000000000005</v>
      </c>
      <c r="AA36" s="5">
        <f t="shared" si="63"/>
        <v>0.56000000000000005</v>
      </c>
      <c r="AB36" s="5">
        <f t="shared" si="63"/>
        <v>0.56000000000000005</v>
      </c>
      <c r="AC36" s="5">
        <f t="shared" si="63"/>
        <v>0.56000000000000005</v>
      </c>
      <c r="AD36" s="5">
        <f t="shared" si="63"/>
        <v>0.56000000000000005</v>
      </c>
      <c r="AE36" s="5">
        <f t="shared" si="63"/>
        <v>0.56000000000000005</v>
      </c>
      <c r="AF36" s="5">
        <f t="shared" si="63"/>
        <v>0.56000000000000005</v>
      </c>
      <c r="AH36" s="5" t="s">
        <v>128</v>
      </c>
      <c r="AI36" s="1">
        <f>+Main!F9 / X21</f>
        <v>17.687485958120217</v>
      </c>
    </row>
    <row r="38" spans="2:35" s="3" customFormat="1">
      <c r="B38" s="3" t="s">
        <v>72</v>
      </c>
      <c r="C38" s="3">
        <f>+C68</f>
        <v>-3210</v>
      </c>
      <c r="D38" s="3">
        <f t="shared" ref="D38:I38" si="64">+D68</f>
        <v>-2614</v>
      </c>
      <c r="E38" s="3">
        <f t="shared" si="64"/>
        <v>-3431</v>
      </c>
      <c r="F38" s="3">
        <f t="shared" si="64"/>
        <v>368</v>
      </c>
      <c r="G38" s="3">
        <f t="shared" si="64"/>
        <v>-2859</v>
      </c>
      <c r="H38" s="3">
        <f t="shared" si="64"/>
        <v>-2652</v>
      </c>
      <c r="I38" s="3">
        <f t="shared" si="64"/>
        <v>-3095</v>
      </c>
      <c r="J38" s="3">
        <f>+J68</f>
        <v>600</v>
      </c>
      <c r="V38" s="3">
        <f>+J38</f>
        <v>600</v>
      </c>
      <c r="W38" s="3">
        <f>+V38*1.01</f>
        <v>606</v>
      </c>
      <c r="X38" s="3">
        <f t="shared" ref="X38:AF38" si="65">+W38*1.01</f>
        <v>612.06000000000006</v>
      </c>
      <c r="Y38" s="3">
        <f t="shared" si="65"/>
        <v>618.18060000000003</v>
      </c>
      <c r="Z38" s="3">
        <f t="shared" si="65"/>
        <v>624.36240600000008</v>
      </c>
      <c r="AA38" s="3">
        <f t="shared" si="65"/>
        <v>630.60603006000008</v>
      </c>
      <c r="AB38" s="3">
        <f t="shared" si="65"/>
        <v>636.91209036060013</v>
      </c>
      <c r="AC38" s="3">
        <f t="shared" si="65"/>
        <v>643.28121126420615</v>
      </c>
      <c r="AD38" s="3">
        <f t="shared" si="65"/>
        <v>649.71402337684822</v>
      </c>
      <c r="AE38" s="3">
        <f t="shared" si="65"/>
        <v>656.21116361061672</v>
      </c>
      <c r="AF38" s="3">
        <f t="shared" si="65"/>
        <v>662.77327524672285</v>
      </c>
    </row>
    <row r="39" spans="2:35">
      <c r="B39" s="1" t="s">
        <v>44</v>
      </c>
      <c r="C39" s="1">
        <v>1646</v>
      </c>
      <c r="D39" s="1">
        <v>2563</v>
      </c>
      <c r="E39" s="1">
        <v>2254</v>
      </c>
      <c r="F39" s="1">
        <v>2644</v>
      </c>
      <c r="G39" s="1">
        <v>1505</v>
      </c>
      <c r="H39" s="1">
        <v>1839</v>
      </c>
      <c r="I39" s="1">
        <v>2421</v>
      </c>
      <c r="J39" s="1">
        <v>3106</v>
      </c>
    </row>
    <row r="40" spans="2:35">
      <c r="B40" s="1" t="s">
        <v>45</v>
      </c>
      <c r="C40" s="1">
        <v>85</v>
      </c>
      <c r="D40" s="1">
        <v>53</v>
      </c>
      <c r="E40" s="1">
        <v>108</v>
      </c>
      <c r="F40" s="1">
        <v>98</v>
      </c>
      <c r="G40" s="1">
        <v>153</v>
      </c>
      <c r="H40" s="1">
        <v>120</v>
      </c>
      <c r="I40" s="1">
        <v>72</v>
      </c>
      <c r="J40" s="1">
        <v>63</v>
      </c>
    </row>
    <row r="41" spans="2:35">
      <c r="B41" s="1" t="s">
        <v>46</v>
      </c>
      <c r="C41" s="1">
        <v>8678</v>
      </c>
      <c r="D41" s="1">
        <v>7955</v>
      </c>
      <c r="E41" s="1">
        <v>6581</v>
      </c>
      <c r="F41" s="1">
        <v>5488</v>
      </c>
      <c r="G41" s="1">
        <v>7906</v>
      </c>
      <c r="H41" s="1">
        <v>7615</v>
      </c>
      <c r="I41" s="1">
        <v>6651</v>
      </c>
      <c r="J41" s="1">
        <v>5676</v>
      </c>
    </row>
    <row r="42" spans="2:35">
      <c r="B42" s="1" t="s">
        <v>47</v>
      </c>
      <c r="C42" s="1">
        <v>6585</v>
      </c>
      <c r="D42" s="1">
        <v>5628</v>
      </c>
      <c r="E42" s="1">
        <v>6320</v>
      </c>
      <c r="F42" s="1">
        <v>6899</v>
      </c>
      <c r="G42" s="1">
        <v>6183</v>
      </c>
      <c r="H42" s="1">
        <v>4893</v>
      </c>
      <c r="I42" s="1">
        <v>5674</v>
      </c>
      <c r="J42" s="1">
        <v>5432</v>
      </c>
    </row>
    <row r="43" spans="2:35">
      <c r="B43" s="1" t="s">
        <v>48</v>
      </c>
      <c r="C43" s="1">
        <v>1335</v>
      </c>
      <c r="D43" s="1">
        <v>1008</v>
      </c>
      <c r="E43" s="1">
        <v>1070</v>
      </c>
      <c r="F43" s="1">
        <v>1131</v>
      </c>
      <c r="G43" s="1">
        <v>1416</v>
      </c>
      <c r="H43" s="1">
        <v>892</v>
      </c>
      <c r="I43" s="1">
        <v>831</v>
      </c>
      <c r="J43" s="1">
        <v>820</v>
      </c>
    </row>
    <row r="44" spans="2:35">
      <c r="B44" s="1" t="s">
        <v>64</v>
      </c>
      <c r="C44" s="1">
        <v>87</v>
      </c>
      <c r="D44" s="1">
        <v>83</v>
      </c>
      <c r="E44" s="1">
        <v>106</v>
      </c>
      <c r="F44" s="1">
        <v>115</v>
      </c>
      <c r="G44" s="1">
        <v>123</v>
      </c>
      <c r="H44" s="1">
        <v>113</v>
      </c>
      <c r="I44" s="1">
        <v>128</v>
      </c>
      <c r="J44" s="1">
        <v>134</v>
      </c>
    </row>
    <row r="45" spans="2:35">
      <c r="B45" s="1" t="s">
        <v>49</v>
      </c>
      <c r="C45" s="1">
        <v>4271</v>
      </c>
      <c r="D45" s="1">
        <v>4306</v>
      </c>
      <c r="E45" s="1">
        <v>4320</v>
      </c>
      <c r="F45" s="1">
        <v>4287</v>
      </c>
      <c r="G45" s="1">
        <v>4206</v>
      </c>
      <c r="H45" s="1">
        <v>4155</v>
      </c>
      <c r="I45" s="1">
        <v>4210</v>
      </c>
      <c r="J45" s="1">
        <v>4099</v>
      </c>
    </row>
    <row r="46" spans="2:35">
      <c r="B46" s="1" t="s">
        <v>50</v>
      </c>
      <c r="C46" s="1">
        <v>10508</v>
      </c>
      <c r="D46" s="1">
        <v>10539</v>
      </c>
      <c r="E46" s="1">
        <v>10441</v>
      </c>
      <c r="F46" s="1">
        <v>10605</v>
      </c>
      <c r="G46" s="1">
        <v>10553</v>
      </c>
      <c r="H46" s="1">
        <v>10490</v>
      </c>
      <c r="I46" s="1">
        <v>10629</v>
      </c>
      <c r="J46" s="1">
        <v>10408</v>
      </c>
    </row>
    <row r="47" spans="2:35">
      <c r="B47" s="1" t="s">
        <v>51</v>
      </c>
      <c r="C47" s="1">
        <v>10137</v>
      </c>
      <c r="D47" s="1">
        <v>9985</v>
      </c>
      <c r="E47" s="1">
        <v>9795</v>
      </c>
      <c r="F47" s="1">
        <v>9626</v>
      </c>
      <c r="G47" s="1">
        <v>9446</v>
      </c>
      <c r="H47" s="1">
        <v>9238</v>
      </c>
      <c r="I47" s="1">
        <v>9084</v>
      </c>
      <c r="J47" s="1">
        <v>8876</v>
      </c>
    </row>
    <row r="48" spans="2:35">
      <c r="B48" s="1" t="s">
        <v>52</v>
      </c>
      <c r="C48" s="1">
        <v>508</v>
      </c>
      <c r="D48" s="1">
        <v>524</v>
      </c>
      <c r="E48" s="1">
        <v>554</v>
      </c>
      <c r="F48" s="1">
        <v>584</v>
      </c>
      <c r="G48" s="1">
        <v>551</v>
      </c>
      <c r="H48" s="1">
        <v>538</v>
      </c>
      <c r="I48" s="1">
        <v>564</v>
      </c>
      <c r="J48" s="1">
        <v>401</v>
      </c>
    </row>
    <row r="49" spans="2:10">
      <c r="B49" s="1" t="s">
        <v>53</v>
      </c>
      <c r="C49" s="1">
        <v>1660</v>
      </c>
      <c r="D49" s="1">
        <v>1545</v>
      </c>
      <c r="E49" s="1">
        <v>1561</v>
      </c>
      <c r="F49" s="1">
        <v>1519</v>
      </c>
      <c r="G49" s="1">
        <v>1583</v>
      </c>
      <c r="H49" s="1">
        <v>1571</v>
      </c>
      <c r="I49" s="1">
        <v>1644</v>
      </c>
      <c r="J49" s="1">
        <v>1810</v>
      </c>
    </row>
    <row r="50" spans="2:10" s="3" customFormat="1">
      <c r="B50" s="3" t="s">
        <v>54</v>
      </c>
      <c r="C50" s="3">
        <f t="shared" ref="C50:J50" si="66">+SUM(C39:C49)</f>
        <v>45500</v>
      </c>
      <c r="D50" s="3">
        <f t="shared" si="66"/>
        <v>44189</v>
      </c>
      <c r="E50" s="3">
        <f t="shared" si="66"/>
        <v>43110</v>
      </c>
      <c r="F50" s="3">
        <f t="shared" si="66"/>
        <v>42996</v>
      </c>
      <c r="G50" s="3">
        <f t="shared" si="66"/>
        <v>43625</v>
      </c>
      <c r="H50" s="3">
        <f t="shared" si="66"/>
        <v>41464</v>
      </c>
      <c r="I50" s="3">
        <f t="shared" si="66"/>
        <v>41908</v>
      </c>
      <c r="J50" s="3">
        <f t="shared" si="66"/>
        <v>40825</v>
      </c>
    </row>
    <row r="52" spans="2:10">
      <c r="B52" s="1" t="s">
        <v>55</v>
      </c>
      <c r="C52" s="1">
        <v>3787</v>
      </c>
      <c r="D52" s="1">
        <v>3023</v>
      </c>
      <c r="E52" s="1">
        <v>3609</v>
      </c>
      <c r="F52" s="1">
        <v>198</v>
      </c>
      <c r="G52" s="1">
        <v>2148</v>
      </c>
      <c r="H52" s="1">
        <v>2253</v>
      </c>
      <c r="I52" s="1">
        <v>3741</v>
      </c>
      <c r="J52" s="1">
        <v>750</v>
      </c>
    </row>
    <row r="53" spans="2:10">
      <c r="B53" s="1" t="s">
        <v>63</v>
      </c>
      <c r="C53" s="1">
        <v>3957</v>
      </c>
      <c r="D53" s="1">
        <v>3379</v>
      </c>
      <c r="E53" s="1">
        <v>3678</v>
      </c>
      <c r="F53" s="1">
        <v>4280</v>
      </c>
      <c r="G53" s="1">
        <v>3606</v>
      </c>
      <c r="H53" s="1">
        <v>3300</v>
      </c>
      <c r="I53" s="1">
        <v>3753</v>
      </c>
      <c r="J53" s="1">
        <v>4039</v>
      </c>
    </row>
    <row r="54" spans="2:10">
      <c r="B54" s="1" t="s">
        <v>56</v>
      </c>
      <c r="C54" s="1">
        <v>298</v>
      </c>
      <c r="D54" s="1">
        <v>396</v>
      </c>
      <c r="E54" s="1">
        <v>236</v>
      </c>
      <c r="F54" s="1">
        <v>174</v>
      </c>
      <c r="G54" s="1">
        <v>311</v>
      </c>
      <c r="H54" s="1">
        <v>488</v>
      </c>
      <c r="I54" s="1">
        <v>313</v>
      </c>
      <c r="J54" s="1">
        <v>207</v>
      </c>
    </row>
    <row r="55" spans="2:10">
      <c r="B55" s="1" t="s">
        <v>57</v>
      </c>
      <c r="C55" s="1">
        <v>2712</v>
      </c>
      <c r="D55" s="1">
        <v>656</v>
      </c>
      <c r="E55" s="1">
        <v>552</v>
      </c>
      <c r="F55" s="1">
        <v>3406</v>
      </c>
      <c r="G55" s="1">
        <v>2694</v>
      </c>
      <c r="H55" s="1">
        <v>413</v>
      </c>
      <c r="I55" s="1">
        <v>429</v>
      </c>
      <c r="J55" s="1">
        <v>3287</v>
      </c>
    </row>
    <row r="56" spans="2:10">
      <c r="B56" s="1" t="s">
        <v>58</v>
      </c>
      <c r="C56" s="1">
        <v>2477</v>
      </c>
      <c r="D56" s="1">
        <v>2892</v>
      </c>
      <c r="E56" s="1">
        <v>2273</v>
      </c>
      <c r="F56" s="1">
        <v>2351</v>
      </c>
      <c r="G56" s="1">
        <v>2573</v>
      </c>
      <c r="H56" s="1">
        <v>2499</v>
      </c>
      <c r="I56" s="1">
        <v>2188</v>
      </c>
      <c r="J56" s="1">
        <v>2103</v>
      </c>
    </row>
    <row r="57" spans="2:10">
      <c r="B57" s="1" t="s">
        <v>59</v>
      </c>
      <c r="C57" s="1">
        <v>1241</v>
      </c>
      <c r="D57" s="1">
        <v>2290</v>
      </c>
      <c r="E57" s="1">
        <v>2290</v>
      </c>
      <c r="F57" s="1">
        <v>2291</v>
      </c>
      <c r="G57" s="1">
        <v>2492</v>
      </c>
      <c r="H57" s="1">
        <v>2471</v>
      </c>
      <c r="I57" s="1">
        <v>1975</v>
      </c>
      <c r="J57" s="1">
        <v>1953</v>
      </c>
    </row>
    <row r="58" spans="2:10">
      <c r="B58" s="1" t="s">
        <v>52</v>
      </c>
      <c r="C58" s="1">
        <v>1255</v>
      </c>
      <c r="D58" s="1">
        <v>1134</v>
      </c>
      <c r="E58" s="1">
        <v>1070</v>
      </c>
      <c r="F58" s="1">
        <v>899</v>
      </c>
      <c r="G58" s="1">
        <v>753</v>
      </c>
      <c r="H58" s="1">
        <v>607</v>
      </c>
      <c r="I58" s="1">
        <v>496</v>
      </c>
      <c r="J58" s="1">
        <v>478</v>
      </c>
    </row>
    <row r="59" spans="2:10">
      <c r="B59" s="1" t="s">
        <v>65</v>
      </c>
      <c r="C59" s="1">
        <v>2242</v>
      </c>
      <c r="D59" s="1">
        <v>2236</v>
      </c>
      <c r="E59" s="1">
        <v>2228</v>
      </c>
      <c r="F59" s="1">
        <v>2467</v>
      </c>
      <c r="G59" s="1">
        <v>2453</v>
      </c>
      <c r="H59" s="1">
        <v>2452</v>
      </c>
      <c r="I59" s="1">
        <v>2473</v>
      </c>
      <c r="J59" s="1">
        <v>2271</v>
      </c>
    </row>
    <row r="60" spans="2:10">
      <c r="B60" s="1" t="s">
        <v>66</v>
      </c>
      <c r="C60" s="1">
        <v>1692</v>
      </c>
      <c r="D60" s="1">
        <v>1722</v>
      </c>
      <c r="E60" s="1">
        <v>1707</v>
      </c>
      <c r="F60" s="1">
        <v>1651</v>
      </c>
      <c r="G60" s="1">
        <v>1587</v>
      </c>
      <c r="H60" s="1">
        <v>1560</v>
      </c>
      <c r="I60" s="1">
        <v>1561</v>
      </c>
      <c r="J60" s="1">
        <v>1707</v>
      </c>
    </row>
    <row r="61" spans="2:10">
      <c r="B61" s="1" t="s">
        <v>60</v>
      </c>
      <c r="C61" s="1">
        <v>25599</v>
      </c>
      <c r="D61" s="1">
        <v>26220</v>
      </c>
      <c r="E61" s="1">
        <v>25226</v>
      </c>
      <c r="F61" s="1">
        <v>25037</v>
      </c>
      <c r="G61" s="1">
        <v>24767</v>
      </c>
      <c r="H61" s="1">
        <v>25179</v>
      </c>
      <c r="I61" s="1">
        <v>24737</v>
      </c>
      <c r="J61" s="1">
        <v>23789</v>
      </c>
    </row>
    <row r="62" spans="2:10" s="3" customFormat="1">
      <c r="B62" s="1" t="s">
        <v>61</v>
      </c>
      <c r="C62" s="7">
        <v>240</v>
      </c>
      <c r="D62" s="7">
        <v>241</v>
      </c>
      <c r="E62" s="7">
        <v>241</v>
      </c>
      <c r="F62" s="7">
        <v>242</v>
      </c>
      <c r="G62" s="7">
        <v>241</v>
      </c>
      <c r="H62" s="7">
        <v>242</v>
      </c>
      <c r="I62" s="7">
        <v>242</v>
      </c>
      <c r="J62" s="7">
        <v>241</v>
      </c>
    </row>
    <row r="63" spans="2:10" s="3" customFormat="1">
      <c r="B63" s="3" t="s">
        <v>62</v>
      </c>
      <c r="C63" s="3">
        <f t="shared" ref="C63:J63" si="67">SUM(C52:C62)</f>
        <v>45500</v>
      </c>
      <c r="D63" s="3">
        <f t="shared" si="67"/>
        <v>44189</v>
      </c>
      <c r="E63" s="3">
        <f t="shared" si="67"/>
        <v>43110</v>
      </c>
      <c r="F63" s="3">
        <f t="shared" si="67"/>
        <v>42996</v>
      </c>
      <c r="G63" s="3">
        <f t="shared" si="67"/>
        <v>43625</v>
      </c>
      <c r="H63" s="3">
        <f t="shared" si="67"/>
        <v>41464</v>
      </c>
      <c r="I63" s="3">
        <f t="shared" si="67"/>
        <v>41908</v>
      </c>
      <c r="J63" s="3">
        <f t="shared" si="67"/>
        <v>40825</v>
      </c>
    </row>
    <row r="65" spans="2:22">
      <c r="B65" s="12" t="s">
        <v>77</v>
      </c>
    </row>
    <row r="66" spans="2:22">
      <c r="B66" s="1" t="s">
        <v>70</v>
      </c>
      <c r="C66" s="1">
        <f>+C52+C57</f>
        <v>5028</v>
      </c>
      <c r="D66" s="1">
        <f t="shared" ref="D66:J66" si="68">+D52+D57</f>
        <v>5313</v>
      </c>
      <c r="E66" s="1">
        <f t="shared" si="68"/>
        <v>5899</v>
      </c>
      <c r="F66" s="1">
        <f t="shared" si="68"/>
        <v>2489</v>
      </c>
      <c r="G66" s="1">
        <f t="shared" si="68"/>
        <v>4640</v>
      </c>
      <c r="H66" s="1">
        <f t="shared" si="68"/>
        <v>4724</v>
      </c>
      <c r="I66" s="1">
        <f t="shared" si="68"/>
        <v>5716</v>
      </c>
      <c r="J66" s="1">
        <f t="shared" si="68"/>
        <v>2703</v>
      </c>
    </row>
    <row r="67" spans="2:22">
      <c r="B67" s="1" t="s">
        <v>71</v>
      </c>
      <c r="C67" s="1">
        <f>SUM(C39:C40,C44)</f>
        <v>1818</v>
      </c>
      <c r="D67" s="1">
        <f t="shared" ref="D67:J67" si="69">SUM(D39:D40,D44)</f>
        <v>2699</v>
      </c>
      <c r="E67" s="1">
        <f t="shared" si="69"/>
        <v>2468</v>
      </c>
      <c r="F67" s="1">
        <f t="shared" si="69"/>
        <v>2857</v>
      </c>
      <c r="G67" s="1">
        <f t="shared" si="69"/>
        <v>1781</v>
      </c>
      <c r="H67" s="1">
        <f t="shared" si="69"/>
        <v>2072</v>
      </c>
      <c r="I67" s="1">
        <f t="shared" si="69"/>
        <v>2621</v>
      </c>
      <c r="J67" s="1">
        <f t="shared" si="69"/>
        <v>3303</v>
      </c>
    </row>
    <row r="68" spans="2:22">
      <c r="B68" s="1" t="s">
        <v>72</v>
      </c>
      <c r="C68" s="1">
        <f>+C67-C66</f>
        <v>-3210</v>
      </c>
      <c r="D68" s="1">
        <f t="shared" ref="D68:I68" si="70">+D67-D66</f>
        <v>-2614</v>
      </c>
      <c r="E68" s="1">
        <f t="shared" si="70"/>
        <v>-3431</v>
      </c>
      <c r="F68" s="1">
        <f t="shared" si="70"/>
        <v>368</v>
      </c>
      <c r="G68" s="1">
        <f t="shared" si="70"/>
        <v>-2859</v>
      </c>
      <c r="H68" s="1">
        <f t="shared" si="70"/>
        <v>-2652</v>
      </c>
      <c r="I68" s="1">
        <f t="shared" si="70"/>
        <v>-3095</v>
      </c>
      <c r="J68" s="1">
        <f>+J67-J66</f>
        <v>600</v>
      </c>
    </row>
    <row r="69" spans="2:22">
      <c r="B69" s="1" t="s">
        <v>73</v>
      </c>
      <c r="C69" s="10">
        <f>+C68/Main!$F$5</f>
        <v>-4.6370731834157466</v>
      </c>
      <c r="D69" s="10">
        <f>+D68/Main!$F$5</f>
        <v>-3.7761088166507042</v>
      </c>
      <c r="E69" s="10">
        <f>+E68/Main!$F$5</f>
        <v>-4.9563233932396962</v>
      </c>
      <c r="F69" s="10">
        <f>+F68/Main!$F$5</f>
        <v>0.53160215934485811</v>
      </c>
      <c r="G69" s="10">
        <f>+G68/Main!$F$5</f>
        <v>-4.130028732518884</v>
      </c>
      <c r="H69" s="10">
        <f>+H68/Main!$F$5</f>
        <v>-3.8310025178874016</v>
      </c>
      <c r="I69" s="10">
        <f>+I68/Main!$F$5</f>
        <v>-4.470947508620478</v>
      </c>
      <c r="J69" s="10">
        <f>+J68/Main!$F$5</f>
        <v>0.866742651105747</v>
      </c>
    </row>
    <row r="70" spans="2:22">
      <c r="B70" s="1" t="s">
        <v>74</v>
      </c>
      <c r="C70" s="11">
        <f>+SUM(C39:C44) / SUM(C52:C56)</f>
        <v>1.3918826997203537</v>
      </c>
      <c r="D70" s="11">
        <f t="shared" ref="D70:J70" si="71">+SUM(D39:D44) / SUM(D52:D56)</f>
        <v>1.6711772665764546</v>
      </c>
      <c r="E70" s="11">
        <f t="shared" si="71"/>
        <v>1.5886161577116351</v>
      </c>
      <c r="F70" s="11">
        <f t="shared" si="71"/>
        <v>1.5731578441733116</v>
      </c>
      <c r="G70" s="11">
        <f t="shared" si="71"/>
        <v>1.5254147546770209</v>
      </c>
      <c r="H70" s="11">
        <f t="shared" si="71"/>
        <v>1.7281358203953983</v>
      </c>
      <c r="I70" s="11">
        <f t="shared" si="71"/>
        <v>1.5135264773599386</v>
      </c>
      <c r="J70" s="11">
        <f t="shared" si="71"/>
        <v>1.4664933564413634</v>
      </c>
    </row>
    <row r="71" spans="2:22">
      <c r="B71" s="1" t="s">
        <v>75</v>
      </c>
      <c r="C71" s="1">
        <f>+C61-SUM(C46:C47)</f>
        <v>4954</v>
      </c>
      <c r="D71" s="1">
        <f t="shared" ref="D71:J71" si="72">+D61-SUM(D46:D47)</f>
        <v>5696</v>
      </c>
      <c r="E71" s="1">
        <f t="shared" si="72"/>
        <v>4990</v>
      </c>
      <c r="F71" s="1">
        <f t="shared" si="72"/>
        <v>4806</v>
      </c>
      <c r="G71" s="1">
        <f t="shared" si="72"/>
        <v>4768</v>
      </c>
      <c r="H71" s="1">
        <f t="shared" si="72"/>
        <v>5451</v>
      </c>
      <c r="I71" s="1">
        <f t="shared" si="72"/>
        <v>5024</v>
      </c>
      <c r="J71" s="1">
        <f t="shared" si="72"/>
        <v>4505</v>
      </c>
    </row>
    <row r="72" spans="2:22">
      <c r="B72" s="1" t="s">
        <v>76</v>
      </c>
      <c r="C72" s="5">
        <f>+C66/C61</f>
        <v>0.19641392241884448</v>
      </c>
      <c r="D72" s="5">
        <f t="shared" ref="D72:J72" si="73">+D66/D61</f>
        <v>0.20263157894736841</v>
      </c>
      <c r="E72" s="5">
        <f t="shared" si="73"/>
        <v>0.23384603187187822</v>
      </c>
      <c r="F72" s="5">
        <f t="shared" si="73"/>
        <v>9.9412868953948158E-2</v>
      </c>
      <c r="G72" s="5">
        <f t="shared" si="73"/>
        <v>0.18734606532886502</v>
      </c>
      <c r="H72" s="5">
        <f t="shared" si="73"/>
        <v>0.18761666468088486</v>
      </c>
      <c r="I72" s="5">
        <f t="shared" si="73"/>
        <v>0.2310708655051138</v>
      </c>
      <c r="J72" s="5">
        <f t="shared" si="73"/>
        <v>0.11362394383958972</v>
      </c>
    </row>
    <row r="76" spans="2:22">
      <c r="B76" s="1" t="s">
        <v>67</v>
      </c>
      <c r="C76" s="1">
        <v>-2606</v>
      </c>
      <c r="D76" s="1">
        <f>+-2480-C76</f>
        <v>126</v>
      </c>
      <c r="E76" s="1">
        <f>+-2574-SUM(C76:D76)</f>
        <v>-94</v>
      </c>
      <c r="F76" s="1">
        <f>1809-SUM(C76:E76)</f>
        <v>4383</v>
      </c>
      <c r="G76" s="1">
        <v>-3302</v>
      </c>
      <c r="H76" s="1">
        <f>+-1999-G76</f>
        <v>1303</v>
      </c>
      <c r="I76" s="1">
        <f>+-1871-SUM(G76:H76)</f>
        <v>128</v>
      </c>
      <c r="J76" s="1">
        <f>2296-SUM(G76:I76)</f>
        <v>4167</v>
      </c>
      <c r="T76" s="1">
        <v>912</v>
      </c>
      <c r="U76" s="1">
        <v>1809</v>
      </c>
      <c r="V76" s="1">
        <v>2296</v>
      </c>
    </row>
    <row r="77" spans="2:22">
      <c r="B77" s="1" t="s">
        <v>68</v>
      </c>
      <c r="C77" s="1">
        <v>-151</v>
      </c>
      <c r="D77" s="1">
        <v>-250</v>
      </c>
      <c r="E77" s="1">
        <f>+-412-SUM(C77:D77)</f>
        <v>-11</v>
      </c>
      <c r="F77" s="1">
        <f>+-595-SUM(C77:E77)</f>
        <v>-183</v>
      </c>
      <c r="G77" s="1">
        <v>-148</v>
      </c>
      <c r="H77" s="1">
        <f>+-262</f>
        <v>-262</v>
      </c>
      <c r="I77" s="1">
        <f>+-416-SUM(G77:H77)</f>
        <v>-6</v>
      </c>
      <c r="J77" s="1">
        <f>+-597-SUM(G77:I77)</f>
        <v>-181</v>
      </c>
      <c r="T77" s="1">
        <v>-605</v>
      </c>
      <c r="U77" s="1">
        <v>-595</v>
      </c>
      <c r="V77" s="1">
        <v>-597</v>
      </c>
    </row>
    <row r="78" spans="2:22">
      <c r="B78" s="1" t="s">
        <v>69</v>
      </c>
      <c r="C78" s="1">
        <f t="shared" ref="C78:I78" si="74">+SUM(C76:C77)</f>
        <v>-2757</v>
      </c>
      <c r="D78" s="1">
        <f t="shared" si="74"/>
        <v>-124</v>
      </c>
      <c r="E78" s="1">
        <f t="shared" si="74"/>
        <v>-105</v>
      </c>
      <c r="F78" s="1">
        <f t="shared" si="74"/>
        <v>4200</v>
      </c>
      <c r="G78" s="1">
        <f t="shared" si="74"/>
        <v>-3450</v>
      </c>
      <c r="H78" s="1">
        <f t="shared" si="74"/>
        <v>1041</v>
      </c>
      <c r="I78" s="1">
        <f t="shared" si="74"/>
        <v>122</v>
      </c>
      <c r="J78" s="1">
        <f>+SUM(J76:J77)</f>
        <v>3986</v>
      </c>
      <c r="T78" s="1">
        <f>+SUM(T76:T77)</f>
        <v>307</v>
      </c>
      <c r="U78" s="1">
        <f>+SUM(U76:U77)</f>
        <v>1214</v>
      </c>
      <c r="V78" s="1">
        <f>+SUM(V76:V77)</f>
        <v>1699</v>
      </c>
    </row>
    <row r="80" spans="2:22">
      <c r="B80" s="1" t="s">
        <v>78</v>
      </c>
      <c r="F80" s="1">
        <f>SUM(C78:F78)</f>
        <v>1214</v>
      </c>
      <c r="G80" s="1">
        <f>SUM(D78:G78)</f>
        <v>521</v>
      </c>
      <c r="H80" s="1">
        <f>SUM(E78:H78)</f>
        <v>1686</v>
      </c>
      <c r="I80" s="1">
        <f>SUM(F78:I78)</f>
        <v>1913</v>
      </c>
      <c r="J80" s="1">
        <f>SUM(G78:J78)</f>
        <v>1699</v>
      </c>
    </row>
    <row r="81" spans="2:10">
      <c r="B81" s="1" t="s">
        <v>89</v>
      </c>
      <c r="F81" s="1">
        <f>+SUM(C21:F21)</f>
        <v>2872</v>
      </c>
      <c r="G81" s="1">
        <f>+SUM(D21:G21)</f>
        <v>2756</v>
      </c>
      <c r="H81" s="1">
        <f>+SUM(E21:H21)</f>
        <v>2906</v>
      </c>
      <c r="I81" s="1">
        <f>+SUM(F21:I21)</f>
        <v>2644</v>
      </c>
      <c r="J81" s="1">
        <f>+SUM(G21:J21)</f>
        <v>2756</v>
      </c>
    </row>
  </sheetData>
  <pageMargins left="0.7" right="0.7" top="0.75" bottom="0.75" header="0.3" footer="0.3"/>
  <ignoredErrors>
    <ignoredError sqref="U14:U16 U3:U11 U17:U18 U20:U21 I3:J30 C70:J70 C71:J71" formulaRange="1"/>
    <ignoredError sqref="U19" formula="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2024-12-11T06:10:27Z</dcterms:created>
  <dcterms:modified xsi:type="dcterms:W3CDTF">2025-04-27T16:28:32Z</dcterms:modified>
</cp:coreProperties>
</file>