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Gold/"/>
    </mc:Choice>
  </mc:AlternateContent>
  <xr:revisionPtr revIDLastSave="0" documentId="13_ncr:1_{DF758078-C666-0A4D-B9B8-6963B0542E1B}" xr6:coauthVersionLast="47" xr6:coauthVersionMax="47" xr10:uidLastSave="{00000000-0000-0000-0000-000000000000}"/>
  <bookViews>
    <workbookView xWindow="5100" yWindow="1960" windowWidth="34380" windowHeight="16940" activeTab="1" xr2:uid="{B9A410CB-2482-F641-8124-8AF11B41A915}"/>
  </bookViews>
  <sheets>
    <sheet name="Main" sheetId="1" r:id="rId1"/>
    <sheet name="Black For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O16" i="1" s="1"/>
  <c r="Q2" i="1"/>
  <c r="I32" i="1"/>
  <c r="I33" i="1" s="1"/>
  <c r="I34" i="1" s="1"/>
  <c r="G32" i="1"/>
  <c r="E32" i="1"/>
  <c r="E34" i="1" s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P6" i="1"/>
  <c r="P7" i="1" s="1"/>
  <c r="O5" i="1"/>
  <c r="O8" i="1" s="1"/>
  <c r="I35" i="1" l="1"/>
  <c r="O15" i="1"/>
</calcChain>
</file>

<file path=xl/sharedStrings.xml><?xml version="1.0" encoding="utf-8"?>
<sst xmlns="http://schemas.openxmlformats.org/spreadsheetml/2006/main" count="84" uniqueCount="71">
  <si>
    <t>P</t>
  </si>
  <si>
    <t>S</t>
  </si>
  <si>
    <t>MC</t>
  </si>
  <si>
    <t>C</t>
  </si>
  <si>
    <t>D</t>
  </si>
  <si>
    <t>EV</t>
  </si>
  <si>
    <t>Q324</t>
  </si>
  <si>
    <t>Mines</t>
  </si>
  <si>
    <t xml:space="preserve">Don David Gold Mine </t>
  </si>
  <si>
    <t>Location</t>
  </si>
  <si>
    <t>Oaxaca, MX</t>
  </si>
  <si>
    <t>Commenced</t>
  </si>
  <si>
    <t>Produces</t>
  </si>
  <si>
    <t>Dore</t>
  </si>
  <si>
    <t xml:space="preserve">Back Forty Project </t>
  </si>
  <si>
    <t xml:space="preserve">proposed hybrid open-pit followed by underground mining model </t>
  </si>
  <si>
    <t xml:space="preserve">included on-site processing facility and supporting infrastructure </t>
  </si>
  <si>
    <t xml:space="preserve">2001: discovered in  during the construction of a water well on the mrt property </t>
  </si>
  <si>
    <t xml:space="preserve">2002: initial drilling results; hole 108402: penetrated 37 meters of massive sulfides grading 9.1% zinc (zn) and 5.7 g/t gold (au). doscovery of eats zone </t>
  </si>
  <si>
    <t>2014 pre-lim economic assessmenet(pea): conducted by tetra tech for aquila resources (prev owner)</t>
  </si>
  <si>
    <t>2014 feasibility study: filed by aquila with p&amp;e mining consultants</t>
  </si>
  <si>
    <t xml:space="preserve">2020 updated pea: minor adjustments for timing </t>
  </si>
  <si>
    <t>2015: financing: orion mine finance agreement</t>
  </si>
  <si>
    <t>orion provided $20.75m in funding including:</t>
  </si>
  <si>
    <t>$17.25m for a silver stream (orion acquied 75% of the project's life of mine silver prod)</t>
  </si>
  <si>
    <t>2017: osisko gold royalties agreement</t>
  </si>
  <si>
    <t>osisko bermuda ltd (subsid of osisko) committed $65m</t>
  </si>
  <si>
    <t>$10m private placement</t>
  </si>
  <si>
    <t>$55m for a gold stream agreement</t>
  </si>
  <si>
    <t>osisko would purchase 18.5% of refined gold until 105k ounces were delivered then the percentage drops to 0.25%</t>
  </si>
  <si>
    <t>payment terms: osisko pays 30% of spot gold price (capped at $600/oz)</t>
  </si>
  <si>
    <t>2020 amendment: gold stream agreement reduced to $50m from $55m</t>
  </si>
  <si>
    <t>2021 acquisition: goro acquired aquila resources</t>
  </si>
  <si>
    <t>time of acq. aquila has received $20m of the committed funds from the gold stream agreement</t>
  </si>
  <si>
    <t xml:space="preserve">$17.2m has been advanced under the silver steam </t>
  </si>
  <si>
    <t>Ore Zones</t>
  </si>
  <si>
    <t xml:space="preserve">Zinc or Copper-Rich Maasive Sulfide </t>
  </si>
  <si>
    <t xml:space="preserve">Stockworth Stringer and Peripheral Sulfide </t>
  </si>
  <si>
    <t>Precious Metal-Only, Low Sulfide Mineralization</t>
  </si>
  <si>
    <t>Oxide0Rich, Previous Metal-Bearing Gossan</t>
  </si>
  <si>
    <t xml:space="preserve">Exploration Status </t>
  </si>
  <si>
    <t>between 2002-2019</t>
  </si>
  <si>
    <t>642 boreholes @ 124,580m drilled</t>
  </si>
  <si>
    <t>Calssification</t>
  </si>
  <si>
    <t>NSR cut-off ($/t)</t>
  </si>
  <si>
    <t>Tonnes(000s)</t>
  </si>
  <si>
    <t>AU (g/t)</t>
  </si>
  <si>
    <t>AU (Moz)</t>
  </si>
  <si>
    <t>Ag (Moz)</t>
  </si>
  <si>
    <t>Zn (%)</t>
  </si>
  <si>
    <t>Zn (Mbs)</t>
  </si>
  <si>
    <t>Cu (%)</t>
  </si>
  <si>
    <t>Cu (lbs)</t>
  </si>
  <si>
    <t xml:space="preserve">Open Pit </t>
  </si>
  <si>
    <t>Indicated</t>
  </si>
  <si>
    <t>Inferred</t>
  </si>
  <si>
    <t>Ag (g/t)</t>
  </si>
  <si>
    <t>UG Long Hole</t>
  </si>
  <si>
    <t>Total Indicated</t>
  </si>
  <si>
    <t>Total Inferred</t>
  </si>
  <si>
    <t>conversions</t>
  </si>
  <si>
    <t>Gold Price Per oz</t>
  </si>
  <si>
    <t>Silver Price Per oz</t>
  </si>
  <si>
    <t>1 gram  ---&gt; oz --&gt;</t>
  </si>
  <si>
    <t>1 tonne = 1 Kilo = 10 kg/tonne</t>
  </si>
  <si>
    <t>1 kilo -- 2.2046</t>
  </si>
  <si>
    <t>&lt;-- pounds</t>
  </si>
  <si>
    <t>1% metal content = 10kg/tonne = 22.046 lbs/tonne</t>
  </si>
  <si>
    <t xml:space="preserve">&lt;-- kg of zinc per tonne of ore </t>
  </si>
  <si>
    <t>&lt;-- tonnes of zinc per tonne of ore</t>
  </si>
  <si>
    <t xml:space="preserve">&lt;-- usd per tonne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</si>
</sst>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>
    <font>
      <sz val="10"/>
      <color theme="1"/>
      <name val="ArialMT"/>
      <family val="2"/>
    </font>
    <font>
      <sz val="10"/>
      <color theme="1"/>
      <name val="ArialMT"/>
      <family val="2"/>
    </font>
    <font>
      <sz val="10"/>
      <color theme="0"/>
      <name val="ArialMT"/>
      <family val="2"/>
    </font>
    <font>
      <u/>
      <sz val="10"/>
      <color theme="1"/>
      <name val="ArialMT"/>
      <family val="2"/>
    </font>
    <font>
      <b/>
      <u/>
      <sz val="10"/>
      <color theme="1"/>
      <name val="ArialMT"/>
    </font>
    <font>
      <b/>
      <sz val="10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3" fontId="0" fillId="0" borderId="0" xfId="0" applyNumberFormat="1"/>
    <xf numFmtId="4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left" indent="1"/>
    </xf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Alignment="1">
      <alignment horizontal="left"/>
    </xf>
    <xf numFmtId="3" fontId="5" fillId="0" borderId="0" xfId="0" applyNumberFormat="1" applyFont="1"/>
    <xf numFmtId="3" fontId="4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6" xfId="0" applyBorder="1"/>
    <xf numFmtId="3" fontId="0" fillId="0" borderId="7" xfId="0" applyNumberForma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4" borderId="2" xfId="0" applyFill="1" applyBorder="1"/>
    <xf numFmtId="3" fontId="0" fillId="4" borderId="3" xfId="0" applyNumberFormat="1" applyFill="1" applyBorder="1" applyAlignment="1">
      <alignment horizontal="center"/>
    </xf>
    <xf numFmtId="3" fontId="0" fillId="4" borderId="4" xfId="0" applyNumberFormat="1" applyFill="1" applyBorder="1" applyAlignment="1">
      <alignment horizontal="center"/>
    </xf>
    <xf numFmtId="0" fontId="0" fillId="4" borderId="6" xfId="0" applyFill="1" applyBorder="1"/>
    <xf numFmtId="3" fontId="0" fillId="4" borderId="7" xfId="0" applyNumberFormat="1" applyFill="1" applyBorder="1" applyAlignment="1">
      <alignment horizontal="center"/>
    </xf>
    <xf numFmtId="3" fontId="0" fillId="4" borderId="8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164" fontId="0" fillId="0" borderId="0" xfId="0" applyNumberFormat="1"/>
    <xf numFmtId="9" fontId="0" fillId="0" borderId="0" xfId="1" applyFo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181429</xdr:colOff>
      <xdr:row>39</xdr:row>
      <xdr:rowOff>9071</xdr:rowOff>
    </xdr:from>
    <xdr:to>
      <xdr:col>9</xdr:col>
      <xdr:colOff>234043</xdr:colOff>
      <xdr:row>64</xdr:row>
      <xdr:rowOff>27635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49B67-29CE-BAD6-FE23-F2D8C29C8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429" y="6486071"/>
          <a:ext cx="7772400" cy="4100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BE5A-0F14-7C4F-96E0-E0FE65A9F455}">
  <dimension ref="B2:Q38"/>
  <sheetViews>
    <sheetView showGridLines="0" zoomScale="140" workbookViewId="0">
      <selection activeCell="G5" sqref="G5"/>
    </sheetView>
  </sheetViews>
  <sheetFormatPr baseColWidth="10" defaultColWidth="18.1640625" defaultRowHeight="13"/>
  <cols>
    <col min="1" max="2" width="18.1640625" style="1"/>
    <col min="3" max="3" width="13.5" style="1" bestFit="1" customWidth="1"/>
    <col min="4" max="4" width="11.83203125" style="1" bestFit="1" customWidth="1"/>
    <col min="5" max="5" width="8.5" style="1" bestFit="1" customWidth="1"/>
    <col min="6" max="6" width="8.1640625" style="1" bestFit="1" customWidth="1"/>
    <col min="7" max="7" width="6.83203125" style="1" bestFit="1" customWidth="1"/>
    <col min="8" max="8" width="8" style="1" bestFit="1" customWidth="1"/>
    <col min="9" max="9" width="8.1640625" style="1" bestFit="1" customWidth="1"/>
    <col min="10" max="10" width="7.83203125" style="1" bestFit="1" customWidth="1"/>
    <col min="11" max="11" width="6.33203125" style="1" bestFit="1" customWidth="1"/>
    <col min="12" max="12" width="7" style="1" bestFit="1" customWidth="1"/>
    <col min="13" max="16384" width="18.1640625" style="1"/>
  </cols>
  <sheetData>
    <row r="2" spans="2:17">
      <c r="O2" s="1">
        <v>2.5</v>
      </c>
      <c r="Q2" s="31">
        <f>+O2/O3-1</f>
        <v>12.157894736842104</v>
      </c>
    </row>
    <row r="3" spans="2:17">
      <c r="N3" s="1" t="s">
        <v>0</v>
      </c>
      <c r="O3" s="2">
        <v>0.19</v>
      </c>
    </row>
    <row r="4" spans="2:17">
      <c r="B4" s="1" t="s">
        <v>7</v>
      </c>
      <c r="C4" s="1" t="s">
        <v>9</v>
      </c>
      <c r="D4" s="1" t="s">
        <v>11</v>
      </c>
      <c r="E4" s="1" t="s">
        <v>12</v>
      </c>
      <c r="N4" s="1" t="s">
        <v>1</v>
      </c>
      <c r="O4" s="1">
        <v>93.523027999999996</v>
      </c>
      <c r="P4" s="1" t="s">
        <v>6</v>
      </c>
    </row>
    <row r="5" spans="2:17">
      <c r="B5" s="1" t="s">
        <v>8</v>
      </c>
      <c r="C5" s="1" t="s">
        <v>10</v>
      </c>
      <c r="D5" s="3">
        <v>2010</v>
      </c>
      <c r="E5" s="1" t="s">
        <v>13</v>
      </c>
      <c r="N5" s="1" t="s">
        <v>2</v>
      </c>
      <c r="O5" s="1">
        <f>+O3*O4</f>
        <v>17.769375319999998</v>
      </c>
    </row>
    <row r="6" spans="2:17">
      <c r="N6" s="1" t="s">
        <v>3</v>
      </c>
      <c r="O6" s="1">
        <v>5.3419999999999996</v>
      </c>
      <c r="P6" s="1" t="str">
        <f>+P4</f>
        <v>Q324</v>
      </c>
    </row>
    <row r="7" spans="2:17">
      <c r="N7" s="1" t="s">
        <v>4</v>
      </c>
      <c r="O7" s="1">
        <v>0</v>
      </c>
      <c r="P7" s="1" t="str">
        <f>+P6</f>
        <v>Q324</v>
      </c>
    </row>
    <row r="8" spans="2:17">
      <c r="N8" s="1" t="s">
        <v>5</v>
      </c>
      <c r="O8" s="1">
        <f>+O5-O6+O7</f>
        <v>12.427375319999999</v>
      </c>
    </row>
    <row r="10" spans="2:17">
      <c r="B10" s="8" t="s">
        <v>60</v>
      </c>
    </row>
    <row r="11" spans="2:17">
      <c r="D11" s="1" t="s">
        <v>61</v>
      </c>
      <c r="E11" s="1">
        <v>2600</v>
      </c>
    </row>
    <row r="12" spans="2:17">
      <c r="B12" s="1" t="s">
        <v>63</v>
      </c>
      <c r="C12" s="28">
        <v>3.2149999999999998E-2</v>
      </c>
      <c r="D12" s="1" t="s">
        <v>62</v>
      </c>
      <c r="E12" s="1">
        <v>30</v>
      </c>
    </row>
    <row r="13" spans="2:17">
      <c r="C13" s="1">
        <v>22.045999999999999</v>
      </c>
      <c r="O13" s="1">
        <v>10000</v>
      </c>
    </row>
    <row r="14" spans="2:17">
      <c r="B14" s="1" t="s">
        <v>64</v>
      </c>
      <c r="O14" s="1">
        <f>+O13/O3</f>
        <v>52631.57894736842</v>
      </c>
    </row>
    <row r="15" spans="2:17" ht="14" thickBot="1">
      <c r="B15"/>
      <c r="C15"/>
      <c r="D15"/>
      <c r="E15"/>
      <c r="F15"/>
      <c r="G15"/>
      <c r="H15"/>
      <c r="I15"/>
      <c r="J15"/>
      <c r="K15"/>
      <c r="L15"/>
      <c r="O15" s="1">
        <f>+O14*O3</f>
        <v>10000</v>
      </c>
    </row>
    <row r="16" spans="2:17">
      <c r="B16" s="32" t="s">
        <v>53</v>
      </c>
      <c r="C16" s="33"/>
      <c r="D16" s="33"/>
      <c r="E16" s="33"/>
      <c r="F16" s="33"/>
      <c r="G16" s="33"/>
      <c r="H16" s="33"/>
      <c r="I16" s="33"/>
      <c r="J16" s="33"/>
      <c r="K16" s="33"/>
      <c r="L16" s="34"/>
      <c r="O16" s="1">
        <f>+O14*O2</f>
        <v>131578.94736842104</v>
      </c>
    </row>
    <row r="17" spans="2:12">
      <c r="B17" s="11" t="s">
        <v>43</v>
      </c>
      <c r="C17" s="12" t="s">
        <v>44</v>
      </c>
      <c r="D17" s="12" t="s">
        <v>45</v>
      </c>
      <c r="E17" s="12" t="s">
        <v>46</v>
      </c>
      <c r="F17" s="12" t="s">
        <v>47</v>
      </c>
      <c r="G17" s="12" t="s">
        <v>56</v>
      </c>
      <c r="H17" s="12" t="s">
        <v>48</v>
      </c>
      <c r="I17" s="12" t="s">
        <v>49</v>
      </c>
      <c r="J17" s="12" t="s">
        <v>50</v>
      </c>
      <c r="K17" s="12" t="s">
        <v>51</v>
      </c>
      <c r="L17" s="13" t="s">
        <v>52</v>
      </c>
    </row>
    <row r="18" spans="2:12">
      <c r="B18" s="14" t="s">
        <v>54</v>
      </c>
      <c r="C18" s="15">
        <v>33</v>
      </c>
      <c r="D18" s="15">
        <v>9360</v>
      </c>
      <c r="E18" s="16">
        <v>2.41</v>
      </c>
      <c r="F18" s="15">
        <v>725</v>
      </c>
      <c r="G18" s="15">
        <v>28.06</v>
      </c>
      <c r="H18" s="15">
        <v>8444</v>
      </c>
      <c r="I18" s="16">
        <v>3.74</v>
      </c>
      <c r="J18" s="15">
        <v>772</v>
      </c>
      <c r="K18" s="16">
        <v>0.36</v>
      </c>
      <c r="L18" s="17">
        <v>74</v>
      </c>
    </row>
    <row r="19" spans="2:12" ht="14" thickBot="1">
      <c r="B19" s="18" t="s">
        <v>55</v>
      </c>
      <c r="C19" s="19">
        <v>33</v>
      </c>
      <c r="D19" s="19">
        <v>5666</v>
      </c>
      <c r="E19" s="20">
        <v>2.7</v>
      </c>
      <c r="F19" s="19">
        <v>49</v>
      </c>
      <c r="G19" s="19">
        <v>48.84</v>
      </c>
      <c r="H19" s="19">
        <v>889</v>
      </c>
      <c r="I19" s="20">
        <v>1.31</v>
      </c>
      <c r="J19" s="19">
        <v>16</v>
      </c>
      <c r="K19" s="20">
        <v>0.35</v>
      </c>
      <c r="L19" s="21">
        <v>4</v>
      </c>
    </row>
    <row r="20" spans="2:12">
      <c r="B20"/>
      <c r="C20"/>
      <c r="D20"/>
      <c r="E20"/>
      <c r="F20"/>
      <c r="G20"/>
      <c r="H20"/>
      <c r="I20"/>
      <c r="J20"/>
      <c r="K20"/>
      <c r="L20"/>
    </row>
    <row r="21" spans="2:12" ht="14" thickBot="1">
      <c r="B21"/>
      <c r="C21"/>
      <c r="D21"/>
      <c r="E21"/>
      <c r="F21"/>
      <c r="G21"/>
      <c r="H21"/>
      <c r="I21"/>
      <c r="J21"/>
      <c r="K21"/>
      <c r="L21"/>
    </row>
    <row r="22" spans="2:12">
      <c r="B22" s="32" t="s">
        <v>57</v>
      </c>
      <c r="C22" s="33"/>
      <c r="D22" s="33"/>
      <c r="E22" s="33"/>
      <c r="F22" s="33"/>
      <c r="G22" s="33"/>
      <c r="H22" s="33"/>
      <c r="I22" s="33"/>
      <c r="J22" s="33"/>
      <c r="K22" s="33"/>
      <c r="L22" s="34"/>
    </row>
    <row r="23" spans="2:12">
      <c r="B23" s="11" t="s">
        <v>43</v>
      </c>
      <c r="C23" s="12" t="s">
        <v>44</v>
      </c>
      <c r="D23" s="12" t="s">
        <v>45</v>
      </c>
      <c r="E23" s="12" t="s">
        <v>46</v>
      </c>
      <c r="F23" s="12" t="s">
        <v>47</v>
      </c>
      <c r="G23" s="12" t="s">
        <v>56</v>
      </c>
      <c r="H23" s="12" t="s">
        <v>48</v>
      </c>
      <c r="I23" s="12" t="s">
        <v>49</v>
      </c>
      <c r="J23" s="12" t="s">
        <v>50</v>
      </c>
      <c r="K23" s="12" t="s">
        <v>51</v>
      </c>
      <c r="L23" s="13" t="s">
        <v>52</v>
      </c>
    </row>
    <row r="24" spans="2:12">
      <c r="B24" s="14" t="s">
        <v>54</v>
      </c>
      <c r="C24" s="15">
        <v>73</v>
      </c>
      <c r="D24" s="15">
        <v>5137</v>
      </c>
      <c r="E24" s="16">
        <v>1.86</v>
      </c>
      <c r="F24" s="15">
        <v>306</v>
      </c>
      <c r="G24" s="15">
        <v>24.05</v>
      </c>
      <c r="H24" s="15">
        <v>3972</v>
      </c>
      <c r="I24" s="16">
        <v>2.65</v>
      </c>
      <c r="J24" s="15">
        <v>300</v>
      </c>
      <c r="K24" s="16">
        <v>0.41</v>
      </c>
      <c r="L24" s="17">
        <v>47</v>
      </c>
    </row>
    <row r="25" spans="2:12" ht="14" thickBot="1">
      <c r="B25" s="18" t="s">
        <v>55</v>
      </c>
      <c r="C25" s="19">
        <v>73</v>
      </c>
      <c r="D25" s="19">
        <v>627</v>
      </c>
      <c r="E25" s="20">
        <v>2</v>
      </c>
      <c r="F25" s="19">
        <v>40</v>
      </c>
      <c r="G25" s="19">
        <v>26.1</v>
      </c>
      <c r="H25" s="19">
        <v>526</v>
      </c>
      <c r="I25" s="20">
        <v>2.89</v>
      </c>
      <c r="J25" s="19">
        <v>40</v>
      </c>
      <c r="K25" s="20">
        <v>0.37</v>
      </c>
      <c r="L25" s="21">
        <v>5</v>
      </c>
    </row>
    <row r="26" spans="2:12" ht="14" thickBot="1">
      <c r="B26"/>
      <c r="C26"/>
      <c r="D26"/>
      <c r="E26"/>
      <c r="F26"/>
      <c r="G26"/>
      <c r="H26"/>
      <c r="I26"/>
      <c r="J26"/>
      <c r="K26"/>
      <c r="L26"/>
    </row>
    <row r="27" spans="2:12">
      <c r="B27" s="22" t="s">
        <v>58</v>
      </c>
      <c r="C27" s="23">
        <f t="shared" ref="C27:L27" si="0">SUM(C18,C24)</f>
        <v>106</v>
      </c>
      <c r="D27" s="23">
        <f t="shared" si="0"/>
        <v>14497</v>
      </c>
      <c r="E27" s="23">
        <f t="shared" si="0"/>
        <v>4.2700000000000005</v>
      </c>
      <c r="F27" s="23">
        <f t="shared" si="0"/>
        <v>1031</v>
      </c>
      <c r="G27" s="23">
        <f t="shared" si="0"/>
        <v>52.11</v>
      </c>
      <c r="H27" s="23">
        <f t="shared" si="0"/>
        <v>12416</v>
      </c>
      <c r="I27" s="23">
        <f t="shared" si="0"/>
        <v>6.3900000000000006</v>
      </c>
      <c r="J27" s="23">
        <f t="shared" si="0"/>
        <v>1072</v>
      </c>
      <c r="K27" s="23">
        <f t="shared" si="0"/>
        <v>0.77</v>
      </c>
      <c r="L27" s="24">
        <f t="shared" si="0"/>
        <v>121</v>
      </c>
    </row>
    <row r="28" spans="2:12" ht="14" thickBot="1">
      <c r="B28" s="25" t="s">
        <v>59</v>
      </c>
      <c r="C28" s="26">
        <f t="shared" ref="C28:L28" si="1">SUM(C19,C25)</f>
        <v>106</v>
      </c>
      <c r="D28" s="26">
        <f t="shared" si="1"/>
        <v>6293</v>
      </c>
      <c r="E28" s="26">
        <f t="shared" si="1"/>
        <v>4.7</v>
      </c>
      <c r="F28" s="26">
        <f t="shared" si="1"/>
        <v>89</v>
      </c>
      <c r="G28" s="26">
        <f t="shared" si="1"/>
        <v>74.94</v>
      </c>
      <c r="H28" s="26">
        <f t="shared" si="1"/>
        <v>1415</v>
      </c>
      <c r="I28" s="26">
        <f t="shared" si="1"/>
        <v>4.2</v>
      </c>
      <c r="J28" s="26">
        <f t="shared" si="1"/>
        <v>56</v>
      </c>
      <c r="K28" s="26">
        <f t="shared" si="1"/>
        <v>0.72</v>
      </c>
      <c r="L28" s="27">
        <f t="shared" si="1"/>
        <v>9</v>
      </c>
    </row>
    <row r="29" spans="2:12">
      <c r="B29"/>
      <c r="C29"/>
      <c r="D29"/>
      <c r="E29"/>
      <c r="F29"/>
      <c r="G29"/>
      <c r="H29"/>
      <c r="I29"/>
      <c r="J29"/>
      <c r="K29"/>
      <c r="L29"/>
    </row>
    <row r="30" spans="2:12">
      <c r="B30"/>
      <c r="C30"/>
      <c r="D30"/>
      <c r="E30"/>
      <c r="F30"/>
      <c r="G30"/>
      <c r="H30"/>
      <c r="I30"/>
      <c r="J30"/>
      <c r="K30"/>
      <c r="L30"/>
    </row>
    <row r="31" spans="2:12">
      <c r="B31"/>
      <c r="D31"/>
      <c r="E31"/>
      <c r="F31"/>
      <c r="G31"/>
      <c r="H31"/>
      <c r="I31"/>
      <c r="J31"/>
      <c r="K31"/>
      <c r="L31"/>
    </row>
    <row r="32" spans="2:12">
      <c r="E32" s="29">
        <f>+(E18*$C$12) * $E$11</f>
        <v>201.45189999999999</v>
      </c>
      <c r="G32" s="1">
        <f>+(G18*$C$12) * $E$12</f>
        <v>27.063869999999998</v>
      </c>
      <c r="I32" s="2">
        <f>((I18/100)*1000)</f>
        <v>37.400000000000006</v>
      </c>
      <c r="J32" s="1" t="s">
        <v>68</v>
      </c>
    </row>
    <row r="33" spans="5:10">
      <c r="I33" s="30">
        <f>+I32/1000</f>
        <v>3.7400000000000003E-2</v>
      </c>
      <c r="J33" s="1" t="s">
        <v>69</v>
      </c>
    </row>
    <row r="34" spans="5:10">
      <c r="E34" s="1">
        <f>+E32+G32+I34</f>
        <v>309.58026999999998</v>
      </c>
      <c r="I34" s="1">
        <f>+(I33*3000) *0.85 * 0.85</f>
        <v>81.064499999999995</v>
      </c>
      <c r="J34" s="1" t="s">
        <v>70</v>
      </c>
    </row>
    <row r="35" spans="5:10">
      <c r="I35" s="1">
        <f>+I32*2.2046</f>
        <v>82.452040000000011</v>
      </c>
      <c r="J35" s="30" t="s">
        <v>66</v>
      </c>
    </row>
    <row r="36" spans="5:10">
      <c r="I36" s="1" t="s">
        <v>65</v>
      </c>
    </row>
    <row r="38" spans="5:10">
      <c r="I38" s="1" t="s">
        <v>67</v>
      </c>
    </row>
  </sheetData>
  <mergeCells count="2">
    <mergeCell ref="B16:L16"/>
    <mergeCell ref="B22:L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92BC-6CB8-174D-9931-A4751F41721E}">
  <dimension ref="B3:M40"/>
  <sheetViews>
    <sheetView showGridLines="0" tabSelected="1" zoomScale="150" workbookViewId="0">
      <selection activeCell="J12" sqref="J12"/>
    </sheetView>
  </sheetViews>
  <sheetFormatPr baseColWidth="10" defaultRowHeight="13"/>
  <cols>
    <col min="13" max="13" width="12.5" bestFit="1" customWidth="1"/>
    <col min="14" max="14" width="11.1640625" bestFit="1" customWidth="1"/>
    <col min="15" max="15" width="13.5" bestFit="1" customWidth="1"/>
    <col min="16" max="16" width="11.83203125" bestFit="1" customWidth="1"/>
    <col min="17" max="17" width="14.83203125" customWidth="1"/>
    <col min="18" max="23" width="10.83203125" customWidth="1"/>
  </cols>
  <sheetData>
    <row r="3" spans="2:13">
      <c r="B3" s="6" t="s">
        <v>14</v>
      </c>
    </row>
    <row r="4" spans="2:13">
      <c r="B4" s="1" t="s">
        <v>17</v>
      </c>
      <c r="M4" s="10"/>
    </row>
    <row r="5" spans="2:13">
      <c r="B5" s="1" t="s">
        <v>18</v>
      </c>
    </row>
    <row r="6" spans="2:13">
      <c r="B6" s="1" t="s">
        <v>19</v>
      </c>
    </row>
    <row r="7" spans="2:13">
      <c r="B7" s="4" t="s">
        <v>15</v>
      </c>
    </row>
    <row r="8" spans="2:13">
      <c r="B8" s="1" t="s">
        <v>16</v>
      </c>
    </row>
    <row r="9" spans="2:13">
      <c r="B9" s="1" t="s">
        <v>20</v>
      </c>
    </row>
    <row r="10" spans="2:13">
      <c r="B10" s="1" t="s">
        <v>21</v>
      </c>
    </row>
    <row r="11" spans="2:13">
      <c r="B11" s="1" t="s">
        <v>22</v>
      </c>
    </row>
    <row r="12" spans="2:13">
      <c r="B12" s="4" t="s">
        <v>23</v>
      </c>
    </row>
    <row r="13" spans="2:13">
      <c r="B13" s="4" t="s">
        <v>24</v>
      </c>
    </row>
    <row r="14" spans="2:13">
      <c r="B14" s="1" t="s">
        <v>25</v>
      </c>
    </row>
    <row r="15" spans="2:13">
      <c r="B15" s="1" t="s">
        <v>26</v>
      </c>
    </row>
    <row r="16" spans="2:13">
      <c r="B16" s="4" t="s">
        <v>27</v>
      </c>
    </row>
    <row r="17" spans="2:2">
      <c r="B17" s="4" t="s">
        <v>28</v>
      </c>
    </row>
    <row r="18" spans="2:2">
      <c r="B18" s="4" t="s">
        <v>29</v>
      </c>
    </row>
    <row r="19" spans="2:2">
      <c r="B19" s="7" t="s">
        <v>30</v>
      </c>
    </row>
    <row r="20" spans="2:2">
      <c r="B20" s="1" t="s">
        <v>31</v>
      </c>
    </row>
    <row r="21" spans="2:2">
      <c r="B21" s="1" t="s">
        <v>32</v>
      </c>
    </row>
    <row r="22" spans="2:2">
      <c r="B22" s="4" t="s">
        <v>33</v>
      </c>
    </row>
    <row r="23" spans="2:2">
      <c r="B23" s="4" t="s">
        <v>34</v>
      </c>
    </row>
    <row r="24" spans="2:2">
      <c r="B24" s="1"/>
    </row>
    <row r="25" spans="2:2">
      <c r="B25" s="9" t="s">
        <v>35</v>
      </c>
    </row>
    <row r="26" spans="2:2">
      <c r="B26" s="1" t="s">
        <v>36</v>
      </c>
    </row>
    <row r="27" spans="2:2">
      <c r="B27" s="1" t="s">
        <v>37</v>
      </c>
    </row>
    <row r="28" spans="2:2">
      <c r="B28" s="1" t="s">
        <v>38</v>
      </c>
    </row>
    <row r="29" spans="2:2">
      <c r="B29" s="1" t="s">
        <v>39</v>
      </c>
    </row>
    <row r="30" spans="2:2">
      <c r="B30" s="1"/>
    </row>
    <row r="31" spans="2:2">
      <c r="B31" s="1"/>
    </row>
    <row r="32" spans="2:2">
      <c r="B32" s="5" t="s">
        <v>40</v>
      </c>
    </row>
    <row r="33" spans="2:2">
      <c r="B33" s="1" t="s">
        <v>41</v>
      </c>
    </row>
    <row r="34" spans="2:2">
      <c r="B34" s="1" t="s">
        <v>42</v>
      </c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Black Forty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2024-12-05T06:25:08Z</dcterms:created>
  <dcterms:modified xsi:type="dcterms:W3CDTF">2025-01-15T15:38:17Z</dcterms:modified>
</cp:coreProperties>
</file>