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Gold/"/>
    </mc:Choice>
  </mc:AlternateContent>
  <xr:revisionPtr revIDLastSave="0" documentId="13_ncr:1_{70484A2E-EC47-C94E-A782-7238FA2CE963}" xr6:coauthVersionLast="47" xr6:coauthVersionMax="47" xr10:uidLastSave="{00000000-0000-0000-0000-000000000000}"/>
  <bookViews>
    <workbookView xWindow="20240" yWindow="520" windowWidth="29300" windowHeight="27980" xr2:uid="{C22C8D43-EFC6-FF4E-A03B-82406D6DB204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H7" i="1"/>
  <c r="H23" i="2"/>
  <c r="G23" i="2"/>
  <c r="F23" i="2"/>
  <c r="I23" i="2"/>
  <c r="F22" i="2"/>
  <c r="G22" i="2"/>
  <c r="H22" i="2"/>
  <c r="I22" i="2"/>
  <c r="F19" i="2"/>
  <c r="F20" i="2" s="1"/>
  <c r="F18" i="2"/>
  <c r="U20" i="2"/>
  <c r="U19" i="2"/>
  <c r="C19" i="2"/>
  <c r="G19" i="2"/>
  <c r="D19" i="2"/>
  <c r="E19" i="2" s="1"/>
  <c r="D18" i="2"/>
  <c r="H19" i="2"/>
  <c r="I19" i="2" s="1"/>
  <c r="H18" i="2"/>
  <c r="H20" i="2" s="1"/>
  <c r="G20" i="2"/>
  <c r="C20" i="2"/>
  <c r="E18" i="2"/>
  <c r="AG23" i="2"/>
  <c r="AG21" i="2"/>
  <c r="AG1" i="2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V11" i="2"/>
  <c r="J11" i="2"/>
  <c r="J3" i="2"/>
  <c r="J9" i="2" s="1"/>
  <c r="V9" i="2" s="1"/>
  <c r="H14" i="2"/>
  <c r="G14" i="2"/>
  <c r="I14" i="2"/>
  <c r="F11" i="2"/>
  <c r="F9" i="2"/>
  <c r="F8" i="2"/>
  <c r="F7" i="2"/>
  <c r="F6" i="2"/>
  <c r="F4" i="2"/>
  <c r="F3" i="2"/>
  <c r="U14" i="2"/>
  <c r="T5" i="2"/>
  <c r="T10" i="2" s="1"/>
  <c r="U5" i="2"/>
  <c r="U10" i="2" s="1"/>
  <c r="U12" i="2" s="1"/>
  <c r="F12" i="2" s="1"/>
  <c r="C5" i="2"/>
  <c r="C10" i="2" s="1"/>
  <c r="C12" i="2" s="1"/>
  <c r="G5" i="2"/>
  <c r="G10" i="2" s="1"/>
  <c r="D5" i="2"/>
  <c r="D10" i="2" s="1"/>
  <c r="D12" i="2" s="1"/>
  <c r="H5" i="2"/>
  <c r="H10" i="2"/>
  <c r="H12" i="2" s="1"/>
  <c r="E5" i="2"/>
  <c r="E10" i="2" s="1"/>
  <c r="E12" i="2" s="1"/>
  <c r="I12" i="2"/>
  <c r="I10" i="2"/>
  <c r="I5" i="2"/>
  <c r="N2" i="2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G8" i="1"/>
  <c r="G7" i="1"/>
  <c r="AG19" i="2" s="1"/>
  <c r="G6" i="1"/>
  <c r="G9" i="1" s="1"/>
  <c r="D20" i="2" l="1"/>
  <c r="E20" i="2"/>
  <c r="I18" i="2"/>
  <c r="I20" i="2" s="1"/>
  <c r="J4" i="2"/>
  <c r="V4" i="2" s="1"/>
  <c r="F10" i="2"/>
  <c r="J5" i="2"/>
  <c r="J14" i="2"/>
  <c r="J6" i="2"/>
  <c r="V6" i="2" s="1"/>
  <c r="V3" i="2"/>
  <c r="J7" i="2"/>
  <c r="V7" i="2" s="1"/>
  <c r="F5" i="2"/>
  <c r="J8" i="2"/>
  <c r="V8" i="2" s="1"/>
  <c r="T12" i="2"/>
  <c r="G12" i="2"/>
  <c r="W3" i="2" l="1"/>
  <c r="V14" i="2"/>
  <c r="J10" i="2"/>
  <c r="V5" i="2"/>
  <c r="J12" i="2" l="1"/>
  <c r="V12" i="2" s="1"/>
  <c r="V10" i="2"/>
  <c r="X3" i="2"/>
  <c r="W7" i="2"/>
  <c r="W6" i="2"/>
  <c r="W4" i="2"/>
  <c r="W5" i="2" s="1"/>
  <c r="W10" i="2" s="1"/>
  <c r="W12" i="2" s="1"/>
  <c r="W14" i="2"/>
  <c r="W9" i="2"/>
  <c r="W8" i="2"/>
  <c r="Y3" i="2" l="1"/>
  <c r="X9" i="2"/>
  <c r="Y9" i="2" s="1"/>
  <c r="X8" i="2"/>
  <c r="Y8" i="2" s="1"/>
  <c r="X7" i="2"/>
  <c r="Y7" i="2" s="1"/>
  <c r="X14" i="2"/>
  <c r="X6" i="2"/>
  <c r="Y6" i="2" s="1"/>
  <c r="X4" i="2"/>
  <c r="X5" i="2" s="1"/>
  <c r="X10" i="2" s="1"/>
  <c r="X12" i="2" s="1"/>
  <c r="Z3" i="2" l="1"/>
  <c r="Y14" i="2"/>
  <c r="Y4" i="2"/>
  <c r="Y5" i="2"/>
  <c r="Y10" i="2" s="1"/>
  <c r="Y12" i="2" s="1"/>
  <c r="AA3" i="2" l="1"/>
  <c r="Z14" i="2"/>
  <c r="Z4" i="2"/>
  <c r="Z5" i="2"/>
  <c r="Z9" i="2"/>
  <c r="AA9" i="2" s="1"/>
  <c r="Z8" i="2"/>
  <c r="AA8" i="2" s="1"/>
  <c r="Z6" i="2"/>
  <c r="AA6" i="2" s="1"/>
  <c r="Z7" i="2"/>
  <c r="AB3" i="2" l="1"/>
  <c r="AA14" i="2"/>
  <c r="AA4" i="2"/>
  <c r="AA5" i="2"/>
  <c r="AA10" i="2" s="1"/>
  <c r="AA12" i="2" s="1"/>
  <c r="AB8" i="2"/>
  <c r="Z10" i="2"/>
  <c r="Z12" i="2" s="1"/>
  <c r="AA7" i="2"/>
  <c r="AC3" i="2" l="1"/>
  <c r="AB14" i="2"/>
  <c r="AB4" i="2"/>
  <c r="AB5" i="2"/>
  <c r="AB9" i="2"/>
  <c r="AC9" i="2" s="1"/>
  <c r="AB7" i="2"/>
  <c r="AC7" i="2" s="1"/>
  <c r="AB6" i="2"/>
  <c r="AC6" i="2" s="1"/>
  <c r="AB10" i="2" l="1"/>
  <c r="AB12" i="2" s="1"/>
  <c r="AD3" i="2"/>
  <c r="AC14" i="2"/>
  <c r="AC4" i="2"/>
  <c r="AC5" i="2"/>
  <c r="AC10" i="2" s="1"/>
  <c r="AC12" i="2" s="1"/>
  <c r="AC8" i="2"/>
  <c r="AD8" i="2" s="1"/>
  <c r="AD9" i="2"/>
  <c r="AE3" i="2" l="1"/>
  <c r="AD14" i="2"/>
  <c r="AD4" i="2"/>
  <c r="AD5" i="2"/>
  <c r="AD6" i="2"/>
  <c r="AE6" i="2" s="1"/>
  <c r="AD7" i="2"/>
  <c r="AE7" i="2" s="1"/>
  <c r="AD10" i="2" l="1"/>
  <c r="AD12" i="2" s="1"/>
  <c r="AE14" i="2"/>
  <c r="AE4" i="2"/>
  <c r="AE5" i="2" s="1"/>
  <c r="AE8" i="2"/>
  <c r="AE9" i="2"/>
  <c r="AE10" i="2" l="1"/>
  <c r="AE12" i="2" s="1"/>
  <c r="AF12" i="2" s="1"/>
  <c r="AG12" i="2" s="1"/>
  <c r="AH12" i="2" s="1"/>
  <c r="AI12" i="2" s="1"/>
  <c r="AJ12" i="2" s="1"/>
  <c r="AK12" i="2" s="1"/>
  <c r="AL12" i="2" s="1"/>
  <c r="AM12" i="2" s="1"/>
  <c r="AN12" i="2" s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Y12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BJ12" i="2" s="1"/>
  <c r="BK12" i="2" s="1"/>
  <c r="BL12" i="2" s="1"/>
  <c r="BM12" i="2" s="1"/>
  <c r="BN12" i="2" s="1"/>
  <c r="BO12" i="2" s="1"/>
  <c r="BP12" i="2" s="1"/>
  <c r="BQ12" i="2" s="1"/>
  <c r="BR12" i="2" s="1"/>
  <c r="BS12" i="2" s="1"/>
  <c r="BT12" i="2" s="1"/>
  <c r="BU12" i="2" s="1"/>
  <c r="BV12" i="2" s="1"/>
  <c r="BW12" i="2" s="1"/>
  <c r="BX12" i="2" s="1"/>
  <c r="BY12" i="2" s="1"/>
  <c r="BZ12" i="2" s="1"/>
  <c r="CA12" i="2" s="1"/>
  <c r="CB12" i="2" s="1"/>
  <c r="CC12" i="2" s="1"/>
  <c r="AG18" i="2" s="1"/>
  <c r="AG20" i="2" s="1"/>
  <c r="AG22" i="2" s="1"/>
</calcChain>
</file>

<file path=xl/sharedStrings.xml><?xml version="1.0" encoding="utf-8"?>
<sst xmlns="http://schemas.openxmlformats.org/spreadsheetml/2006/main" count="49" uniqueCount="47">
  <si>
    <t>P</t>
  </si>
  <si>
    <t>S</t>
  </si>
  <si>
    <t>MC</t>
  </si>
  <si>
    <t>C</t>
  </si>
  <si>
    <t>D</t>
  </si>
  <si>
    <t>EV</t>
  </si>
  <si>
    <t xml:space="preserve">Ownership </t>
  </si>
  <si>
    <t>Projects</t>
  </si>
  <si>
    <t xml:space="preserve">Mineral Hill </t>
  </si>
  <si>
    <t>Gold Chest Mine</t>
  </si>
  <si>
    <t>Q123</t>
  </si>
  <si>
    <t>Q223</t>
  </si>
  <si>
    <t>Q323</t>
  </si>
  <si>
    <t>Q423</t>
  </si>
  <si>
    <t>TR</t>
  </si>
  <si>
    <t xml:space="preserve">Gross Profit </t>
  </si>
  <si>
    <t>Exploration</t>
  </si>
  <si>
    <t>Management</t>
  </si>
  <si>
    <t>Prof Serv.</t>
  </si>
  <si>
    <t>G&amp;A</t>
  </si>
  <si>
    <t>Operating Income</t>
  </si>
  <si>
    <t xml:space="preserve">Other Income </t>
  </si>
  <si>
    <t>Net Income</t>
  </si>
  <si>
    <t>Q124</t>
  </si>
  <si>
    <t>Q224</t>
  </si>
  <si>
    <t>Q324</t>
  </si>
  <si>
    <t>Q424</t>
  </si>
  <si>
    <t>Gold Mines</t>
  </si>
  <si>
    <t xml:space="preserve">New Jersey Mill </t>
  </si>
  <si>
    <t>majority interest</t>
  </si>
  <si>
    <t>Eastern Star explorartion</t>
  </si>
  <si>
    <t>R Y/Y</t>
  </si>
  <si>
    <t xml:space="preserve">Terminal </t>
  </si>
  <si>
    <t>Discount</t>
  </si>
  <si>
    <t>NPV</t>
  </si>
  <si>
    <t>Net Cash</t>
  </si>
  <si>
    <t xml:space="preserve">Total Value </t>
  </si>
  <si>
    <t>Shares</t>
  </si>
  <si>
    <t>Estimate</t>
  </si>
  <si>
    <t>Current</t>
  </si>
  <si>
    <t xml:space="preserve">CFFO </t>
  </si>
  <si>
    <t>Capex</t>
  </si>
  <si>
    <t xml:space="preserve">Free Cash Flow </t>
  </si>
  <si>
    <t>4Q FCF</t>
  </si>
  <si>
    <t>4Q NI</t>
  </si>
  <si>
    <t>PR</t>
  </si>
  <si>
    <t>Letter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</si>
</sst>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>
    <font>
      <sz val="10"/>
      <color theme="1"/>
      <name val="ArialMT"/>
      <family val="2"/>
    </font>
    <font>
      <u/>
      <sz val="10"/>
      <color theme="1"/>
      <name val="ArialMT"/>
      <family val="2"/>
    </font>
    <font>
      <b/>
      <sz val="10"/>
      <color theme="1"/>
      <name val="Arial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4" fontId="0" fillId="0" borderId="0" xfId="0" applyNumberFormat="1"/>
    <xf numFmtId="9" fontId="0" fillId="0" borderId="0" xfId="0" applyNumberFormat="1"/>
    <xf numFmtId="3" fontId="1" fillId="0" borderId="0" xfId="0" applyNumberFormat="1" applyFont="1"/>
    <xf numFmtId="3" fontId="2" fillId="0" borderId="0" xfId="0" applyNumberFormat="1" applyFont="1"/>
    <xf numFmtId="9" fontId="2" fillId="0" borderId="0" xfId="0" applyNumberFormat="1" applyFont="1"/>
    <xf numFmtId="10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501650</xdr:colOff>
      <xdr:row>0</xdr:row>
      <xdr:rowOff>31750</xdr:rowOff>
    </xdr:from>
    <xdr:to>
      <xdr:col>21</xdr:col>
      <xdr:colOff>6350</xdr:colOff>
      <xdr:row>37</xdr:row>
      <xdr:rowOff>107950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262FC05-FA1D-DB6D-659C-270CA51C15E2}"/>
            </a:ext>
          </a:extLst>
        </xdr:cNvPr>
        <xdr:cNvCxnSpPr/>
      </xdr:nvCxnSpPr>
      <xdr:spPr>
        <a:xfrm flipH="1">
          <a:off x="10293350" y="31750"/>
          <a:ext cx="12700" cy="61849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</xdr:colOff>
      <xdr:row>0</xdr:row>
      <xdr:rowOff>6350</xdr:rowOff>
    </xdr:from>
    <xdr:to>
      <xdr:col>9</xdr:col>
      <xdr:colOff>19050</xdr:colOff>
      <xdr:row>37</xdr:row>
      <xdr:rowOff>82550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377CE01-726E-3E49-B504-3F3893FDC72A}"/>
            </a:ext>
          </a:extLst>
        </xdr:cNvPr>
        <xdr:cNvCxnSpPr/>
      </xdr:nvCxnSpPr>
      <xdr:spPr>
        <a:xfrm flipH="1">
          <a:off x="4273550" y="6350"/>
          <a:ext cx="12700" cy="61849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A4FBE-F73F-7142-9A6C-2DD4C476E25A}">
  <dimension ref="B4:H25"/>
  <sheetViews>
    <sheetView tabSelected="1" zoomScale="185" workbookViewId="0">
      <selection activeCell="G4" sqref="G4"/>
    </sheetView>
  </sheetViews>
  <sheetFormatPr baseColWidth="10" defaultRowHeight="13"/>
  <cols>
    <col min="1" max="3" width="10.83203125" style="1"/>
    <col min="4" max="4" width="9.83203125" style="1" bestFit="1" customWidth="1"/>
    <col min="5" max="5" width="10.83203125" style="1"/>
    <col min="6" max="6" width="3.6640625" style="1" bestFit="1" customWidth="1"/>
    <col min="7" max="7" width="5.6640625" style="1" bestFit="1" customWidth="1"/>
    <col min="8" max="8" width="5.5" style="1" bestFit="1" customWidth="1"/>
    <col min="9" max="16384" width="10.83203125" style="1"/>
  </cols>
  <sheetData>
    <row r="4" spans="3:8">
      <c r="F4" s="1" t="s">
        <v>0</v>
      </c>
      <c r="G4" s="2">
        <v>10.47</v>
      </c>
    </row>
    <row r="5" spans="3:8">
      <c r="F5" s="1" t="s">
        <v>1</v>
      </c>
      <c r="G5" s="1">
        <v>13.661139</v>
      </c>
      <c r="H5" s="1" t="s">
        <v>25</v>
      </c>
    </row>
    <row r="6" spans="3:8">
      <c r="F6" s="1" t="s">
        <v>2</v>
      </c>
      <c r="G6" s="1">
        <f>+G4*G5</f>
        <v>143.03212533000001</v>
      </c>
    </row>
    <row r="7" spans="3:8">
      <c r="F7" s="1" t="s">
        <v>3</v>
      </c>
      <c r="G7" s="1">
        <f>8.392556+3.198452</f>
        <v>11.591008</v>
      </c>
      <c r="H7" s="1" t="str">
        <f>+H5</f>
        <v>Q324</v>
      </c>
    </row>
    <row r="8" spans="3:8">
      <c r="F8" s="1" t="s">
        <v>4</v>
      </c>
      <c r="G8" s="1">
        <f>0.802312+2.117715</f>
        <v>2.9200270000000002</v>
      </c>
      <c r="H8" s="1" t="str">
        <f>+H7</f>
        <v>Q324</v>
      </c>
    </row>
    <row r="9" spans="3:8">
      <c r="F9" s="1" t="s">
        <v>5</v>
      </c>
      <c r="G9" s="1">
        <f>+G6-G7+G8</f>
        <v>134.36114433000003</v>
      </c>
    </row>
    <row r="14" spans="3:8">
      <c r="C14" s="4" t="s">
        <v>27</v>
      </c>
      <c r="D14" s="4" t="s">
        <v>6</v>
      </c>
    </row>
    <row r="15" spans="3:8">
      <c r="C15" s="1" t="s">
        <v>9</v>
      </c>
      <c r="D15" s="3">
        <v>1</v>
      </c>
    </row>
    <row r="16" spans="3:8">
      <c r="C16" s="1" t="s">
        <v>28</v>
      </c>
      <c r="D16" s="1" t="s">
        <v>29</v>
      </c>
    </row>
    <row r="17" spans="2:4">
      <c r="C17" s="1" t="s">
        <v>30</v>
      </c>
      <c r="D17" s="3">
        <v>1</v>
      </c>
    </row>
    <row r="19" spans="2:4">
      <c r="C19" s="4" t="s">
        <v>7</v>
      </c>
    </row>
    <row r="20" spans="2:4">
      <c r="C20" s="1" t="s">
        <v>8</v>
      </c>
    </row>
    <row r="24" spans="2:4">
      <c r="B24" s="1" t="s">
        <v>45</v>
      </c>
    </row>
    <row r="25" spans="2:4">
      <c r="B25" s="1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52C7C-B846-6042-947F-6C047F3145DA}">
  <dimension ref="B1:CC23"/>
  <sheetViews>
    <sheetView zoomScale="139" workbookViewId="0">
      <pane xSplit="2" ySplit="2" topLeftCell="AA3" activePane="bottomRight" state="frozen"/>
      <selection pane="topRight" activeCell="C1" sqref="C1"/>
      <selection pane="bottomLeft" activeCell="A3" sqref="A3"/>
      <selection pane="bottomRight" activeCell="I24" sqref="I24"/>
    </sheetView>
  </sheetViews>
  <sheetFormatPr baseColWidth="10" defaultRowHeight="13"/>
  <cols>
    <col min="1" max="1" width="1.1640625" style="1" customWidth="1"/>
    <col min="2" max="2" width="15" style="1" bestFit="1" customWidth="1"/>
    <col min="3" max="8" width="5.6640625" style="1" bestFit="1" customWidth="1"/>
    <col min="9" max="9" width="6.1640625" style="1" bestFit="1" customWidth="1"/>
    <col min="10" max="10" width="5.6640625" style="1" bestFit="1" customWidth="1"/>
    <col min="11" max="12" width="10.83203125" style="1"/>
    <col min="13" max="19" width="5.6640625" style="1" bestFit="1" customWidth="1"/>
    <col min="20" max="20" width="6.1640625" style="1" bestFit="1" customWidth="1"/>
    <col min="21" max="31" width="6.6640625" style="1" bestFit="1" customWidth="1"/>
    <col min="32" max="32" width="10.5" style="1" bestFit="1" customWidth="1"/>
    <col min="33" max="33" width="7.6640625" style="1" bestFit="1" customWidth="1"/>
    <col min="34" max="81" width="6.6640625" style="1" bestFit="1" customWidth="1"/>
    <col min="82" max="16384" width="10.83203125" style="1"/>
  </cols>
  <sheetData>
    <row r="1" spans="2:81">
      <c r="AF1" s="1">
        <v>1</v>
      </c>
      <c r="AG1" s="1">
        <f>+AF1+1</f>
        <v>2</v>
      </c>
      <c r="AH1" s="1">
        <f t="shared" ref="AH1:CC1" si="0">+AG1+1</f>
        <v>3</v>
      </c>
      <c r="AI1" s="1">
        <f t="shared" si="0"/>
        <v>4</v>
      </c>
      <c r="AJ1" s="1">
        <f t="shared" si="0"/>
        <v>5</v>
      </c>
      <c r="AK1" s="1">
        <f t="shared" si="0"/>
        <v>6</v>
      </c>
      <c r="AL1" s="1">
        <f t="shared" si="0"/>
        <v>7</v>
      </c>
      <c r="AM1" s="1">
        <f t="shared" si="0"/>
        <v>8</v>
      </c>
      <c r="AN1" s="1">
        <f t="shared" si="0"/>
        <v>9</v>
      </c>
      <c r="AO1" s="1">
        <f t="shared" si="0"/>
        <v>10</v>
      </c>
      <c r="AP1" s="1">
        <f t="shared" si="0"/>
        <v>11</v>
      </c>
      <c r="AQ1" s="1">
        <f t="shared" si="0"/>
        <v>12</v>
      </c>
      <c r="AR1" s="1">
        <f t="shared" si="0"/>
        <v>13</v>
      </c>
      <c r="AS1" s="1">
        <f t="shared" si="0"/>
        <v>14</v>
      </c>
      <c r="AT1" s="1">
        <f t="shared" si="0"/>
        <v>15</v>
      </c>
      <c r="AU1" s="1">
        <f t="shared" si="0"/>
        <v>16</v>
      </c>
      <c r="AV1" s="1">
        <f t="shared" si="0"/>
        <v>17</v>
      </c>
      <c r="AW1" s="1">
        <f t="shared" si="0"/>
        <v>18</v>
      </c>
      <c r="AX1" s="1">
        <f t="shared" si="0"/>
        <v>19</v>
      </c>
      <c r="AY1" s="1">
        <f t="shared" si="0"/>
        <v>20</v>
      </c>
      <c r="AZ1" s="1">
        <f t="shared" si="0"/>
        <v>21</v>
      </c>
      <c r="BA1" s="1">
        <f t="shared" si="0"/>
        <v>22</v>
      </c>
      <c r="BB1" s="1">
        <f t="shared" si="0"/>
        <v>23</v>
      </c>
      <c r="BC1" s="1">
        <f t="shared" si="0"/>
        <v>24</v>
      </c>
      <c r="BD1" s="1">
        <f t="shared" si="0"/>
        <v>25</v>
      </c>
      <c r="BE1" s="1">
        <f t="shared" si="0"/>
        <v>26</v>
      </c>
      <c r="BF1" s="1">
        <f t="shared" si="0"/>
        <v>27</v>
      </c>
      <c r="BG1" s="1">
        <f t="shared" si="0"/>
        <v>28</v>
      </c>
      <c r="BH1" s="1">
        <f t="shared" si="0"/>
        <v>29</v>
      </c>
      <c r="BI1" s="1">
        <f t="shared" si="0"/>
        <v>30</v>
      </c>
      <c r="BJ1" s="1">
        <f t="shared" si="0"/>
        <v>31</v>
      </c>
      <c r="BK1" s="1">
        <f t="shared" si="0"/>
        <v>32</v>
      </c>
      <c r="BL1" s="1">
        <f t="shared" si="0"/>
        <v>33</v>
      </c>
      <c r="BM1" s="1">
        <f t="shared" si="0"/>
        <v>34</v>
      </c>
      <c r="BN1" s="1">
        <f t="shared" si="0"/>
        <v>35</v>
      </c>
      <c r="BO1" s="1">
        <f t="shared" si="0"/>
        <v>36</v>
      </c>
      <c r="BP1" s="1">
        <f t="shared" si="0"/>
        <v>37</v>
      </c>
      <c r="BQ1" s="1">
        <f t="shared" si="0"/>
        <v>38</v>
      </c>
      <c r="BR1" s="1">
        <f t="shared" si="0"/>
        <v>39</v>
      </c>
      <c r="BS1" s="1">
        <f t="shared" si="0"/>
        <v>40</v>
      </c>
      <c r="BT1" s="1">
        <f t="shared" si="0"/>
        <v>41</v>
      </c>
      <c r="BU1" s="1">
        <f t="shared" si="0"/>
        <v>42</v>
      </c>
      <c r="BV1" s="1">
        <f t="shared" si="0"/>
        <v>43</v>
      </c>
      <c r="BW1" s="1">
        <f t="shared" si="0"/>
        <v>44</v>
      </c>
      <c r="BX1" s="1">
        <f t="shared" si="0"/>
        <v>45</v>
      </c>
      <c r="BY1" s="1">
        <f t="shared" si="0"/>
        <v>46</v>
      </c>
      <c r="BZ1" s="1">
        <f t="shared" si="0"/>
        <v>47</v>
      </c>
      <c r="CA1" s="1">
        <f t="shared" si="0"/>
        <v>48</v>
      </c>
      <c r="CB1" s="1">
        <f t="shared" si="0"/>
        <v>49</v>
      </c>
      <c r="CC1" s="1">
        <f t="shared" si="0"/>
        <v>50</v>
      </c>
    </row>
    <row r="2" spans="2:81" s="9" customFormat="1">
      <c r="C2" s="9" t="s">
        <v>10</v>
      </c>
      <c r="D2" s="9" t="s">
        <v>11</v>
      </c>
      <c r="E2" s="9" t="s">
        <v>12</v>
      </c>
      <c r="F2" s="9" t="s">
        <v>13</v>
      </c>
      <c r="G2" s="9" t="s">
        <v>23</v>
      </c>
      <c r="H2" s="9" t="s">
        <v>24</v>
      </c>
      <c r="I2" s="9" t="s">
        <v>25</v>
      </c>
      <c r="J2" s="9" t="s">
        <v>26</v>
      </c>
      <c r="M2" s="9">
        <v>2015</v>
      </c>
      <c r="N2" s="9">
        <f>+M2+1</f>
        <v>2016</v>
      </c>
      <c r="O2" s="9">
        <f t="shared" ref="O2:AE2" si="1">+N2+1</f>
        <v>2017</v>
      </c>
      <c r="P2" s="9">
        <f t="shared" si="1"/>
        <v>2018</v>
      </c>
      <c r="Q2" s="9">
        <f t="shared" si="1"/>
        <v>2019</v>
      </c>
      <c r="R2" s="9">
        <f t="shared" si="1"/>
        <v>2020</v>
      </c>
      <c r="S2" s="9">
        <f t="shared" si="1"/>
        <v>2021</v>
      </c>
      <c r="T2" s="9">
        <f t="shared" si="1"/>
        <v>2022</v>
      </c>
      <c r="U2" s="9">
        <f t="shared" si="1"/>
        <v>2023</v>
      </c>
      <c r="V2" s="9">
        <f t="shared" si="1"/>
        <v>2024</v>
      </c>
      <c r="W2" s="9">
        <f t="shared" si="1"/>
        <v>2025</v>
      </c>
      <c r="X2" s="9">
        <f t="shared" si="1"/>
        <v>2026</v>
      </c>
      <c r="Y2" s="9">
        <f t="shared" si="1"/>
        <v>2027</v>
      </c>
      <c r="Z2" s="9">
        <f t="shared" si="1"/>
        <v>2028</v>
      </c>
      <c r="AA2" s="9">
        <f t="shared" si="1"/>
        <v>2029</v>
      </c>
      <c r="AB2" s="9">
        <f t="shared" si="1"/>
        <v>2030</v>
      </c>
      <c r="AC2" s="9">
        <f t="shared" si="1"/>
        <v>2031</v>
      </c>
      <c r="AD2" s="9">
        <f t="shared" si="1"/>
        <v>2032</v>
      </c>
      <c r="AE2" s="9">
        <f t="shared" si="1"/>
        <v>2033</v>
      </c>
    </row>
    <row r="3" spans="2:81">
      <c r="B3" s="1" t="s">
        <v>14</v>
      </c>
      <c r="C3" s="1">
        <v>3341.596</v>
      </c>
      <c r="D3" s="1">
        <v>3236.5149999999999</v>
      </c>
      <c r="E3" s="1">
        <v>3301.221</v>
      </c>
      <c r="F3" s="1">
        <f>+U3-SUM(C3:E3)</f>
        <v>3777.4009999999998</v>
      </c>
      <c r="G3" s="1">
        <v>5898.9380000000001</v>
      </c>
      <c r="H3" s="1">
        <v>6125.3819999999996</v>
      </c>
      <c r="I3" s="1">
        <v>6153.2870000000003</v>
      </c>
      <c r="J3" s="1">
        <f>+F3*1.8</f>
        <v>6799.3217999999997</v>
      </c>
      <c r="T3" s="1">
        <v>9580.1890000000003</v>
      </c>
      <c r="U3" s="1">
        <v>13656.733</v>
      </c>
      <c r="V3" s="1">
        <f>SUM(G3:J3)</f>
        <v>24976.928800000002</v>
      </c>
      <c r="W3" s="1">
        <f>+V3*1.05</f>
        <v>26225.775240000003</v>
      </c>
      <c r="X3" s="1">
        <f t="shared" ref="X3:AE3" si="2">+W3*1.05</f>
        <v>27537.064002000003</v>
      </c>
      <c r="Y3" s="1">
        <f t="shared" si="2"/>
        <v>28913.917202100005</v>
      </c>
      <c r="Z3" s="1">
        <f t="shared" si="2"/>
        <v>30359.613062205008</v>
      </c>
      <c r="AA3" s="1">
        <f t="shared" si="2"/>
        <v>31877.593715315259</v>
      </c>
      <c r="AB3" s="1">
        <f t="shared" si="2"/>
        <v>33471.473401081021</v>
      </c>
      <c r="AC3" s="1">
        <f t="shared" si="2"/>
        <v>35145.047071135072</v>
      </c>
      <c r="AD3" s="1">
        <f t="shared" si="2"/>
        <v>36902.299424691824</v>
      </c>
      <c r="AE3" s="1">
        <f t="shared" si="2"/>
        <v>38747.414395926418</v>
      </c>
    </row>
    <row r="4" spans="2:81">
      <c r="B4" s="1" t="s">
        <v>3</v>
      </c>
      <c r="C4" s="1">
        <v>2475.9969999999998</v>
      </c>
      <c r="D4" s="1">
        <v>2442.9319999999998</v>
      </c>
      <c r="E4" s="1">
        <v>2195.2890000000002</v>
      </c>
      <c r="F4" s="1">
        <f t="shared" ref="F4:F12" si="3">+U4-SUM(C4:E4)</f>
        <v>2577.4789999999994</v>
      </c>
      <c r="G4" s="1">
        <v>3060.701</v>
      </c>
      <c r="H4" s="1">
        <v>2596.027</v>
      </c>
      <c r="I4" s="1">
        <v>3155.931</v>
      </c>
      <c r="J4" s="1">
        <f>+J$3*(I4/I$3)</f>
        <v>3487.2728100600216</v>
      </c>
      <c r="T4" s="1">
        <v>8026.268</v>
      </c>
      <c r="U4" s="1">
        <v>9691.6970000000001</v>
      </c>
      <c r="V4" s="1">
        <f t="shared" ref="V4:V12" si="4">SUM(G4:J4)</f>
        <v>12299.931810060021</v>
      </c>
      <c r="W4" s="1">
        <f>+W$3*(V4/V$3)</f>
        <v>12914.928400563022</v>
      </c>
      <c r="X4" s="1">
        <f t="shared" ref="X4:AE4" si="5">+X$3*(W4/W$3)</f>
        <v>13560.674820591172</v>
      </c>
      <c r="Y4" s="1">
        <f t="shared" si="5"/>
        <v>14238.708561620731</v>
      </c>
      <c r="Z4" s="1">
        <f t="shared" si="5"/>
        <v>14950.64398970177</v>
      </c>
      <c r="AA4" s="1">
        <f t="shared" si="5"/>
        <v>15698.176189186859</v>
      </c>
      <c r="AB4" s="1">
        <f t="shared" si="5"/>
        <v>16483.084998646202</v>
      </c>
      <c r="AC4" s="1">
        <f t="shared" si="5"/>
        <v>17307.239248578513</v>
      </c>
      <c r="AD4" s="1">
        <f t="shared" si="5"/>
        <v>18172.601211007437</v>
      </c>
      <c r="AE4" s="1">
        <f t="shared" si="5"/>
        <v>19081.231271557812</v>
      </c>
    </row>
    <row r="5" spans="2:81">
      <c r="B5" s="1" t="s">
        <v>15</v>
      </c>
      <c r="C5" s="1">
        <f>+C3-C4</f>
        <v>865.59900000000016</v>
      </c>
      <c r="D5" s="1">
        <f>+D3-D4</f>
        <v>793.58300000000008</v>
      </c>
      <c r="E5" s="1">
        <f>+E3-E4</f>
        <v>1105.9319999999998</v>
      </c>
      <c r="F5" s="1">
        <f t="shared" si="3"/>
        <v>1199.922</v>
      </c>
      <c r="G5" s="1">
        <f>+G3-G4</f>
        <v>2838.2370000000001</v>
      </c>
      <c r="H5" s="1">
        <f>+H3-H4</f>
        <v>3529.3549999999996</v>
      </c>
      <c r="I5" s="1">
        <f>+I3-I4</f>
        <v>2997.3560000000002</v>
      </c>
      <c r="J5" s="1">
        <f>+J3-J4</f>
        <v>3312.0489899399781</v>
      </c>
      <c r="T5" s="1">
        <f>+T3-T4</f>
        <v>1553.9210000000003</v>
      </c>
      <c r="U5" s="1">
        <f>+U3-U4</f>
        <v>3965.0360000000001</v>
      </c>
      <c r="V5" s="1">
        <f t="shared" si="4"/>
        <v>12676.996989939978</v>
      </c>
      <c r="W5" s="1">
        <f>+W3-W4</f>
        <v>13310.846839436981</v>
      </c>
      <c r="X5" s="1">
        <f t="shared" ref="X5:AE5" si="6">+X3-X4</f>
        <v>13976.389181408831</v>
      </c>
      <c r="Y5" s="1">
        <f t="shared" si="6"/>
        <v>14675.208640479274</v>
      </c>
      <c r="Z5" s="1">
        <f t="shared" si="6"/>
        <v>15408.969072503238</v>
      </c>
      <c r="AA5" s="1">
        <f t="shared" si="6"/>
        <v>16179.4175261284</v>
      </c>
      <c r="AB5" s="1">
        <f t="shared" si="6"/>
        <v>16988.388402434819</v>
      </c>
      <c r="AC5" s="1">
        <f t="shared" si="6"/>
        <v>17837.807822556559</v>
      </c>
      <c r="AD5" s="1">
        <f t="shared" si="6"/>
        <v>18729.698213684387</v>
      </c>
      <c r="AE5" s="1">
        <f t="shared" si="6"/>
        <v>19666.183124368607</v>
      </c>
    </row>
    <row r="6" spans="2:81">
      <c r="B6" s="1" t="s">
        <v>16</v>
      </c>
      <c r="C6" s="1">
        <v>273.44200000000001</v>
      </c>
      <c r="D6" s="1">
        <v>207.369</v>
      </c>
      <c r="E6" s="1">
        <v>435.43900000000002</v>
      </c>
      <c r="F6" s="1">
        <f t="shared" si="3"/>
        <v>606.971</v>
      </c>
      <c r="G6" s="1">
        <v>267.84800000000001</v>
      </c>
      <c r="H6" s="1">
        <v>620.05600000000004</v>
      </c>
      <c r="I6" s="1">
        <v>1185.46</v>
      </c>
      <c r="J6" s="1">
        <f>+J$3*(I6/I$3)</f>
        <v>1309.9216761753514</v>
      </c>
      <c r="T6" s="1">
        <v>2110.1370000000002</v>
      </c>
      <c r="U6" s="1">
        <v>1523.221</v>
      </c>
      <c r="V6" s="1">
        <f t="shared" si="4"/>
        <v>3383.2856761753515</v>
      </c>
      <c r="W6" s="1">
        <f>+W$3*(V6/V$3)</f>
        <v>3552.4499599841192</v>
      </c>
      <c r="X6" s="1">
        <f t="shared" ref="X6:AE6" si="7">+X$3*(W6/W$3)</f>
        <v>3730.0724579833254</v>
      </c>
      <c r="Y6" s="1">
        <f t="shared" si="7"/>
        <v>3916.5760808824921</v>
      </c>
      <c r="Z6" s="1">
        <f t="shared" si="7"/>
        <v>4112.4048849266173</v>
      </c>
      <c r="AA6" s="1">
        <f t="shared" si="7"/>
        <v>4318.0251291729492</v>
      </c>
      <c r="AB6" s="1">
        <f t="shared" si="7"/>
        <v>4533.9263856315956</v>
      </c>
      <c r="AC6" s="1">
        <f t="shared" si="7"/>
        <v>4760.6227049131758</v>
      </c>
      <c r="AD6" s="1">
        <f t="shared" si="7"/>
        <v>4998.6538401588341</v>
      </c>
      <c r="AE6" s="1">
        <f t="shared" si="7"/>
        <v>5248.586532166777</v>
      </c>
    </row>
    <row r="7" spans="2:81">
      <c r="B7" s="1" t="s">
        <v>17</v>
      </c>
      <c r="C7" s="1">
        <v>68.911000000000001</v>
      </c>
      <c r="D7" s="1">
        <v>55.567999999999998</v>
      </c>
      <c r="E7" s="1">
        <v>58.997999999999998</v>
      </c>
      <c r="F7" s="1">
        <f t="shared" si="3"/>
        <v>72.102000000000004</v>
      </c>
      <c r="G7" s="1">
        <v>109.1</v>
      </c>
      <c r="H7" s="1">
        <v>90.313000000000002</v>
      </c>
      <c r="I7" s="1">
        <v>92.966999999999999</v>
      </c>
      <c r="J7" s="1">
        <f>+J$3*(I7/I$3)</f>
        <v>102.72762342803121</v>
      </c>
      <c r="T7" s="1">
        <v>322.77499999999998</v>
      </c>
      <c r="U7" s="1">
        <v>255.57900000000001</v>
      </c>
      <c r="V7" s="1">
        <f t="shared" si="4"/>
        <v>395.10762342803122</v>
      </c>
      <c r="W7" s="1">
        <f>+W$3*(V7/V$3)</f>
        <v>414.86300459943283</v>
      </c>
      <c r="X7" s="1">
        <f t="shared" ref="X7:AE7" si="8">+X$3*(W7/W$3)</f>
        <v>435.60615482940449</v>
      </c>
      <c r="Y7" s="1">
        <f t="shared" si="8"/>
        <v>457.3864625708747</v>
      </c>
      <c r="Z7" s="1">
        <f t="shared" si="8"/>
        <v>480.25578569941848</v>
      </c>
      <c r="AA7" s="1">
        <f t="shared" si="8"/>
        <v>504.26857498438943</v>
      </c>
      <c r="AB7" s="1">
        <f t="shared" si="8"/>
        <v>529.48200373360885</v>
      </c>
      <c r="AC7" s="1">
        <f t="shared" si="8"/>
        <v>555.95610392028937</v>
      </c>
      <c r="AD7" s="1">
        <f t="shared" si="8"/>
        <v>583.75390911630382</v>
      </c>
      <c r="AE7" s="1">
        <f t="shared" si="8"/>
        <v>612.94160457211899</v>
      </c>
    </row>
    <row r="8" spans="2:81">
      <c r="B8" s="1" t="s">
        <v>18</v>
      </c>
      <c r="C8" s="1">
        <v>240.80500000000001</v>
      </c>
      <c r="D8" s="1">
        <v>123.238</v>
      </c>
      <c r="E8" s="1">
        <v>80.855999999999995</v>
      </c>
      <c r="F8" s="1">
        <f t="shared" si="3"/>
        <v>111.86699999999996</v>
      </c>
      <c r="G8" s="1">
        <v>154.244</v>
      </c>
      <c r="H8" s="1">
        <v>84.981999999999999</v>
      </c>
      <c r="I8" s="1">
        <v>81.662999999999997</v>
      </c>
      <c r="J8" s="1">
        <f>+J$3*(I8/I$3)</f>
        <v>90.23681426746387</v>
      </c>
      <c r="T8" s="1">
        <v>375.00200000000001</v>
      </c>
      <c r="U8" s="1">
        <v>556.76599999999996</v>
      </c>
      <c r="V8" s="1">
        <f t="shared" si="4"/>
        <v>411.12581426746385</v>
      </c>
      <c r="W8" s="1">
        <f>+W$3*(V8/V$3)</f>
        <v>431.6821049808371</v>
      </c>
      <c r="X8" s="1">
        <f t="shared" ref="X8:AE8" si="9">+X$3*(W8/W$3)</f>
        <v>453.26621022987894</v>
      </c>
      <c r="Y8" s="1">
        <f t="shared" si="9"/>
        <v>475.92952074137293</v>
      </c>
      <c r="Z8" s="1">
        <f t="shared" si="9"/>
        <v>499.72599677844164</v>
      </c>
      <c r="AA8" s="1">
        <f t="shared" si="9"/>
        <v>524.71229661736368</v>
      </c>
      <c r="AB8" s="1">
        <f t="shared" si="9"/>
        <v>550.94791144823193</v>
      </c>
      <c r="AC8" s="1">
        <f t="shared" si="9"/>
        <v>578.49530702064351</v>
      </c>
      <c r="AD8" s="1">
        <f t="shared" si="9"/>
        <v>607.42007237167559</v>
      </c>
      <c r="AE8" s="1">
        <f t="shared" si="9"/>
        <v>637.79107599025951</v>
      </c>
    </row>
    <row r="9" spans="2:81">
      <c r="B9" s="1" t="s">
        <v>19</v>
      </c>
      <c r="C9" s="1">
        <v>263.298</v>
      </c>
      <c r="D9" s="1">
        <v>123.765</v>
      </c>
      <c r="E9" s="1">
        <v>117.178</v>
      </c>
      <c r="F9" s="1">
        <f t="shared" si="3"/>
        <v>125.88499999999999</v>
      </c>
      <c r="G9" s="1">
        <v>160.66300000000001</v>
      </c>
      <c r="H9" s="1">
        <v>179.45599999999999</v>
      </c>
      <c r="I9" s="1">
        <v>203.732</v>
      </c>
      <c r="J9" s="1">
        <f>+J$3*(I9/I$3)</f>
        <v>225.12186234082691</v>
      </c>
      <c r="T9" s="1">
        <v>1229.6030000000001</v>
      </c>
      <c r="U9" s="1">
        <v>630.12599999999998</v>
      </c>
      <c r="V9" s="1">
        <f t="shared" si="4"/>
        <v>768.97286234082685</v>
      </c>
      <c r="W9" s="1">
        <f>+W$3*(V9/V$3)</f>
        <v>807.42150545786819</v>
      </c>
      <c r="X9" s="1">
        <f t="shared" ref="X9:AE9" si="10">+X$3*(W9/W$3)</f>
        <v>847.79258073076164</v>
      </c>
      <c r="Y9" s="1">
        <f t="shared" si="10"/>
        <v>890.18220976729981</v>
      </c>
      <c r="Z9" s="1">
        <f t="shared" si="10"/>
        <v>934.69132025566478</v>
      </c>
      <c r="AA9" s="1">
        <f t="shared" si="10"/>
        <v>981.42588626844804</v>
      </c>
      <c r="AB9" s="1">
        <f t="shared" si="10"/>
        <v>1030.4971805818705</v>
      </c>
      <c r="AC9" s="1">
        <f t="shared" si="10"/>
        <v>1082.0220396109639</v>
      </c>
      <c r="AD9" s="1">
        <f t="shared" si="10"/>
        <v>1136.123141591512</v>
      </c>
      <c r="AE9" s="1">
        <f t="shared" si="10"/>
        <v>1192.9292986710877</v>
      </c>
    </row>
    <row r="10" spans="2:81">
      <c r="B10" s="1" t="s">
        <v>20</v>
      </c>
      <c r="C10" s="1">
        <f>+C5-SUM(C6:C9)</f>
        <v>19.143000000000143</v>
      </c>
      <c r="D10" s="1">
        <f>+D5-SUM(D6:D9)</f>
        <v>283.64300000000009</v>
      </c>
      <c r="E10" s="1">
        <f>+E5-SUM(E6:E9)</f>
        <v>413.46099999999979</v>
      </c>
      <c r="F10" s="1">
        <f t="shared" si="3"/>
        <v>283.09699999999998</v>
      </c>
      <c r="G10" s="1">
        <f>+G5-SUM(G6:G9)</f>
        <v>2146.3820000000001</v>
      </c>
      <c r="H10" s="1">
        <f>+H5-SUM(H6:H9)</f>
        <v>2554.5479999999998</v>
      </c>
      <c r="I10" s="1">
        <f>+I5-SUM(I6:I9)</f>
        <v>1433.5340000000001</v>
      </c>
      <c r="J10" s="1">
        <f>+J5-SUM(J6:J9)</f>
        <v>1584.0410137283047</v>
      </c>
      <c r="T10" s="1">
        <f>+T5-SUM(T6:T9)</f>
        <v>-2483.596</v>
      </c>
      <c r="U10" s="1">
        <f>+U5-SUM(U6:U9)</f>
        <v>999.34400000000005</v>
      </c>
      <c r="V10" s="1">
        <f t="shared" si="4"/>
        <v>7718.5050137283051</v>
      </c>
      <c r="W10" s="1">
        <f>+W5-SUM(W6:W9)</f>
        <v>8104.4302644147238</v>
      </c>
      <c r="X10" s="1">
        <f t="shared" ref="X10:AE10" si="11">+X5-SUM(X6:X9)</f>
        <v>8509.6517776354594</v>
      </c>
      <c r="Y10" s="1">
        <f t="shared" si="11"/>
        <v>8935.1343665172353</v>
      </c>
      <c r="Z10" s="1">
        <f t="shared" si="11"/>
        <v>9381.8910848430969</v>
      </c>
      <c r="AA10" s="1">
        <f t="shared" si="11"/>
        <v>9850.9856390852492</v>
      </c>
      <c r="AB10" s="1">
        <f t="shared" si="11"/>
        <v>10343.534921039512</v>
      </c>
      <c r="AC10" s="1">
        <f t="shared" si="11"/>
        <v>10860.711667091486</v>
      </c>
      <c r="AD10" s="1">
        <f t="shared" si="11"/>
        <v>11403.747250446062</v>
      </c>
      <c r="AE10" s="1">
        <f t="shared" si="11"/>
        <v>11973.934612968362</v>
      </c>
    </row>
    <row r="11" spans="2:81">
      <c r="B11" s="1" t="s">
        <v>21</v>
      </c>
      <c r="C11" s="1">
        <v>-31.163</v>
      </c>
      <c r="D11" s="1">
        <v>-5.8319999999999999</v>
      </c>
      <c r="E11" s="1">
        <v>-0.47799999999999998</v>
      </c>
      <c r="F11" s="1">
        <f t="shared" si="3"/>
        <v>-23.606000000000002</v>
      </c>
      <c r="G11" s="1">
        <v>-13.840999999999999</v>
      </c>
      <c r="H11" s="1">
        <v>-39.326000000000001</v>
      </c>
      <c r="I11" s="1">
        <v>-549.97400000000005</v>
      </c>
      <c r="J11" s="1">
        <f>+AVERAGE(G11:I11)</f>
        <v>-201.04700000000003</v>
      </c>
      <c r="T11" s="1">
        <v>78.855000000000004</v>
      </c>
      <c r="U11" s="1">
        <v>-61.079000000000001</v>
      </c>
      <c r="V11" s="1">
        <f t="shared" si="4"/>
        <v>-804.1880000000001</v>
      </c>
      <c r="W11" s="1">
        <v>-200</v>
      </c>
      <c r="X11" s="1">
        <v>-200</v>
      </c>
      <c r="Y11" s="1">
        <v>-200</v>
      </c>
      <c r="Z11" s="1">
        <v>-200</v>
      </c>
      <c r="AA11" s="1">
        <v>-200</v>
      </c>
      <c r="AB11" s="1">
        <v>-200</v>
      </c>
      <c r="AC11" s="1">
        <v>-200</v>
      </c>
      <c r="AD11" s="1">
        <v>-200</v>
      </c>
      <c r="AE11" s="1">
        <v>-200</v>
      </c>
    </row>
    <row r="12" spans="2:81" s="5" customFormat="1">
      <c r="B12" s="5" t="s">
        <v>22</v>
      </c>
      <c r="C12" s="5">
        <f>+C10-C11</f>
        <v>50.306000000000139</v>
      </c>
      <c r="D12" s="5">
        <f>+D10-D11</f>
        <v>289.47500000000008</v>
      </c>
      <c r="E12" s="5">
        <f>+E10-E11</f>
        <v>413.93899999999979</v>
      </c>
      <c r="F12" s="5">
        <f t="shared" si="3"/>
        <v>306.70299999999997</v>
      </c>
      <c r="G12" s="5">
        <f>+G10-G11</f>
        <v>2160.223</v>
      </c>
      <c r="H12" s="5">
        <f>+H10-H11</f>
        <v>2593.8739999999998</v>
      </c>
      <c r="I12" s="5">
        <f>+I10-I11</f>
        <v>1983.5080000000003</v>
      </c>
      <c r="J12" s="5">
        <f>+J10-J11</f>
        <v>1785.0880137283048</v>
      </c>
      <c r="T12" s="5">
        <f>+T10-T11</f>
        <v>-2562.451</v>
      </c>
      <c r="U12" s="5">
        <f>+U10-U11</f>
        <v>1060.423</v>
      </c>
      <c r="V12" s="1">
        <f t="shared" si="4"/>
        <v>8522.6930137283052</v>
      </c>
      <c r="W12" s="5">
        <f>+W10-W11</f>
        <v>8304.4302644147247</v>
      </c>
      <c r="X12" s="5">
        <f t="shared" ref="X12:AE12" si="12">+X10-X11</f>
        <v>8709.6517776354594</v>
      </c>
      <c r="Y12" s="5">
        <f t="shared" si="12"/>
        <v>9135.1343665172353</v>
      </c>
      <c r="Z12" s="5">
        <f t="shared" si="12"/>
        <v>9581.8910848430969</v>
      </c>
      <c r="AA12" s="5">
        <f t="shared" si="12"/>
        <v>10050.985639085249</v>
      </c>
      <c r="AB12" s="5">
        <f t="shared" si="12"/>
        <v>10543.534921039512</v>
      </c>
      <c r="AC12" s="5">
        <f t="shared" si="12"/>
        <v>11060.711667091486</v>
      </c>
      <c r="AD12" s="5">
        <f t="shared" si="12"/>
        <v>11603.747250446062</v>
      </c>
      <c r="AE12" s="5">
        <f t="shared" si="12"/>
        <v>12173.934612968362</v>
      </c>
      <c r="AF12" s="5">
        <f>+AE12*(1+$AG$16)</f>
        <v>12295.673959098045</v>
      </c>
      <c r="AG12" s="5">
        <f>+AF12*(1+$AG$16)</f>
        <v>12418.630698689025</v>
      </c>
      <c r="AH12" s="5">
        <f t="shared" ref="AH12:CC12" si="13">+AG12*(1+$AG$16)</f>
        <v>12542.817005675915</v>
      </c>
      <c r="AI12" s="5">
        <f t="shared" si="13"/>
        <v>12668.245175732674</v>
      </c>
      <c r="AJ12" s="5">
        <f t="shared" si="13"/>
        <v>12794.927627490002</v>
      </c>
      <c r="AK12" s="5">
        <f t="shared" si="13"/>
        <v>12922.876903764902</v>
      </c>
      <c r="AL12" s="5">
        <f t="shared" si="13"/>
        <v>13052.105672802551</v>
      </c>
      <c r="AM12" s="5">
        <f t="shared" si="13"/>
        <v>13182.626729530577</v>
      </c>
      <c r="AN12" s="5">
        <f t="shared" si="13"/>
        <v>13314.452996825883</v>
      </c>
      <c r="AO12" s="5">
        <f t="shared" si="13"/>
        <v>13447.597526794141</v>
      </c>
      <c r="AP12" s="5">
        <f t="shared" si="13"/>
        <v>13582.073502062083</v>
      </c>
      <c r="AQ12" s="5">
        <f t="shared" si="13"/>
        <v>13717.894237082704</v>
      </c>
      <c r="AR12" s="5">
        <f t="shared" si="13"/>
        <v>13855.073179453531</v>
      </c>
      <c r="AS12" s="5">
        <f t="shared" si="13"/>
        <v>13993.623911248067</v>
      </c>
      <c r="AT12" s="5">
        <f t="shared" si="13"/>
        <v>14133.560150360549</v>
      </c>
      <c r="AU12" s="5">
        <f t="shared" si="13"/>
        <v>14274.895751864155</v>
      </c>
      <c r="AV12" s="5">
        <f t="shared" si="13"/>
        <v>14417.644709382796</v>
      </c>
      <c r="AW12" s="5">
        <f t="shared" si="13"/>
        <v>14561.821156476624</v>
      </c>
      <c r="AX12" s="5">
        <f t="shared" si="13"/>
        <v>14707.43936804139</v>
      </c>
      <c r="AY12" s="5">
        <f t="shared" si="13"/>
        <v>14854.513761721804</v>
      </c>
      <c r="AZ12" s="5">
        <f t="shared" si="13"/>
        <v>15003.058899339023</v>
      </c>
      <c r="BA12" s="5">
        <f t="shared" si="13"/>
        <v>15153.089488332413</v>
      </c>
      <c r="BB12" s="5">
        <f t="shared" si="13"/>
        <v>15304.620383215737</v>
      </c>
      <c r="BC12" s="5">
        <f t="shared" si="13"/>
        <v>15457.666587047894</v>
      </c>
      <c r="BD12" s="5">
        <f t="shared" si="13"/>
        <v>15612.243252918373</v>
      </c>
      <c r="BE12" s="5">
        <f t="shared" si="13"/>
        <v>15768.365685447558</v>
      </c>
      <c r="BF12" s="5">
        <f t="shared" si="13"/>
        <v>15926.049342302033</v>
      </c>
      <c r="BG12" s="5">
        <f t="shared" si="13"/>
        <v>16085.309835725053</v>
      </c>
      <c r="BH12" s="5">
        <f t="shared" si="13"/>
        <v>16246.162934082304</v>
      </c>
      <c r="BI12" s="5">
        <f t="shared" si="13"/>
        <v>16408.624563423127</v>
      </c>
      <c r="BJ12" s="5">
        <f t="shared" si="13"/>
        <v>16572.71080905736</v>
      </c>
      <c r="BK12" s="5">
        <f t="shared" si="13"/>
        <v>16738.437917147934</v>
      </c>
      <c r="BL12" s="5">
        <f t="shared" si="13"/>
        <v>16905.822296319413</v>
      </c>
      <c r="BM12" s="5">
        <f t="shared" si="13"/>
        <v>17074.880519282608</v>
      </c>
      <c r="BN12" s="5">
        <f t="shared" si="13"/>
        <v>17245.629324475434</v>
      </c>
      <c r="BO12" s="5">
        <f t="shared" si="13"/>
        <v>17418.085617720189</v>
      </c>
      <c r="BP12" s="5">
        <f t="shared" si="13"/>
        <v>17592.266473897391</v>
      </c>
      <c r="BQ12" s="5">
        <f t="shared" si="13"/>
        <v>17768.189138636364</v>
      </c>
      <c r="BR12" s="5">
        <f t="shared" si="13"/>
        <v>17945.871030022729</v>
      </c>
      <c r="BS12" s="5">
        <f t="shared" si="13"/>
        <v>18125.329740322955</v>
      </c>
      <c r="BT12" s="5">
        <f t="shared" si="13"/>
        <v>18306.583037726185</v>
      </c>
      <c r="BU12" s="5">
        <f t="shared" si="13"/>
        <v>18489.648868103446</v>
      </c>
      <c r="BV12" s="5">
        <f t="shared" si="13"/>
        <v>18674.545356784482</v>
      </c>
      <c r="BW12" s="5">
        <f t="shared" si="13"/>
        <v>18861.290810352326</v>
      </c>
      <c r="BX12" s="5">
        <f t="shared" si="13"/>
        <v>19049.903718455851</v>
      </c>
      <c r="BY12" s="5">
        <f t="shared" si="13"/>
        <v>19240.402755640411</v>
      </c>
      <c r="BZ12" s="5">
        <f t="shared" si="13"/>
        <v>19432.806783196815</v>
      </c>
      <c r="CA12" s="5">
        <f t="shared" si="13"/>
        <v>19627.134851028783</v>
      </c>
      <c r="CB12" s="5">
        <f t="shared" si="13"/>
        <v>19823.406199539069</v>
      </c>
      <c r="CC12" s="5">
        <f t="shared" si="13"/>
        <v>20021.64026153446</v>
      </c>
    </row>
    <row r="14" spans="2:81" s="6" customFormat="1">
      <c r="B14" s="6" t="s">
        <v>31</v>
      </c>
      <c r="G14" s="6">
        <f t="shared" ref="G14:H14" si="14">+G3/C3-1</f>
        <v>0.76530556057644317</v>
      </c>
      <c r="H14" s="6">
        <f t="shared" si="14"/>
        <v>0.89258569788800601</v>
      </c>
      <c r="I14" s="6">
        <f>+I3/E3-1</f>
        <v>0.86394276541921911</v>
      </c>
      <c r="J14" s="6">
        <f>+J3/F3-1</f>
        <v>0.8</v>
      </c>
      <c r="U14" s="6">
        <f>+U3/T3-1</f>
        <v>0.425518118692648</v>
      </c>
      <c r="V14" s="6">
        <f>+V3/U3-1</f>
        <v>0.82890950566288457</v>
      </c>
      <c r="W14" s="6">
        <f t="shared" ref="W14:AE14" si="15">+W3/V3-1</f>
        <v>5.0000000000000044E-2</v>
      </c>
      <c r="X14" s="6">
        <f t="shared" si="15"/>
        <v>5.0000000000000044E-2</v>
      </c>
      <c r="Y14" s="6">
        <f t="shared" si="15"/>
        <v>5.0000000000000044E-2</v>
      </c>
      <c r="Z14" s="6">
        <f t="shared" si="15"/>
        <v>5.0000000000000044E-2</v>
      </c>
      <c r="AA14" s="6">
        <f t="shared" si="15"/>
        <v>5.0000000000000044E-2</v>
      </c>
      <c r="AB14" s="6">
        <f t="shared" si="15"/>
        <v>5.0000000000000044E-2</v>
      </c>
      <c r="AC14" s="6">
        <f t="shared" si="15"/>
        <v>5.0000000000000044E-2</v>
      </c>
      <c r="AD14" s="6">
        <f t="shared" si="15"/>
        <v>5.0000000000000044E-2</v>
      </c>
      <c r="AE14" s="6">
        <f t="shared" si="15"/>
        <v>5.0000000000000044E-2</v>
      </c>
    </row>
    <row r="16" spans="2:81">
      <c r="AF16" s="1" t="s">
        <v>32</v>
      </c>
      <c r="AG16" s="3">
        <v>0.01</v>
      </c>
    </row>
    <row r="17" spans="2:33">
      <c r="AF17" s="1" t="s">
        <v>33</v>
      </c>
      <c r="AG17" s="7">
        <v>7.0000000000000007E-2</v>
      </c>
    </row>
    <row r="18" spans="2:33">
      <c r="B18" s="1" t="s">
        <v>40</v>
      </c>
      <c r="C18" s="1">
        <v>160.762</v>
      </c>
      <c r="D18" s="1">
        <f>1143.346-C18</f>
        <v>982.58400000000006</v>
      </c>
      <c r="E18" s="1">
        <f>1343.068-SUM(C18:D18)</f>
        <v>199.72199999999998</v>
      </c>
      <c r="F18" s="1">
        <f>+U18-SUM(C18:E18)</f>
        <v>760.94100000000003</v>
      </c>
      <c r="G18" s="1">
        <v>2579.8530000000001</v>
      </c>
      <c r="H18" s="1">
        <f>5209.442-G18</f>
        <v>2629.5889999999999</v>
      </c>
      <c r="I18" s="1">
        <f>8104.122-SUM(G18:H18)</f>
        <v>2894.6800000000003</v>
      </c>
      <c r="U18" s="1">
        <v>2104.009</v>
      </c>
      <c r="AF18" s="1" t="s">
        <v>34</v>
      </c>
      <c r="AG18" s="1">
        <f>NPV(AG17,V12:CC12)</f>
        <v>166688.91836537598</v>
      </c>
    </row>
    <row r="19" spans="2:33">
      <c r="B19" s="1" t="s">
        <v>41</v>
      </c>
      <c r="C19" s="1">
        <f>+-129.249</f>
        <v>-129.249</v>
      </c>
      <c r="D19" s="1">
        <f>+-343.356-C19</f>
        <v>-214.107</v>
      </c>
      <c r="E19" s="1">
        <f>+-467.655-SUM(C19:D19)</f>
        <v>-124.29899999999998</v>
      </c>
      <c r="F19" s="1">
        <f>+U19-SUM(C19:E19)</f>
        <v>-304.59000000000003</v>
      </c>
      <c r="G19" s="1">
        <f>+-322.596</f>
        <v>-322.596</v>
      </c>
      <c r="H19" s="1">
        <f>+-583.841-G19</f>
        <v>-261.245</v>
      </c>
      <c r="I19" s="1">
        <f>+-1188.481-SUM(G19:H19)</f>
        <v>-604.64</v>
      </c>
      <c r="U19" s="1">
        <f>+-772.245</f>
        <v>-772.245</v>
      </c>
      <c r="AF19" s="1" t="s">
        <v>35</v>
      </c>
      <c r="AG19" s="1">
        <f>+(Main!G7-Main!G8) * 1000</f>
        <v>8670.9810000000016</v>
      </c>
    </row>
    <row r="20" spans="2:33">
      <c r="B20" s="1" t="s">
        <v>42</v>
      </c>
      <c r="C20" s="1">
        <f t="shared" ref="C20:H20" si="16">SUM(C18:C19)</f>
        <v>31.513000000000005</v>
      </c>
      <c r="D20" s="1">
        <f t="shared" si="16"/>
        <v>768.47700000000009</v>
      </c>
      <c r="E20" s="1">
        <f t="shared" si="16"/>
        <v>75.423000000000002</v>
      </c>
      <c r="F20" s="1">
        <f t="shared" si="16"/>
        <v>456.351</v>
      </c>
      <c r="G20" s="1">
        <f t="shared" si="16"/>
        <v>2257.2570000000001</v>
      </c>
      <c r="H20" s="1">
        <f t="shared" si="16"/>
        <v>2368.3440000000001</v>
      </c>
      <c r="I20" s="1">
        <f>SUM(I18:I19)</f>
        <v>2290.0400000000004</v>
      </c>
      <c r="U20" s="1">
        <f>SUM(U18:U19)</f>
        <v>1331.7640000000001</v>
      </c>
      <c r="AF20" s="1" t="s">
        <v>36</v>
      </c>
      <c r="AG20" s="1">
        <f>SUM(AG18:AG19)</f>
        <v>175359.89936537598</v>
      </c>
    </row>
    <row r="21" spans="2:33">
      <c r="AF21" s="1" t="s">
        <v>37</v>
      </c>
      <c r="AG21" s="1">
        <f>+Main!G5*1000</f>
        <v>13661.139000000001</v>
      </c>
    </row>
    <row r="22" spans="2:33">
      <c r="B22" s="1" t="s">
        <v>43</v>
      </c>
      <c r="F22" s="1">
        <f>+SUM(C20:F20)</f>
        <v>1331.7640000000001</v>
      </c>
      <c r="G22" s="1">
        <f>+SUM(D20:G20)</f>
        <v>3557.5080000000003</v>
      </c>
      <c r="H22" s="1">
        <f>+SUM(E20:H20)</f>
        <v>5157.375</v>
      </c>
      <c r="I22" s="1">
        <f>+SUM(F20:I20)</f>
        <v>7371.9920000000002</v>
      </c>
      <c r="AF22" s="1" t="s">
        <v>38</v>
      </c>
      <c r="AG22" s="8">
        <f>+AG20/AG21</f>
        <v>12.836404004481322</v>
      </c>
    </row>
    <row r="23" spans="2:33">
      <c r="B23" s="1" t="s">
        <v>44</v>
      </c>
      <c r="F23" s="1">
        <f t="shared" ref="F23:H23" si="17">+SUM(C12:F12)</f>
        <v>1060.423</v>
      </c>
      <c r="G23" s="1">
        <f t="shared" si="17"/>
        <v>3170.3399999999997</v>
      </c>
      <c r="H23" s="1">
        <f t="shared" si="17"/>
        <v>5474.7389999999996</v>
      </c>
      <c r="I23" s="1">
        <f>+SUM(F12:I12)</f>
        <v>7044.3079999999991</v>
      </c>
      <c r="AF23" s="1" t="s">
        <v>39</v>
      </c>
      <c r="AG23" s="8">
        <f>+Main!G4</f>
        <v>10.47</v>
      </c>
    </row>
  </sheetData>
  <pageMargins left="0.7" right="0.7" top="0.75" bottom="0.75" header="0.3" footer="0.3"/>
  <ignoredErrors>
    <ignoredError sqref="F5:F12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2024-12-09T01:06:18Z</dcterms:created>
  <dcterms:modified xsi:type="dcterms:W3CDTF">2025-01-15T15:36:55Z</dcterms:modified>
</cp:coreProperties>
</file>