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jameelbrannon/Library/CloudStorage/Dropbox/Models/Basic Materials/basic materials/Gold/"/>
    </mc:Choice>
  </mc:AlternateContent>
  <xr:revisionPtr revIDLastSave="0" documentId="13_ncr:20001_{618B6901-C94F-CA41-996B-298CB6BCD7B3}" xr6:coauthVersionLast="47" xr6:coauthVersionMax="47" xr10:uidLastSave="{00000000-0000-0000-0000-000000000000}"/>
  <bookViews>
    <workbookView xWindow="22720" yWindow="7580" windowWidth="31580" windowHeight="27980" activeTab="2" xr2:uid="{B2EC2987-DCC0-5F4B-BB40-E197D267CD19}"/>
  </bookViews>
  <sheets>
    <sheet name="Main" sheetId="1" r:id="rId1"/>
    <sheet name="Model" sheetId="2" r:id="rId2"/>
    <sheet name="Reserves" sheetId="5" r:id="rId3"/>
    <sheet name="Akyem" sheetId="4" r:id="rId4"/>
    <sheet name="Ahafo" sheetId="3"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9" i="2" l="1"/>
  <c r="U19" i="2" s="1"/>
  <c r="D10" i="2"/>
  <c r="T3" i="2"/>
  <c r="U5" i="2"/>
  <c r="U8" i="2"/>
  <c r="U7" i="2"/>
  <c r="U6" i="2"/>
  <c r="U3" i="2"/>
  <c r="U4" i="2"/>
  <c r="T10" i="2"/>
  <c r="T9" i="2"/>
  <c r="T8" i="2"/>
  <c r="T7" i="2"/>
  <c r="T6" i="2"/>
  <c r="T4" i="2"/>
  <c r="AG54" i="2"/>
  <c r="AG52" i="2"/>
  <c r="N23" i="2"/>
  <c r="U23" i="2" s="1"/>
  <c r="N22" i="2"/>
  <c r="U22" i="2" s="1"/>
  <c r="N21" i="2"/>
  <c r="N20" i="2"/>
  <c r="U20" i="2" s="1"/>
  <c r="U2" i="2"/>
  <c r="V2" i="2" s="1"/>
  <c r="W2" i="2" s="1"/>
  <c r="X2" i="2" s="1"/>
  <c r="Y2" i="2" s="1"/>
  <c r="Z2" i="2" s="1"/>
  <c r="AA2" i="2" s="1"/>
  <c r="AB2" i="2" s="1"/>
  <c r="AC2" i="2" s="1"/>
  <c r="AD2" i="2" s="1"/>
  <c r="AE2" i="2" s="1"/>
  <c r="AF2" i="2" s="1"/>
  <c r="AG2" i="2" s="1"/>
  <c r="AH2" i="2" s="1"/>
  <c r="AI2" i="2" s="1"/>
  <c r="AJ2" i="2" s="1"/>
  <c r="AK2" i="2" s="1"/>
  <c r="AL2" i="2" s="1"/>
  <c r="AM2" i="2" s="1"/>
  <c r="AN2" i="2" s="1"/>
  <c r="AO2" i="2" s="1"/>
  <c r="AP2" i="2" s="1"/>
  <c r="AQ2" i="2" s="1"/>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ED2" i="2" s="1"/>
  <c r="EE2" i="2" s="1"/>
  <c r="EF2" i="2" s="1"/>
  <c r="EG2" i="2" s="1"/>
  <c r="EH2" i="2" s="1"/>
  <c r="EI2" i="2" s="1"/>
  <c r="EJ2" i="2" s="1"/>
  <c r="EK2" i="2" s="1"/>
  <c r="EL2" i="2" s="1"/>
  <c r="EM2" i="2" s="1"/>
  <c r="EN2" i="2" s="1"/>
  <c r="EO2" i="2" s="1"/>
  <c r="EP2" i="2" s="1"/>
  <c r="EQ2" i="2" s="1"/>
  <c r="ER2" i="2" s="1"/>
  <c r="ES2" i="2" s="1"/>
  <c r="ET2" i="2" s="1"/>
  <c r="EU2" i="2" s="1"/>
  <c r="EV2" i="2" s="1"/>
  <c r="EW2" i="2" s="1"/>
  <c r="EX2" i="2" s="1"/>
  <c r="EY2" i="2" s="1"/>
  <c r="EZ2" i="2" s="1"/>
  <c r="FA2" i="2" s="1"/>
  <c r="FB2" i="2" s="1"/>
  <c r="FC2" i="2" s="1"/>
  <c r="FD2" i="2" s="1"/>
  <c r="FE2" i="2" s="1"/>
  <c r="FF2" i="2" s="1"/>
  <c r="FG2" i="2" s="1"/>
  <c r="FH2" i="2" s="1"/>
  <c r="FI2" i="2" s="1"/>
  <c r="FJ2" i="2" s="1"/>
  <c r="FK2" i="2" s="1"/>
  <c r="FL2" i="2" s="1"/>
  <c r="FM2" i="2" s="1"/>
  <c r="FN2" i="2" s="1"/>
  <c r="FO2" i="2" s="1"/>
  <c r="FP2" i="2" s="1"/>
  <c r="FQ2" i="2" s="1"/>
  <c r="FR2" i="2" s="1"/>
  <c r="FS2" i="2" s="1"/>
  <c r="FT2" i="2" s="1"/>
  <c r="FU2" i="2" s="1"/>
  <c r="FV2" i="2" s="1"/>
  <c r="FW2" i="2" s="1"/>
  <c r="FX2" i="2" s="1"/>
  <c r="FY2" i="2" s="1"/>
  <c r="FZ2" i="2" s="1"/>
  <c r="GA2" i="2" s="1"/>
  <c r="GB2" i="2" s="1"/>
  <c r="GC2" i="2" s="1"/>
  <c r="GD2" i="2" s="1"/>
  <c r="GE2" i="2" s="1"/>
  <c r="GF2" i="2" s="1"/>
  <c r="GG2" i="2" s="1"/>
  <c r="GH2" i="2" s="1"/>
  <c r="GI2" i="2" s="1"/>
  <c r="GJ2" i="2" s="1"/>
  <c r="GK2" i="2" s="1"/>
  <c r="GL2" i="2" s="1"/>
  <c r="GM2" i="2" s="1"/>
  <c r="GN2" i="2" s="1"/>
  <c r="GO2" i="2" s="1"/>
  <c r="GP2" i="2" s="1"/>
  <c r="GQ2" i="2" s="1"/>
  <c r="GR2" i="2" s="1"/>
  <c r="GS2" i="2" s="1"/>
  <c r="GT2" i="2" s="1"/>
  <c r="GU2" i="2" s="1"/>
  <c r="GV2" i="2" s="1"/>
  <c r="GW2" i="2" s="1"/>
  <c r="GX2" i="2" s="1"/>
  <c r="GY2" i="2" s="1"/>
  <c r="GZ2" i="2" s="1"/>
  <c r="HA2" i="2" s="1"/>
  <c r="HB2" i="2" s="1"/>
  <c r="HC2" i="2" s="1"/>
  <c r="HD2" i="2" s="1"/>
  <c r="HE2" i="2" s="1"/>
  <c r="HF2" i="2" s="1"/>
  <c r="HG2" i="2" s="1"/>
  <c r="HH2" i="2" s="1"/>
  <c r="HI2" i="2" s="1"/>
  <c r="HJ2" i="2" s="1"/>
  <c r="HK2" i="2" s="1"/>
  <c r="HL2" i="2" s="1"/>
  <c r="HM2" i="2" s="1"/>
  <c r="HN2" i="2" s="1"/>
  <c r="HO2" i="2" s="1"/>
  <c r="HP2" i="2" s="1"/>
  <c r="HQ2" i="2" s="1"/>
  <c r="HR2" i="2" s="1"/>
  <c r="HS2" i="2" s="1"/>
  <c r="HT2" i="2" s="1"/>
  <c r="HU2" i="2" s="1"/>
  <c r="HV2" i="2" s="1"/>
  <c r="N38" i="2"/>
  <c r="T54" i="2"/>
  <c r="S54" i="2"/>
  <c r="R54" i="2"/>
  <c r="C54" i="2"/>
  <c r="D53" i="2"/>
  <c r="E53" i="2" s="1"/>
  <c r="D52" i="2"/>
  <c r="G54" i="2"/>
  <c r="K54" i="2"/>
  <c r="H53" i="2"/>
  <c r="H52" i="2"/>
  <c r="L53" i="2"/>
  <c r="M53" i="2" s="1"/>
  <c r="L52" i="2"/>
  <c r="M52" i="2" s="1"/>
  <c r="I53" i="2"/>
  <c r="Q45" i="2"/>
  <c r="Q44" i="2"/>
  <c r="Q43" i="2"/>
  <c r="Q42" i="2"/>
  <c r="Q41" i="2"/>
  <c r="P24" i="2"/>
  <c r="P34" i="2" s="1"/>
  <c r="P37" i="2" s="1"/>
  <c r="P39" i="2" s="1"/>
  <c r="Q24" i="2"/>
  <c r="Q46" i="2" s="1"/>
  <c r="R45" i="2"/>
  <c r="R44" i="2"/>
  <c r="R43" i="2"/>
  <c r="R42" i="2"/>
  <c r="R41" i="2"/>
  <c r="F36" i="2"/>
  <c r="F35" i="2"/>
  <c r="F33" i="2"/>
  <c r="F32" i="2"/>
  <c r="F31" i="2"/>
  <c r="F30" i="2"/>
  <c r="F29" i="2"/>
  <c r="F28" i="2"/>
  <c r="F27" i="2"/>
  <c r="F26" i="2"/>
  <c r="F25" i="2"/>
  <c r="J36" i="2"/>
  <c r="J35" i="2"/>
  <c r="J33" i="2"/>
  <c r="J32" i="2"/>
  <c r="J31" i="2"/>
  <c r="J30" i="2"/>
  <c r="J29" i="2"/>
  <c r="J28" i="2"/>
  <c r="J27" i="2"/>
  <c r="J26" i="2"/>
  <c r="J25" i="2"/>
  <c r="S45" i="2"/>
  <c r="S44" i="2"/>
  <c r="S43" i="2"/>
  <c r="S42" i="2"/>
  <c r="S41" i="2"/>
  <c r="T45" i="2"/>
  <c r="T44" i="2"/>
  <c r="T43" i="2"/>
  <c r="T42" i="2"/>
  <c r="T41" i="2"/>
  <c r="G45" i="2"/>
  <c r="G44" i="2"/>
  <c r="G43" i="2"/>
  <c r="G42" i="2"/>
  <c r="G41" i="2"/>
  <c r="H45" i="2"/>
  <c r="H44" i="2"/>
  <c r="H43" i="2"/>
  <c r="H42" i="2"/>
  <c r="H41" i="2"/>
  <c r="I45" i="2"/>
  <c r="I44" i="2"/>
  <c r="I43" i="2"/>
  <c r="I42" i="2"/>
  <c r="I41" i="2"/>
  <c r="F23" i="2"/>
  <c r="F22" i="2"/>
  <c r="F21" i="2"/>
  <c r="F20" i="2"/>
  <c r="F19" i="2"/>
  <c r="J23" i="2"/>
  <c r="J22" i="2"/>
  <c r="J21" i="2"/>
  <c r="J20" i="2"/>
  <c r="J19" i="2"/>
  <c r="N41" i="2" s="1"/>
  <c r="C24" i="2"/>
  <c r="C34" i="2" s="1"/>
  <c r="D24" i="2"/>
  <c r="D34" i="2" s="1"/>
  <c r="E24" i="2"/>
  <c r="E34" i="2" s="1"/>
  <c r="E37" i="2" s="1"/>
  <c r="K45" i="2"/>
  <c r="K44" i="2"/>
  <c r="K43" i="2"/>
  <c r="K42" i="2"/>
  <c r="K41" i="2"/>
  <c r="L45" i="2"/>
  <c r="L44" i="2"/>
  <c r="L43" i="2"/>
  <c r="L42" i="2"/>
  <c r="L41" i="2"/>
  <c r="G24" i="2"/>
  <c r="G48" i="2" s="1"/>
  <c r="K24" i="2"/>
  <c r="K48" i="2" s="1"/>
  <c r="M45" i="2"/>
  <c r="M44" i="2"/>
  <c r="M43" i="2"/>
  <c r="M42" i="2"/>
  <c r="M41" i="2"/>
  <c r="H24" i="2"/>
  <c r="H34" i="2" s="1"/>
  <c r="L24" i="2"/>
  <c r="L34" i="2" s="1"/>
  <c r="R24" i="2"/>
  <c r="S24" i="2"/>
  <c r="S48" i="2" s="1"/>
  <c r="T24" i="2"/>
  <c r="T48" i="2" s="1"/>
  <c r="I24" i="2"/>
  <c r="I34" i="2" s="1"/>
  <c r="I37" i="2" s="1"/>
  <c r="M24" i="2"/>
  <c r="M48" i="2" s="1"/>
  <c r="K6" i="1"/>
  <c r="AG50" i="2" s="1"/>
  <c r="K5" i="1"/>
  <c r="L6" i="1"/>
  <c r="L7" i="1" s="1"/>
  <c r="N43" i="2" l="1"/>
  <c r="U44" i="2"/>
  <c r="V22" i="2"/>
  <c r="V44" i="2" s="1"/>
  <c r="F53" i="2"/>
  <c r="N44" i="2"/>
  <c r="U21" i="2"/>
  <c r="U43" i="2" s="1"/>
  <c r="R46" i="2"/>
  <c r="J42" i="2"/>
  <c r="T34" i="2"/>
  <c r="T37" i="2" s="1"/>
  <c r="T39" i="2" s="1"/>
  <c r="V23" i="2"/>
  <c r="U45" i="2"/>
  <c r="V19" i="2"/>
  <c r="U41" i="2"/>
  <c r="U24" i="2"/>
  <c r="U46" i="2" s="1"/>
  <c r="H57" i="2"/>
  <c r="U42" i="2"/>
  <c r="V20" i="2"/>
  <c r="W20" i="2" s="1"/>
  <c r="N45" i="2"/>
  <c r="T46" i="2"/>
  <c r="H54" i="2"/>
  <c r="W22" i="2"/>
  <c r="N24" i="2"/>
  <c r="K34" i="2"/>
  <c r="K37" i="2" s="1"/>
  <c r="K39" i="2" s="1"/>
  <c r="R34" i="2"/>
  <c r="R37" i="2" s="1"/>
  <c r="R39" i="2" s="1"/>
  <c r="J53" i="2"/>
  <c r="C48" i="2"/>
  <c r="G46" i="2"/>
  <c r="N42" i="2"/>
  <c r="E52" i="2"/>
  <c r="F52" i="2" s="1"/>
  <c r="D54" i="2"/>
  <c r="L54" i="2"/>
  <c r="M54" i="2"/>
  <c r="Q34" i="2"/>
  <c r="Q37" i="2" s="1"/>
  <c r="Q39" i="2" s="1"/>
  <c r="D48" i="2"/>
  <c r="L48" i="2"/>
  <c r="S46" i="2"/>
  <c r="E48" i="2"/>
  <c r="J41" i="2"/>
  <c r="P48" i="2"/>
  <c r="Q48" i="2"/>
  <c r="S34" i="2"/>
  <c r="S37" i="2" s="1"/>
  <c r="S39" i="2" s="1"/>
  <c r="H48" i="2"/>
  <c r="R48" i="2"/>
  <c r="I48" i="2"/>
  <c r="J44" i="2"/>
  <c r="J43" i="2"/>
  <c r="J45" i="2"/>
  <c r="K46" i="2"/>
  <c r="G34" i="2"/>
  <c r="G37" i="2" s="1"/>
  <c r="H37" i="2"/>
  <c r="I39" i="2"/>
  <c r="J24" i="2"/>
  <c r="J48" i="2" s="1"/>
  <c r="C37" i="2"/>
  <c r="I46" i="2"/>
  <c r="D37" i="2"/>
  <c r="L37" i="2"/>
  <c r="L39" i="2" s="1"/>
  <c r="F34" i="2"/>
  <c r="F37" i="2" s="1"/>
  <c r="L46" i="2"/>
  <c r="H46" i="2"/>
  <c r="F24" i="2"/>
  <c r="F48" i="2" s="1"/>
  <c r="E39" i="2"/>
  <c r="K8" i="1"/>
  <c r="M46" i="2"/>
  <c r="M34" i="2"/>
  <c r="V21" i="2" l="1"/>
  <c r="I52" i="2"/>
  <c r="F54" i="2"/>
  <c r="G56" i="2"/>
  <c r="X22" i="2"/>
  <c r="W44" i="2"/>
  <c r="H39" i="2"/>
  <c r="I57" i="2"/>
  <c r="G39" i="2"/>
  <c r="W21" i="2"/>
  <c r="V43" i="2"/>
  <c r="V41" i="2"/>
  <c r="W19" i="2"/>
  <c r="D39" i="2"/>
  <c r="G57" i="2"/>
  <c r="V24" i="2"/>
  <c r="V42" i="2"/>
  <c r="W23" i="2"/>
  <c r="V45" i="2"/>
  <c r="C39" i="2"/>
  <c r="F39" i="2" s="1"/>
  <c r="F38" i="2" s="1"/>
  <c r="F57" i="2"/>
  <c r="E54" i="2"/>
  <c r="F56" i="2" s="1"/>
  <c r="N30" i="2"/>
  <c r="U30" i="2" s="1"/>
  <c r="N26" i="2"/>
  <c r="U26" i="2" s="1"/>
  <c r="N29" i="2"/>
  <c r="U29" i="2" s="1"/>
  <c r="N28" i="2"/>
  <c r="U28" i="2" s="1"/>
  <c r="N27" i="2"/>
  <c r="U27" i="2" s="1"/>
  <c r="N33" i="2"/>
  <c r="U33" i="2" s="1"/>
  <c r="N25" i="2"/>
  <c r="U25" i="2" s="1"/>
  <c r="N46" i="2"/>
  <c r="N32" i="2"/>
  <c r="U32" i="2" s="1"/>
  <c r="N31" i="2"/>
  <c r="U31" i="2" s="1"/>
  <c r="X20" i="2"/>
  <c r="W42" i="2"/>
  <c r="J46" i="2"/>
  <c r="M37" i="2"/>
  <c r="M39" i="2" s="1"/>
  <c r="J34" i="2"/>
  <c r="J37" i="2" s="1"/>
  <c r="K57" i="2" s="1"/>
  <c r="J57" i="2" l="1"/>
  <c r="J39" i="2"/>
  <c r="H56" i="2"/>
  <c r="X44" i="2"/>
  <c r="Y22" i="2"/>
  <c r="V46" i="2"/>
  <c r="V33" i="2"/>
  <c r="V29" i="2"/>
  <c r="V26" i="2"/>
  <c r="V27" i="2"/>
  <c r="V32" i="2"/>
  <c r="V28" i="2"/>
  <c r="V30" i="2"/>
  <c r="V31" i="2"/>
  <c r="V25" i="2"/>
  <c r="X19" i="2"/>
  <c r="W41" i="2"/>
  <c r="W24" i="2"/>
  <c r="J52" i="2"/>
  <c r="J54" i="2" s="1"/>
  <c r="M56" i="2" s="1"/>
  <c r="I54" i="2"/>
  <c r="N34" i="2"/>
  <c r="J38" i="2"/>
  <c r="M57" i="2"/>
  <c r="L57" i="2"/>
  <c r="W45" i="2"/>
  <c r="X23" i="2"/>
  <c r="X21" i="2"/>
  <c r="W43" i="2"/>
  <c r="Y20" i="2"/>
  <c r="X42" i="2"/>
  <c r="V34" i="2" l="1"/>
  <c r="V36" i="2"/>
  <c r="U34" i="2"/>
  <c r="N36" i="2"/>
  <c r="U36" i="2" s="1"/>
  <c r="N35" i="2"/>
  <c r="U35" i="2" s="1"/>
  <c r="V35" i="2" s="1"/>
  <c r="N37" i="2"/>
  <c r="X43" i="2"/>
  <c r="Y21" i="2"/>
  <c r="L56" i="2"/>
  <c r="K56" i="2"/>
  <c r="J56" i="2"/>
  <c r="Z22" i="2"/>
  <c r="Y44" i="2"/>
  <c r="X24" i="2"/>
  <c r="X28" i="2" s="1"/>
  <c r="X45" i="2"/>
  <c r="Y23" i="2"/>
  <c r="W46" i="2"/>
  <c r="W26" i="2"/>
  <c r="W31" i="2"/>
  <c r="W28" i="2"/>
  <c r="W30" i="2"/>
  <c r="W27" i="2"/>
  <c r="W33" i="2"/>
  <c r="W25" i="2"/>
  <c r="W32" i="2"/>
  <c r="W29" i="2"/>
  <c r="Y19" i="2"/>
  <c r="X41" i="2"/>
  <c r="I56" i="2"/>
  <c r="Y42" i="2"/>
  <c r="Z20" i="2"/>
  <c r="Y24" i="2"/>
  <c r="W34" i="2" l="1"/>
  <c r="X31" i="2"/>
  <c r="Y31" i="2" s="1"/>
  <c r="W35" i="2"/>
  <c r="Z23" i="2"/>
  <c r="Y45" i="2"/>
  <c r="Z21" i="2"/>
  <c r="Y43" i="2"/>
  <c r="Y26" i="2"/>
  <c r="W36" i="2"/>
  <c r="X46" i="2"/>
  <c r="X26" i="2"/>
  <c r="U37" i="2"/>
  <c r="N39" i="2"/>
  <c r="U39" i="2" s="1"/>
  <c r="X27" i="2"/>
  <c r="X30" i="2"/>
  <c r="Y30" i="2" s="1"/>
  <c r="X29" i="2"/>
  <c r="Y29" i="2" s="1"/>
  <c r="Z44" i="2"/>
  <c r="AA22" i="2"/>
  <c r="Y28" i="2"/>
  <c r="X32" i="2"/>
  <c r="Y32" i="2" s="1"/>
  <c r="Y41" i="2"/>
  <c r="Z19" i="2"/>
  <c r="X25" i="2"/>
  <c r="Y25" i="2" s="1"/>
  <c r="V37" i="2"/>
  <c r="X33" i="2"/>
  <c r="Y46" i="2"/>
  <c r="Y33" i="2"/>
  <c r="Z42" i="2"/>
  <c r="AA20" i="2"/>
  <c r="Z24" i="2"/>
  <c r="Z46" i="2" s="1"/>
  <c r="W37" i="2" l="1"/>
  <c r="X34" i="2"/>
  <c r="U38" i="2"/>
  <c r="V38" i="2" s="1"/>
  <c r="AA19" i="2"/>
  <c r="Z41" i="2"/>
  <c r="Z43" i="2"/>
  <c r="AA21" i="2"/>
  <c r="AA24" i="2" s="1"/>
  <c r="Z45" i="2"/>
  <c r="AA23" i="2"/>
  <c r="Z25" i="2"/>
  <c r="Y27" i="2"/>
  <c r="Y34" i="2" s="1"/>
  <c r="AA44" i="2"/>
  <c r="AB22" i="2"/>
  <c r="Z27" i="2"/>
  <c r="Z31" i="2"/>
  <c r="Z32" i="2"/>
  <c r="Z26" i="2"/>
  <c r="Z29" i="2"/>
  <c r="Z28" i="2"/>
  <c r="AB20" i="2"/>
  <c r="AA42" i="2"/>
  <c r="Z30" i="2"/>
  <c r="Z33" i="2"/>
  <c r="AA30" i="2" l="1"/>
  <c r="AA25" i="2"/>
  <c r="Y36" i="2"/>
  <c r="AA43" i="2"/>
  <c r="AB21" i="2"/>
  <c r="AA27" i="2"/>
  <c r="AA28" i="2"/>
  <c r="AB44" i="2"/>
  <c r="AC22" i="2"/>
  <c r="AA41" i="2"/>
  <c r="AB19" i="2"/>
  <c r="Z34" i="2"/>
  <c r="AA29" i="2"/>
  <c r="AA33" i="2"/>
  <c r="AA32" i="2"/>
  <c r="W38" i="2"/>
  <c r="V39" i="2"/>
  <c r="AB23" i="2"/>
  <c r="AA45" i="2"/>
  <c r="X36" i="2"/>
  <c r="X35" i="2"/>
  <c r="X37" i="2" s="1"/>
  <c r="AA46" i="2"/>
  <c r="AA31" i="2"/>
  <c r="AA26" i="2"/>
  <c r="AA34" i="2" s="1"/>
  <c r="AB42" i="2"/>
  <c r="AC20" i="2"/>
  <c r="Z36" i="2" l="1"/>
  <c r="AB43" i="2"/>
  <c r="AC21" i="2"/>
  <c r="AC19" i="2"/>
  <c r="AB41" i="2"/>
  <c r="Y35" i="2"/>
  <c r="AC23" i="2"/>
  <c r="AB45" i="2"/>
  <c r="AD22" i="2"/>
  <c r="AD44" i="2" s="1"/>
  <c r="AC44" i="2"/>
  <c r="X38" i="2"/>
  <c r="Y38" i="2" s="1"/>
  <c r="Z38" i="2" s="1"/>
  <c r="AA38" i="2" s="1"/>
  <c r="AB38" i="2" s="1"/>
  <c r="AC38" i="2" s="1"/>
  <c r="AD38" i="2" s="1"/>
  <c r="W39" i="2"/>
  <c r="AB24" i="2"/>
  <c r="AB33" i="2" s="1"/>
  <c r="AB30" i="2"/>
  <c r="AC42" i="2"/>
  <c r="AD20" i="2"/>
  <c r="AA36" i="2"/>
  <c r="AB32" i="2" l="1"/>
  <c r="AB28" i="2"/>
  <c r="AB26" i="2"/>
  <c r="AD23" i="2"/>
  <c r="AD45" i="2" s="1"/>
  <c r="AC45" i="2"/>
  <c r="Y37" i="2"/>
  <c r="Y39" i="2" s="1"/>
  <c r="Z35" i="2"/>
  <c r="AB34" i="2"/>
  <c r="AB36" i="2" s="1"/>
  <c r="AB46" i="2"/>
  <c r="AB31" i="2"/>
  <c r="AB25" i="2"/>
  <c r="AC25" i="2" s="1"/>
  <c r="AB29" i="2"/>
  <c r="AB27" i="2"/>
  <c r="AD19" i="2"/>
  <c r="AD41" i="2" s="1"/>
  <c r="AC41" i="2"/>
  <c r="AD21" i="2"/>
  <c r="AD43" i="2" s="1"/>
  <c r="AC43" i="2"/>
  <c r="AC24" i="2"/>
  <c r="X39" i="2"/>
  <c r="AD42" i="2"/>
  <c r="AC26" i="2"/>
  <c r="AC33" i="2"/>
  <c r="AC28" i="2"/>
  <c r="AA35" i="2" l="1"/>
  <c r="AA37" i="2" s="1"/>
  <c r="AA39" i="2" s="1"/>
  <c r="Z37" i="2"/>
  <c r="Z39" i="2" s="1"/>
  <c r="AB35" i="2"/>
  <c r="AB37" i="2" s="1"/>
  <c r="AC46" i="2"/>
  <c r="AC31" i="2"/>
  <c r="AC29" i="2"/>
  <c r="AC32" i="2"/>
  <c r="AC30" i="2"/>
  <c r="AD30" i="2" s="1"/>
  <c r="AC27" i="2"/>
  <c r="AD24" i="2"/>
  <c r="AD27" i="2"/>
  <c r="AD25" i="2"/>
  <c r="AB39" i="2"/>
  <c r="AC34" i="2" l="1"/>
  <c r="AC36" i="2"/>
  <c r="AC35" i="2"/>
  <c r="AC37" i="2" s="1"/>
  <c r="AC39" i="2" s="1"/>
  <c r="AD46" i="2"/>
  <c r="AD32" i="2"/>
  <c r="AD26" i="2"/>
  <c r="AD29" i="2"/>
  <c r="AD33" i="2"/>
  <c r="AD31" i="2"/>
  <c r="AD28" i="2"/>
  <c r="AD34" i="2" l="1"/>
  <c r="AD35" i="2" s="1"/>
  <c r="AD36" i="2"/>
  <c r="AD37" i="2" l="1"/>
  <c r="AD39" i="2"/>
  <c r="AE37" i="2"/>
  <c r="AF37" i="2" s="1"/>
  <c r="AG37" i="2" s="1"/>
  <c r="AH37" i="2" s="1"/>
  <c r="AI37" i="2" s="1"/>
  <c r="AJ37" i="2" s="1"/>
  <c r="AK37" i="2" s="1"/>
  <c r="AL37" i="2" s="1"/>
  <c r="AM37" i="2" s="1"/>
  <c r="AN37" i="2" s="1"/>
  <c r="AO37" i="2" s="1"/>
  <c r="AP37" i="2" s="1"/>
  <c r="AQ37" i="2" s="1"/>
  <c r="AR37" i="2" s="1"/>
  <c r="AS37" i="2" s="1"/>
  <c r="AT37" i="2" s="1"/>
  <c r="AU37" i="2" s="1"/>
  <c r="AV37" i="2" s="1"/>
  <c r="AW37" i="2" s="1"/>
  <c r="AX37" i="2" s="1"/>
  <c r="AY37" i="2" s="1"/>
  <c r="AZ37" i="2" s="1"/>
  <c r="BA37" i="2" s="1"/>
  <c r="BB37" i="2" s="1"/>
  <c r="BC37" i="2" s="1"/>
  <c r="BD37" i="2" s="1"/>
  <c r="BE37" i="2" s="1"/>
  <c r="BF37" i="2" s="1"/>
  <c r="BG37" i="2" s="1"/>
  <c r="BH37" i="2" s="1"/>
  <c r="BI37" i="2" s="1"/>
  <c r="BJ37" i="2" s="1"/>
  <c r="BK37" i="2" s="1"/>
  <c r="BL37" i="2" s="1"/>
  <c r="BM37" i="2" s="1"/>
  <c r="BN37" i="2" s="1"/>
  <c r="BO37" i="2" s="1"/>
  <c r="BP37" i="2" s="1"/>
  <c r="BQ37" i="2" s="1"/>
  <c r="BR37" i="2" s="1"/>
  <c r="BS37" i="2" s="1"/>
  <c r="BT37" i="2" s="1"/>
  <c r="BU37" i="2" s="1"/>
  <c r="BV37" i="2" s="1"/>
  <c r="BW37" i="2" s="1"/>
  <c r="BX37" i="2" s="1"/>
  <c r="BY37" i="2" s="1"/>
  <c r="BZ37" i="2" s="1"/>
  <c r="CA37" i="2" s="1"/>
  <c r="CB37" i="2" s="1"/>
  <c r="CC37" i="2" s="1"/>
  <c r="CD37" i="2" s="1"/>
  <c r="CE37" i="2" s="1"/>
  <c r="CF37" i="2" s="1"/>
  <c r="CG37" i="2" s="1"/>
  <c r="CH37" i="2" s="1"/>
  <c r="CI37" i="2" s="1"/>
  <c r="CJ37" i="2" s="1"/>
  <c r="CK37" i="2" s="1"/>
  <c r="CL37" i="2" s="1"/>
  <c r="CM37" i="2" s="1"/>
  <c r="CN37" i="2" s="1"/>
  <c r="CO37" i="2" s="1"/>
  <c r="CP37" i="2" s="1"/>
  <c r="CQ37" i="2" s="1"/>
  <c r="CR37" i="2" s="1"/>
  <c r="CS37" i="2" s="1"/>
  <c r="CT37" i="2" s="1"/>
  <c r="CU37" i="2" s="1"/>
  <c r="CV37" i="2" s="1"/>
  <c r="CW37" i="2" s="1"/>
  <c r="CX37" i="2" s="1"/>
  <c r="CY37" i="2" s="1"/>
  <c r="CZ37" i="2" s="1"/>
  <c r="DA37" i="2" s="1"/>
  <c r="DB37" i="2" s="1"/>
  <c r="DC37" i="2" s="1"/>
  <c r="DD37" i="2" s="1"/>
  <c r="DE37" i="2" s="1"/>
  <c r="DF37" i="2" s="1"/>
  <c r="DG37" i="2" s="1"/>
  <c r="DH37" i="2" s="1"/>
  <c r="DI37" i="2" s="1"/>
  <c r="DJ37" i="2" s="1"/>
  <c r="DK37" i="2" s="1"/>
  <c r="DL37" i="2" s="1"/>
  <c r="DM37" i="2" s="1"/>
  <c r="DN37" i="2" s="1"/>
  <c r="DO37" i="2" s="1"/>
  <c r="DP37" i="2" s="1"/>
  <c r="DQ37" i="2" s="1"/>
  <c r="DR37" i="2" s="1"/>
  <c r="DS37" i="2" s="1"/>
  <c r="DT37" i="2" s="1"/>
  <c r="DU37" i="2" s="1"/>
  <c r="DV37" i="2" s="1"/>
  <c r="DW37" i="2" s="1"/>
  <c r="DX37" i="2" s="1"/>
  <c r="DY37" i="2" s="1"/>
  <c r="DZ37" i="2" s="1"/>
  <c r="EA37" i="2" s="1"/>
  <c r="EB37" i="2" s="1"/>
  <c r="EC37" i="2" s="1"/>
  <c r="ED37" i="2" s="1"/>
  <c r="EE37" i="2" s="1"/>
  <c r="EF37" i="2" s="1"/>
  <c r="EG37" i="2" s="1"/>
  <c r="EH37" i="2" s="1"/>
  <c r="EI37" i="2" s="1"/>
  <c r="EJ37" i="2" s="1"/>
  <c r="EK37" i="2" s="1"/>
  <c r="EL37" i="2" s="1"/>
  <c r="EM37" i="2" s="1"/>
  <c r="EN37" i="2" s="1"/>
  <c r="EO37" i="2" s="1"/>
  <c r="EP37" i="2" s="1"/>
  <c r="EQ37" i="2" s="1"/>
  <c r="ER37" i="2" s="1"/>
  <c r="ES37" i="2" s="1"/>
  <c r="ET37" i="2" s="1"/>
  <c r="EU37" i="2" s="1"/>
  <c r="EV37" i="2" s="1"/>
  <c r="EW37" i="2" s="1"/>
  <c r="EX37" i="2" s="1"/>
  <c r="EY37" i="2" s="1"/>
  <c r="EZ37" i="2" s="1"/>
  <c r="FA37" i="2" s="1"/>
  <c r="FB37" i="2" s="1"/>
  <c r="FC37" i="2" s="1"/>
  <c r="FD37" i="2" s="1"/>
  <c r="FE37" i="2" s="1"/>
  <c r="FF37" i="2" s="1"/>
  <c r="FG37" i="2" s="1"/>
  <c r="FH37" i="2" s="1"/>
  <c r="FI37" i="2" s="1"/>
  <c r="FJ37" i="2" s="1"/>
  <c r="FK37" i="2" s="1"/>
  <c r="FL37" i="2" s="1"/>
  <c r="FM37" i="2" s="1"/>
  <c r="FN37" i="2" s="1"/>
  <c r="FO37" i="2" s="1"/>
  <c r="FP37" i="2" s="1"/>
  <c r="FQ37" i="2" s="1"/>
  <c r="FR37" i="2" s="1"/>
  <c r="FS37" i="2" s="1"/>
  <c r="FT37" i="2" s="1"/>
  <c r="FU37" i="2" s="1"/>
  <c r="FV37" i="2" s="1"/>
  <c r="FW37" i="2" s="1"/>
  <c r="FX37" i="2" s="1"/>
  <c r="FY37" i="2" s="1"/>
  <c r="FZ37" i="2" s="1"/>
  <c r="GA37" i="2" s="1"/>
  <c r="GB37" i="2" s="1"/>
  <c r="GC37" i="2" s="1"/>
  <c r="GD37" i="2" s="1"/>
  <c r="GE37" i="2" s="1"/>
  <c r="GF37" i="2" s="1"/>
  <c r="GG37" i="2" s="1"/>
  <c r="GH37" i="2" s="1"/>
  <c r="GI37" i="2" s="1"/>
  <c r="GJ37" i="2" s="1"/>
  <c r="GK37" i="2" s="1"/>
  <c r="GL37" i="2" s="1"/>
  <c r="GM37" i="2" s="1"/>
  <c r="GN37" i="2" s="1"/>
  <c r="GO37" i="2" s="1"/>
  <c r="GP37" i="2" s="1"/>
  <c r="GQ37" i="2" s="1"/>
  <c r="GR37" i="2" s="1"/>
  <c r="GS37" i="2" s="1"/>
  <c r="GT37" i="2" s="1"/>
  <c r="GU37" i="2" s="1"/>
  <c r="GV37" i="2" s="1"/>
  <c r="GW37" i="2" s="1"/>
  <c r="GX37" i="2" s="1"/>
  <c r="GY37" i="2" s="1"/>
  <c r="GZ37" i="2" s="1"/>
  <c r="HA37" i="2" s="1"/>
  <c r="HB37" i="2" s="1"/>
  <c r="HC37" i="2" s="1"/>
  <c r="HD37" i="2" s="1"/>
  <c r="HE37" i="2" s="1"/>
  <c r="HF37" i="2" s="1"/>
  <c r="HG37" i="2" s="1"/>
  <c r="HH37" i="2" s="1"/>
  <c r="HI37" i="2" s="1"/>
  <c r="HJ37" i="2" s="1"/>
  <c r="HK37" i="2" s="1"/>
  <c r="HL37" i="2" s="1"/>
  <c r="HM37" i="2" s="1"/>
  <c r="HN37" i="2" s="1"/>
  <c r="HO37" i="2" s="1"/>
  <c r="HP37" i="2" s="1"/>
  <c r="HQ37" i="2" s="1"/>
  <c r="HR37" i="2" s="1"/>
  <c r="HS37" i="2" s="1"/>
  <c r="HT37" i="2" s="1"/>
  <c r="HU37" i="2" s="1"/>
  <c r="HV37" i="2" s="1"/>
  <c r="AG49" i="2" s="1"/>
  <c r="AG51" i="2" s="1"/>
  <c r="AG53" i="2" s="1"/>
  <c r="AG55" i="2" s="1"/>
</calcChain>
</file>

<file path=xl/sharedStrings.xml><?xml version="1.0" encoding="utf-8"?>
<sst xmlns="http://schemas.openxmlformats.org/spreadsheetml/2006/main" count="131" uniqueCount="118">
  <si>
    <t>P</t>
  </si>
  <si>
    <t>S</t>
  </si>
  <si>
    <t>MC</t>
  </si>
  <si>
    <t>C</t>
  </si>
  <si>
    <t>D</t>
  </si>
  <si>
    <t>EV</t>
  </si>
  <si>
    <t>Q324</t>
  </si>
  <si>
    <t>Q122</t>
  </si>
  <si>
    <t>Q322</t>
  </si>
  <si>
    <t>Q422</t>
  </si>
  <si>
    <t>Q123</t>
  </si>
  <si>
    <t>Q323</t>
  </si>
  <si>
    <t>Q423</t>
  </si>
  <si>
    <t>Q124</t>
  </si>
  <si>
    <t>Q224</t>
  </si>
  <si>
    <t>Q424</t>
  </si>
  <si>
    <t>Sales</t>
  </si>
  <si>
    <t>Costs</t>
  </si>
  <si>
    <t>D&amp;A</t>
  </si>
  <si>
    <t>Reclamation &amp; Remediation</t>
  </si>
  <si>
    <t>Exploration</t>
  </si>
  <si>
    <t>Advanced projects, R&amp;D</t>
  </si>
  <si>
    <t>G&amp;A</t>
  </si>
  <si>
    <t xml:space="preserve">Other income </t>
  </si>
  <si>
    <t>Interest Expense</t>
  </si>
  <si>
    <t>Income Before Taxes</t>
  </si>
  <si>
    <t>Taxes</t>
  </si>
  <si>
    <t>Q222</t>
  </si>
  <si>
    <t>Equity Income</t>
  </si>
  <si>
    <t>Diluted</t>
  </si>
  <si>
    <t>EPS</t>
  </si>
  <si>
    <t>Other Expense</t>
  </si>
  <si>
    <t>S Y/Y</t>
  </si>
  <si>
    <t>Gold</t>
  </si>
  <si>
    <t>Copper</t>
  </si>
  <si>
    <t>Silver</t>
  </si>
  <si>
    <t>Lead</t>
  </si>
  <si>
    <t>Zinc</t>
  </si>
  <si>
    <t>Inferred</t>
  </si>
  <si>
    <t>Proven/Probable</t>
  </si>
  <si>
    <t>Measured/Indicated</t>
  </si>
  <si>
    <t>Gold Reserves (oz)</t>
  </si>
  <si>
    <t>HQ: Denver, CO</t>
  </si>
  <si>
    <t xml:space="preserve">Gold </t>
  </si>
  <si>
    <t>Molybdenum</t>
  </si>
  <si>
    <t xml:space="preserve">Con. Gold ounces </t>
  </si>
  <si>
    <t>Attrib. Gold ounces</t>
  </si>
  <si>
    <t>Pueblo Viego (40%)</t>
  </si>
  <si>
    <t>Fruta del Norte</t>
  </si>
  <si>
    <t xml:space="preserve">gold economical and feasible to extract </t>
  </si>
  <si>
    <t>gold quantities estimated with a high degree of confidence but aren't calssified as reserves</t>
  </si>
  <si>
    <t>estimates with low degree of certainty</t>
  </si>
  <si>
    <t>A$</t>
  </si>
  <si>
    <t>C$</t>
  </si>
  <si>
    <t>Australian dollar</t>
  </si>
  <si>
    <t>Canadian dollar</t>
  </si>
  <si>
    <t>tonne</t>
  </si>
  <si>
    <t>metric ton</t>
  </si>
  <si>
    <t>Net Income</t>
  </si>
  <si>
    <t xml:space="preserve">GM </t>
  </si>
  <si>
    <t>CFFO</t>
  </si>
  <si>
    <t>Capex</t>
  </si>
  <si>
    <t xml:space="preserve">Free Cash Flow </t>
  </si>
  <si>
    <t>4Q FCF</t>
  </si>
  <si>
    <t>4Q NI</t>
  </si>
  <si>
    <t xml:space="preserve">Terminal </t>
  </si>
  <si>
    <t>Discount</t>
  </si>
  <si>
    <t>NPV</t>
  </si>
  <si>
    <t xml:space="preserve">Net Cash </t>
  </si>
  <si>
    <t xml:space="preserve">Total Value </t>
  </si>
  <si>
    <t>Shares</t>
  </si>
  <si>
    <t>Estimate</t>
  </si>
  <si>
    <t>Current</t>
  </si>
  <si>
    <t>Upside</t>
  </si>
  <si>
    <t xml:space="preserve">CFO </t>
  </si>
  <si>
    <t xml:space="preserve">CEO </t>
  </si>
  <si>
    <t>News</t>
  </si>
  <si>
    <t xml:space="preserve">Contains </t>
  </si>
  <si>
    <t>selling Cripple Creek &amp; Victor operation in Colorado to SSR Mining  for up to $275m</t>
  </si>
  <si>
    <t xml:space="preserve">Tom Palmer </t>
  </si>
  <si>
    <t xml:space="preserve">selling Eleonore operation in Northern Quebec </t>
  </si>
  <si>
    <t>selling Musselwhite operation in Ontario, Canada</t>
  </si>
  <si>
    <t xml:space="preserve">1st battery ev large mining truck  deployed in cripple creek colorado </t>
  </si>
  <si>
    <t xml:space="preserve">announces Tom palmer as Internal council on Mining and Metald) ICMM chair </t>
  </si>
  <si>
    <t xml:space="preserve">selling Akyem operation in Repub of Ghana to Zijin Mining Group </t>
  </si>
  <si>
    <t xml:space="preserve">Q4 guidance: 1.8m oz of gold </t>
  </si>
  <si>
    <t xml:space="preserve">annual prod guide: 6.9m oz </t>
  </si>
  <si>
    <t>reaffirmed guide</t>
  </si>
  <si>
    <t>Q223</t>
  </si>
  <si>
    <t>Gold Oz Sold</t>
  </si>
  <si>
    <t>Avg Realized gold prices</t>
  </si>
  <si>
    <t>Total Gold Production</t>
  </si>
  <si>
    <t>Press Releases</t>
  </si>
  <si>
    <t>producer of copper, zinc, lead, and silver</t>
  </si>
  <si>
    <t>early redemption of 5.3% notes due 2026</t>
  </si>
  <si>
    <t>sale of porcupine operation for up $425m</t>
  </si>
  <si>
    <t>Operations</t>
  </si>
  <si>
    <t xml:space="preserve">Ahafo </t>
  </si>
  <si>
    <t xml:space="preserve">Akyem </t>
  </si>
  <si>
    <t>https://operations.newmont.com/africa/ahafo-ghana#documents</t>
  </si>
  <si>
    <t>Boddington</t>
  </si>
  <si>
    <t xml:space="preserve">Cadia </t>
  </si>
  <si>
    <t xml:space="preserve">Tonami </t>
  </si>
  <si>
    <t xml:space="preserve">Cerro Negro </t>
  </si>
  <si>
    <t xml:space="preserve">Merian </t>
  </si>
  <si>
    <t>Peñasquito</t>
  </si>
  <si>
    <t>Puebla Viejo (JV)</t>
  </si>
  <si>
    <t xml:space="preserve">Yanacocha </t>
  </si>
  <si>
    <t xml:space="preserve">Papua New Guinea </t>
  </si>
  <si>
    <t xml:space="preserve">Brucejack </t>
  </si>
  <si>
    <t>Cripple Creek &amp; Victor</t>
  </si>
  <si>
    <t>Eleonore</t>
  </si>
  <si>
    <t>Musselwhite</t>
  </si>
  <si>
    <t>Nevada Gold Mines</t>
  </si>
  <si>
    <t>Porcupine</t>
  </si>
  <si>
    <t xml:space="preserve">Red Chris </t>
  </si>
  <si>
    <t>sold?</t>
  </si>
  <si>
    <t xml:space="preserve">Projects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</si>
</sst>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0.0"/>
  </numFmts>
  <fonts count="6">
    <font>
      <sz val="10"/>
      <color theme="1"/>
      <name val="ArialMT"/>
      <family val="2"/>
    </font>
    <font>
      <b/>
      <sz val="10"/>
      <color theme="1"/>
      <name val="ArialMT"/>
    </font>
    <font>
      <u/>
      <sz val="10"/>
      <color theme="1"/>
      <name val="ArialMT"/>
      <family val="2"/>
    </font>
    <font>
      <sz val="10"/>
      <color theme="1"/>
      <name val="ArialMT"/>
    </font>
    <font>
      <u/>
      <sz val="10"/>
      <color theme="10"/>
      <name val="ArialMT"/>
      <family val="2"/>
    </font>
    <font>
      <i/>
      <sz val="10"/>
      <color theme="1"/>
      <name val="ArialMT"/>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3" fontId="0" fillId="0" borderId="0" xfId="0" applyNumberFormat="1"/>
    <xf numFmtId="4" fontId="0" fillId="0" borderId="0" xfId="0" applyNumberFormat="1"/>
    <xf numFmtId="3" fontId="1" fillId="0" borderId="0" xfId="0" applyNumberFormat="1" applyFont="1"/>
    <xf numFmtId="9" fontId="1" fillId="0" borderId="0" xfId="0" applyNumberFormat="1" applyFont="1"/>
    <xf numFmtId="3" fontId="0" fillId="0" borderId="4" xfId="0" applyNumberFormat="1" applyBorder="1"/>
    <xf numFmtId="3" fontId="0" fillId="0" borderId="5" xfId="0" applyNumberFormat="1" applyBorder="1"/>
    <xf numFmtId="3" fontId="0" fillId="0" borderId="6" xfId="0" applyNumberFormat="1" applyBorder="1"/>
    <xf numFmtId="3" fontId="0" fillId="0" borderId="7" xfId="0" applyNumberFormat="1" applyBorder="1"/>
    <xf numFmtId="3" fontId="0" fillId="0" borderId="8" xfId="0" applyNumberFormat="1" applyBorder="1"/>
    <xf numFmtId="1" fontId="0" fillId="0" borderId="2" xfId="0" applyNumberFormat="1" applyBorder="1"/>
    <xf numFmtId="1" fontId="0" fillId="0" borderId="3" xfId="0" applyNumberFormat="1" applyBorder="1"/>
    <xf numFmtId="1" fontId="2" fillId="0" borderId="1" xfId="0" applyNumberFormat="1" applyFont="1" applyBorder="1"/>
    <xf numFmtId="1" fontId="0" fillId="0" borderId="0" xfId="0" applyNumberFormat="1"/>
    <xf numFmtId="9" fontId="0" fillId="0" borderId="0" xfId="0" applyNumberFormat="1"/>
    <xf numFmtId="2" fontId="0" fillId="0" borderId="0" xfId="0" applyNumberFormat="1"/>
    <xf numFmtId="9" fontId="3" fillId="0" borderId="0" xfId="0" applyNumberFormat="1" applyFont="1"/>
    <xf numFmtId="3" fontId="3" fillId="0" borderId="0" xfId="0" applyNumberFormat="1" applyFont="1"/>
    <xf numFmtId="10" fontId="0" fillId="0" borderId="0" xfId="0" applyNumberFormat="1"/>
    <xf numFmtId="8" fontId="0" fillId="0" borderId="0" xfId="0" applyNumberFormat="1"/>
    <xf numFmtId="4" fontId="1" fillId="0" borderId="0" xfId="0" applyNumberFormat="1" applyFont="1"/>
    <xf numFmtId="164" fontId="0" fillId="0" borderId="0" xfId="0" applyNumberFormat="1"/>
    <xf numFmtId="14" fontId="0" fillId="0" borderId="0" xfId="0" applyNumberFormat="1"/>
    <xf numFmtId="14" fontId="4" fillId="0" borderId="0" xfId="1" applyNumberFormat="1"/>
    <xf numFmtId="165" fontId="0" fillId="0" borderId="0" xfId="0" applyNumberFormat="1"/>
    <xf numFmtId="3" fontId="2" fillId="0" borderId="0" xfId="0" applyNumberFormat="1" applyFont="1"/>
    <xf numFmtId="14" fontId="2" fillId="0" borderId="0" xfId="0" applyNumberFormat="1" applyFont="1"/>
    <xf numFmtId="3" fontId="5" fillId="0" borderId="0" xfId="0" applyNumberFormat="1" applyFont="1"/>
    <xf numFmtId="3" fontId="4" fillId="0" borderId="0" xfId="1" applyNumberFormat="1"/>
    <xf numFmtId="1"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529166</xdr:colOff>
      <xdr:row>0</xdr:row>
      <xdr:rowOff>35278</xdr:rowOff>
    </xdr:from>
    <xdr:to>
      <xdr:col>13</xdr:col>
      <xdr:colOff>14112</xdr:colOff>
      <xdr:row>65</xdr:row>
      <xdr:rowOff>28222</xdr:rowOff>
    </xdr:to>
    <xdr:cxnSp macro="">
      <xdr:nvCxnSpPr>
        <xdr:cNvPr id="3" name="Straight Connector 2">
          <a:extLst>
            <a:ext uri="{FF2B5EF4-FFF2-40B4-BE49-F238E27FC236}">
              <a16:creationId xmlns:a16="http://schemas.microsoft.com/office/drawing/2014/main" id="{D9239BA7-28DB-18CE-DB7C-F67B76F62AF7}"/>
            </a:ext>
          </a:extLst>
        </xdr:cNvPr>
        <xdr:cNvCxnSpPr/>
      </xdr:nvCxnSpPr>
      <xdr:spPr>
        <a:xfrm>
          <a:off x="6773333" y="35278"/>
          <a:ext cx="28223" cy="810683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7056</xdr:colOff>
      <xdr:row>0</xdr:row>
      <xdr:rowOff>7056</xdr:rowOff>
    </xdr:from>
    <xdr:to>
      <xdr:col>20</xdr:col>
      <xdr:colOff>35279</xdr:colOff>
      <xdr:row>65</xdr:row>
      <xdr:rowOff>0</xdr:rowOff>
    </xdr:to>
    <xdr:cxnSp macro="">
      <xdr:nvCxnSpPr>
        <xdr:cNvPr id="4" name="Straight Connector 3">
          <a:extLst>
            <a:ext uri="{FF2B5EF4-FFF2-40B4-BE49-F238E27FC236}">
              <a16:creationId xmlns:a16="http://schemas.microsoft.com/office/drawing/2014/main" id="{2B43AB2B-C83F-EB42-9938-FAB1D94A5AF8}"/>
            </a:ext>
          </a:extLst>
        </xdr:cNvPr>
        <xdr:cNvCxnSpPr/>
      </xdr:nvCxnSpPr>
      <xdr:spPr>
        <a:xfrm>
          <a:off x="10893778" y="7056"/>
          <a:ext cx="28223" cy="810683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ewmont.com/investors/news-release/news-details/2024/Newmont-Reports-Second-Quarter-2024-Results/default.aspx" TargetMode="External"/><Relationship Id="rId3" Type="http://schemas.openxmlformats.org/officeDocument/2006/relationships/hyperlink" Target="https://www.newmont.com/investors/news-release/news-details/2024/Newmont-Announces-Sale-of-Musselwhite-for-up-to-850-Million/default.aspx" TargetMode="External"/><Relationship Id="rId7" Type="http://schemas.openxmlformats.org/officeDocument/2006/relationships/hyperlink" Target="https://www.newmont.com/investors/news-release/news-details/2024/Newmont-Reports-Third-Quarter-2024-Results/default.aspx" TargetMode="External"/><Relationship Id="rId12" Type="http://schemas.openxmlformats.org/officeDocument/2006/relationships/hyperlink" Target="https://operations.newmont.com/africa/ahafo-ghana" TargetMode="External"/><Relationship Id="rId2" Type="http://schemas.openxmlformats.org/officeDocument/2006/relationships/hyperlink" Target="Announced%20Divestitures%20to%20Date%20Expected%20to%20Generate%20up%20to%20$3.6%20Billion%20in%20Gross%20Proceeds%20%20DENVER--(BUSINESS%20WIRE)--%20Newmont%20Corporation%20(NYSE:%20NEM,%20TSX:%20NGT,%20ASX:%20NEM,%20PNGX:%20NEM)%20(&#8220;Newmont&#8221;%20or%20the%20&#8220;Company&#8221;)%20announced%20today%20that%20it%20has%20agreed%20to%20sell%20its%20&#201;l&#233;onore%20operation%20in%20Northern%20Quebec,%20Canada,%20to%20Dhilmar%20Ltd%20(&#8220;Dhilmar&#8221;)%20for%20$795%20million%20in%20cash%20consideration.%20The%20transaction%20is%20expected%20to%20close%20in%20the%20first%20quarter%20of%202025,%20subject%20to%20certain%20conditions%20being%20satisfied.%201%20Upon%20closing%20the%20announced%20transactions,%20Newmont%20will%20have%20delivered%20up%20to%20$3.6%20billion%20in%20gross%20proceeds%20from%20non-core%20asset%20divestitures%20and%20investment%20sales.%202%20%20&#8220;Today&#8217;s%20announcement%20is%20another%20step%20forward%20in%20Newmont&#8217;s%20journey%20to%20create%20a%20go-forward%20portfolio%20of%20Tier%201%20gold%20and%20copper%20assets,%20each%20with%20the%20scale%20and%20mine%20life%20to%20generate%20strong%20free%20cash%20flows%20for%20several%20decades,&#8221;%20said%20Tom%20Palmer,%20Newmont's%20President%20and%20Chief%20Executive%20Officer%20.%20&#8220;When%20we%20announced%20the%20acquisition%20of%20Newcrest%20in%202023,%20we%20committed%20to%20generating%20at%20least%20$2%20billion%20in%20cash%20through%20portfolio%20optimization.%20With%20this%20announced%20sale,%20we%20have%20meaningfully%20exceeded%20our%20target%20by%20more%20than%20$1.5%20billion%20to%20date.%20Proceeds%20from%20this%20transaction%20will%20support%20Newmont&#8217;s%20comprehensive%20approach%20to%20capital%20allocation,%20which%20includes%20strengthening%20our%20investment-grade%20balance%20sheet%20and%20returning%20capital%20to%20shareholders.&#8221;%20%20&#8220;We%20are%20pleased%20to%20be%20selling%20this%20operation%20to%20Dhilmar,&#8221;%20Tom%20Palmer%20added.%20&#8220;They%20have%20a%20wealth%20of%20experience%20in%20gold%20and%20copper%20mining%20and%20we%20believe%20Dhilmar%20will%20be%20excellent%20stewards%20of%20this%20asset.&#8221;%252" TargetMode="External"/><Relationship Id="rId1" Type="http://schemas.openxmlformats.org/officeDocument/2006/relationships/hyperlink" Target="https://www.newmont.com/investors/news-release/news-details/2024/Newmont-Announces-Agreement-to-Divest-CCV-for-up-to-275-Million/default.aspx" TargetMode="External"/><Relationship Id="rId6" Type="http://schemas.openxmlformats.org/officeDocument/2006/relationships/hyperlink" Target="https://www.newmont.com/investors/news-release/news-details/2024/Newmont-Announces-Definitive-Agreement-to-Divest-Akyem-for-up-to-1-Billion/default.aspx" TargetMode="External"/><Relationship Id="rId11" Type="http://schemas.openxmlformats.org/officeDocument/2006/relationships/hyperlink" Target="https://www.newmont.com/investors/news-release/news-details/2025/Newmont-Announces-Sale-of-Porcupine-Operation-for-up-to-425-Million/default.aspx" TargetMode="External"/><Relationship Id="rId5" Type="http://schemas.openxmlformats.org/officeDocument/2006/relationships/hyperlink" Target="https://www.newmont.com/investors/news-release/news-details/2024/ICMM-Announces-Newmont-CEO-Tom-Palmer-as-New-Chair/default.aspx" TargetMode="External"/><Relationship Id="rId10" Type="http://schemas.openxmlformats.org/officeDocument/2006/relationships/hyperlink" Target="https://www.newmont.com/investors/news-release/news-details/2025/Newmont-Announces-Early-Redemption-of-its-5.30-Notes-Due-2026/default.aspx" TargetMode="External"/><Relationship Id="rId4" Type="http://schemas.openxmlformats.org/officeDocument/2006/relationships/hyperlink" Target="https://www.newmont.com/investors/news-release/news-details/2024/Newmont-Receives-First-Battery-Electric-Large-Mining-Truck/default.aspx" TargetMode="External"/><Relationship Id="rId9" Type="http://schemas.openxmlformats.org/officeDocument/2006/relationships/hyperlink" Target="https://www.newmont.com/investors/news-release/news-details/2024/Newmont-Reports-First-Quarter-2024-Results/default.asp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F6176-5046-B347-9799-FB3433A5174B}">
  <dimension ref="B2:O53"/>
  <sheetViews>
    <sheetView zoomScale="206" workbookViewId="0">
      <selection activeCell="E5" sqref="E5"/>
    </sheetView>
  </sheetViews>
  <sheetFormatPr baseColWidth="10" defaultRowHeight="13"/>
  <cols>
    <col min="1" max="1" width="1.6640625" style="1" customWidth="1"/>
    <col min="2" max="2" width="16.6640625" style="1" bestFit="1" customWidth="1"/>
    <col min="3" max="3" width="5.6640625" style="1" bestFit="1" customWidth="1"/>
    <col min="4" max="4" width="11.1640625" style="1" bestFit="1" customWidth="1"/>
    <col min="5" max="5" width="13.6640625" style="1" bestFit="1" customWidth="1"/>
    <col min="6" max="8" width="10.83203125" style="1"/>
    <col min="9" max="9" width="10.83203125" style="22"/>
    <col min="10" max="10" width="3.6640625" style="1" bestFit="1" customWidth="1"/>
    <col min="11" max="11" width="6.6640625" style="1" bestFit="1" customWidth="1"/>
    <col min="12" max="12" width="5.5" style="1" bestFit="1" customWidth="1"/>
    <col min="13" max="13" width="10.83203125" style="1"/>
    <col min="14" max="14" width="10.83203125" style="22"/>
    <col min="15" max="16384" width="10.83203125" style="1"/>
  </cols>
  <sheetData>
    <row r="2" spans="2:15">
      <c r="C2" s="1" t="s">
        <v>42</v>
      </c>
    </row>
    <row r="3" spans="2:15">
      <c r="B3" s="1" t="s">
        <v>75</v>
      </c>
      <c r="C3" s="1" t="s">
        <v>79</v>
      </c>
      <c r="J3" s="1" t="s">
        <v>0</v>
      </c>
      <c r="K3" s="2">
        <v>44.9</v>
      </c>
      <c r="N3" s="22" t="s">
        <v>76</v>
      </c>
      <c r="O3" s="1" t="s">
        <v>77</v>
      </c>
    </row>
    <row r="4" spans="2:15">
      <c r="B4" s="1" t="s">
        <v>74</v>
      </c>
      <c r="J4" s="1" t="s">
        <v>1</v>
      </c>
      <c r="K4" s="1">
        <v>1138.4504790000001</v>
      </c>
      <c r="L4" s="1" t="s">
        <v>6</v>
      </c>
      <c r="N4" s="23">
        <v>45632</v>
      </c>
      <c r="O4" s="1" t="s">
        <v>78</v>
      </c>
    </row>
    <row r="5" spans="2:15">
      <c r="J5" s="1" t="s">
        <v>2</v>
      </c>
      <c r="K5" s="1">
        <f>+K3*K4</f>
        <v>51116.426507100005</v>
      </c>
      <c r="N5" s="23">
        <v>45621</v>
      </c>
      <c r="O5" s="1" t="s">
        <v>80</v>
      </c>
    </row>
    <row r="6" spans="2:15">
      <c r="B6" s="27" t="s">
        <v>93</v>
      </c>
      <c r="J6" s="1" t="s">
        <v>3</v>
      </c>
      <c r="K6" s="1">
        <f>3016+43+4150</f>
        <v>7209</v>
      </c>
      <c r="L6" s="1" t="str">
        <f>+L4</f>
        <v>Q324</v>
      </c>
      <c r="N6" s="23">
        <v>45614</v>
      </c>
      <c r="O6" s="1" t="s">
        <v>81</v>
      </c>
    </row>
    <row r="7" spans="2:15">
      <c r="J7" s="1" t="s">
        <v>4</v>
      </c>
      <c r="K7" s="1">
        <v>8550</v>
      </c>
      <c r="L7" s="1" t="str">
        <f>+L6</f>
        <v>Q324</v>
      </c>
      <c r="N7" s="23">
        <v>45594</v>
      </c>
      <c r="O7" s="1" t="s">
        <v>82</v>
      </c>
    </row>
    <row r="8" spans="2:15">
      <c r="B8" s="12" t="s">
        <v>41</v>
      </c>
      <c r="C8" s="10"/>
      <c r="D8" s="10">
        <v>2023</v>
      </c>
      <c r="E8" s="10">
        <v>2022</v>
      </c>
      <c r="F8" s="10">
        <v>2021</v>
      </c>
      <c r="G8" s="11"/>
      <c r="J8" s="1" t="s">
        <v>5</v>
      </c>
      <c r="K8" s="1">
        <f>+K5-K6+K7</f>
        <v>52457.426507100005</v>
      </c>
      <c r="N8" s="23">
        <v>45573</v>
      </c>
      <c r="O8" s="1" t="s">
        <v>84</v>
      </c>
    </row>
    <row r="9" spans="2:15">
      <c r="B9" s="5" t="s">
        <v>39</v>
      </c>
      <c r="D9" s="21">
        <v>135.9</v>
      </c>
      <c r="G9" s="6"/>
      <c r="N9" s="23">
        <v>45568</v>
      </c>
      <c r="O9" s="1" t="s">
        <v>83</v>
      </c>
    </row>
    <row r="10" spans="2:15">
      <c r="B10" s="5" t="s">
        <v>40</v>
      </c>
      <c r="D10" s="21">
        <v>104.8</v>
      </c>
      <c r="G10" s="6"/>
      <c r="N10" s="23">
        <v>45588</v>
      </c>
      <c r="O10" s="1" t="s">
        <v>85</v>
      </c>
    </row>
    <row r="11" spans="2:15">
      <c r="B11" s="5" t="s">
        <v>38</v>
      </c>
      <c r="D11" s="21">
        <v>69.099999999999994</v>
      </c>
      <c r="G11" s="6"/>
      <c r="N11" s="23">
        <v>45497</v>
      </c>
      <c r="O11" s="1" t="s">
        <v>86</v>
      </c>
    </row>
    <row r="12" spans="2:15">
      <c r="B12" s="5"/>
      <c r="D12" s="21"/>
      <c r="G12" s="6"/>
      <c r="N12" s="23">
        <v>45407</v>
      </c>
      <c r="O12" s="1" t="s">
        <v>87</v>
      </c>
    </row>
    <row r="13" spans="2:15">
      <c r="B13" s="5"/>
      <c r="G13" s="6"/>
    </row>
    <row r="14" spans="2:15">
      <c r="B14" s="5" t="s">
        <v>45</v>
      </c>
      <c r="D14" s="1">
        <v>5401</v>
      </c>
      <c r="E14" s="1">
        <v>5786</v>
      </c>
      <c r="F14" s="1">
        <v>5884</v>
      </c>
      <c r="G14" s="6"/>
    </row>
    <row r="15" spans="2:15">
      <c r="B15" s="5" t="s">
        <v>46</v>
      </c>
      <c r="D15" s="1">
        <v>5545</v>
      </c>
      <c r="E15" s="1">
        <v>5956</v>
      </c>
      <c r="F15" s="1">
        <v>5971</v>
      </c>
      <c r="G15" s="6"/>
      <c r="I15" s="26" t="s">
        <v>92</v>
      </c>
    </row>
    <row r="16" spans="2:15">
      <c r="B16" s="5" t="s">
        <v>47</v>
      </c>
      <c r="D16" s="1">
        <v>224</v>
      </c>
      <c r="E16" s="1">
        <v>285</v>
      </c>
      <c r="F16" s="1">
        <v>325</v>
      </c>
      <c r="G16" s="6"/>
      <c r="I16" s="23">
        <v>45684</v>
      </c>
      <c r="J16" s="1" t="s">
        <v>94</v>
      </c>
    </row>
    <row r="17" spans="2:10">
      <c r="B17" s="7" t="s">
        <v>48</v>
      </c>
      <c r="C17" s="8"/>
      <c r="D17" s="8">
        <v>0</v>
      </c>
      <c r="E17" s="8">
        <v>0</v>
      </c>
      <c r="F17" s="8">
        <v>0</v>
      </c>
      <c r="G17" s="9"/>
      <c r="I17" s="23">
        <v>45684</v>
      </c>
      <c r="J17" s="1" t="s">
        <v>95</v>
      </c>
    </row>
    <row r="20" spans="2:10">
      <c r="B20" s="1" t="s">
        <v>43</v>
      </c>
    </row>
    <row r="21" spans="2:10">
      <c r="B21" s="1" t="s">
        <v>34</v>
      </c>
    </row>
    <row r="22" spans="2:10">
      <c r="B22" s="1" t="s">
        <v>35</v>
      </c>
    </row>
    <row r="23" spans="2:10">
      <c r="B23" s="1" t="s">
        <v>36</v>
      </c>
    </row>
    <row r="24" spans="2:10">
      <c r="B24" s="1" t="s">
        <v>37</v>
      </c>
    </row>
    <row r="25" spans="2:10">
      <c r="B25" s="1" t="s">
        <v>44</v>
      </c>
    </row>
    <row r="26" spans="2:10">
      <c r="B26" s="5" t="s">
        <v>39</v>
      </c>
      <c r="C26" s="1" t="s">
        <v>49</v>
      </c>
    </row>
    <row r="27" spans="2:10">
      <c r="B27" s="5" t="s">
        <v>40</v>
      </c>
      <c r="C27" s="1" t="s">
        <v>50</v>
      </c>
    </row>
    <row r="28" spans="2:10">
      <c r="B28" s="5" t="s">
        <v>38</v>
      </c>
      <c r="C28" s="1" t="s">
        <v>51</v>
      </c>
    </row>
    <row r="29" spans="2:10">
      <c r="B29" s="1" t="s">
        <v>52</v>
      </c>
      <c r="C29" s="1" t="s">
        <v>54</v>
      </c>
    </row>
    <row r="30" spans="2:10">
      <c r="B30" s="1" t="s">
        <v>53</v>
      </c>
      <c r="C30" s="1" t="s">
        <v>55</v>
      </c>
    </row>
    <row r="31" spans="2:10">
      <c r="B31" s="1" t="s">
        <v>56</v>
      </c>
      <c r="C31" s="1" t="s">
        <v>57</v>
      </c>
    </row>
    <row r="35" spans="2:4">
      <c r="B35" s="25" t="s">
        <v>96</v>
      </c>
      <c r="D35" s="1" t="s">
        <v>117</v>
      </c>
    </row>
    <row r="36" spans="2:4">
      <c r="B36" s="28" t="s">
        <v>97</v>
      </c>
      <c r="D36" s="29"/>
    </row>
    <row r="37" spans="2:4">
      <c r="B37" s="1" t="s">
        <v>98</v>
      </c>
      <c r="D37" s="29"/>
    </row>
    <row r="38" spans="2:4">
      <c r="B38" s="1" t="s">
        <v>100</v>
      </c>
      <c r="D38" s="29"/>
    </row>
    <row r="39" spans="2:4">
      <c r="B39" s="1" t="s">
        <v>101</v>
      </c>
      <c r="D39" s="29"/>
    </row>
    <row r="40" spans="2:4">
      <c r="B40" s="1" t="s">
        <v>102</v>
      </c>
      <c r="D40" s="29"/>
    </row>
    <row r="41" spans="2:4">
      <c r="B41" s="1" t="s">
        <v>103</v>
      </c>
      <c r="D41" s="29"/>
    </row>
    <row r="42" spans="2:4">
      <c r="B42" s="1" t="s">
        <v>104</v>
      </c>
      <c r="D42" s="29"/>
    </row>
    <row r="43" spans="2:4">
      <c r="B43" s="1" t="s">
        <v>105</v>
      </c>
      <c r="D43" s="13"/>
    </row>
    <row r="44" spans="2:4">
      <c r="B44" s="1" t="s">
        <v>106</v>
      </c>
    </row>
    <row r="45" spans="2:4">
      <c r="B45" s="1" t="s">
        <v>107</v>
      </c>
    </row>
    <row r="46" spans="2:4">
      <c r="B46" s="1" t="s">
        <v>108</v>
      </c>
    </row>
    <row r="47" spans="2:4">
      <c r="B47" s="1" t="s">
        <v>109</v>
      </c>
    </row>
    <row r="48" spans="2:4">
      <c r="B48" s="1" t="s">
        <v>110</v>
      </c>
    </row>
    <row r="49" spans="2:3">
      <c r="B49" s="1" t="s">
        <v>111</v>
      </c>
    </row>
    <row r="50" spans="2:3">
      <c r="B50" s="1" t="s">
        <v>112</v>
      </c>
    </row>
    <row r="51" spans="2:3">
      <c r="B51" s="1" t="s">
        <v>113</v>
      </c>
    </row>
    <row r="52" spans="2:3">
      <c r="B52" s="1" t="s">
        <v>114</v>
      </c>
      <c r="C52" s="1" t="s">
        <v>116</v>
      </c>
    </row>
    <row r="53" spans="2:3">
      <c r="B53" s="1" t="s">
        <v>115</v>
      </c>
    </row>
  </sheetData>
  <hyperlinks>
    <hyperlink ref="N4" r:id="rId1" display="https://www.newmont.com/investors/news-release/news-details/2024/Newmont-Announces-Agreement-to-Divest-CCV-for-up-to-275-Million/default.aspx" xr:uid="{0EEE0FA4-6717-7E4A-9FEE-6E985C929F51}"/>
    <hyperlink ref="N5" r:id="rId2" display="Announced Divestitures to Date Expected to Generate up to $3.6 Billion in Gross Proceeds  DENVER--(BUSINESS WIRE)-- Newmont Corporation (NYSE: NEM, TSX: NGT, ASX: NEM, PNGX: NEM) (“Newmont” or the “Company”) announced today that it has agreed to sell its Éléonore operation in Northern Quebec, Canada, to Dhilmar Ltd (“Dhilmar”) for $795 million in cash consideration. The transaction is expected to close in the first quarter of 2025, subject to certain conditions being satisfied. 1 Upon closing the announced transactions, Newmont will have delivered up to $3.6 billion in gross proceeds from non-core asset divestitures and investment sales. 2  “Today’s announcement is another step forward in Newmont’s journey to create a go-forward portfolio of Tier 1 gold and copper assets, each with the scale and mine life to generate strong free cash flows for several decades,” said Tom Palmer, Newmont's President and Chief Executive Officer . “When we announced the acquisition of Newcrest in 2023, we committed to generating at least $2 billion in cash through portfolio optimization. With this announced sale, we have meaningfully exceeded our target by more than $1.5 billion to date. Proceeds from this transaction will support Newmont’s comprehensive approach to capital allocation, which includes strengthening our investment-grade balance sheet and returning capital to shareholders.”  “We are pleased to be selling this operation to Dhilmar,” Tom Palmer added. “They have a wealth of experience in gold and copper mining and we believe Dhilmar will be excellent stewards of this asset.”  Dhilmar is a newly incorporated, UK-based private mining company. The company is led by its CEO and Managing Director, Alexander Ramlie, and supported by board members with decades of mining experience across a range of commodities and with both surface and underground operations. Mr. Ramlie and his team worked closely with Newmont in 2016 to acquire the Batu Hijau copper and gold mine in Indonesia on behalf of PT Amman Mineral Internasional Tbk (“Amman”). Under Mr. Ramlie’s leadership" xr:uid="{3678E5E0-0E33-A84A-8525-5443776CA24C}"/>
    <hyperlink ref="N6" r:id="rId3" display="https://www.newmont.com/investors/news-release/news-details/2024/Newmont-Announces-Sale-of-Musselwhite-for-up-to-850-Million/default.aspx" xr:uid="{A2319C70-D986-7C4B-A073-80DC002C6211}"/>
    <hyperlink ref="N7" r:id="rId4" display="https://www.newmont.com/investors/news-release/news-details/2024/Newmont-Receives-First-Battery-Electric-Large-Mining-Truck/default.aspx" xr:uid="{C19ED3E4-079D-394B-A4D7-C7502CDF5F9E}"/>
    <hyperlink ref="N9" r:id="rId5" display="https://www.newmont.com/investors/news-release/news-details/2024/ICMM-Announces-Newmont-CEO-Tom-Palmer-as-New-Chair/default.aspx" xr:uid="{5D7FE4A5-C7B5-C149-9C20-EC22B906F268}"/>
    <hyperlink ref="N8" r:id="rId6" display="https://www.newmont.com/investors/news-release/news-details/2024/Newmont-Announces-Definitive-Agreement-to-Divest-Akyem-for-up-to-1-Billion/default.aspx" xr:uid="{02541908-76D0-D74C-8E0E-A28F6F2E4113}"/>
    <hyperlink ref="N10" r:id="rId7" display="https://www.newmont.com/investors/news-release/news-details/2024/Newmont-Reports-Third-Quarter-2024-Results/default.aspx" xr:uid="{EF55054F-D56C-CA42-9B1B-45239C1E0BC8}"/>
    <hyperlink ref="N11" r:id="rId8" display="https://www.newmont.com/investors/news-release/news-details/2024/Newmont-Reports-Second-Quarter-2024-Results/default.aspx" xr:uid="{971B3D71-D616-FC42-8233-B5615621450B}"/>
    <hyperlink ref="N12" r:id="rId9" display="https://www.newmont.com/investors/news-release/news-details/2024/Newmont-Reports-First-Quarter-2024-Results/default.aspx" xr:uid="{7309356A-003B-3743-ABFD-75D0012BE0E5}"/>
    <hyperlink ref="I16" r:id="rId10" display="https://www.newmont.com/investors/news-release/news-details/2025/Newmont-Announces-Early-Redemption-of-its-5.30-Notes-Due-2026/default.aspx" xr:uid="{91415562-D90D-9F41-919B-81F167525045}"/>
    <hyperlink ref="I17" r:id="rId11" display="https://www.newmont.com/investors/news-release/news-details/2025/Newmont-Announces-Sale-of-Porcupine-Operation-for-up-to-425-Million/default.aspx" xr:uid="{BCEE418D-02E6-F349-9DC3-A07160367451}"/>
    <hyperlink ref="B36" r:id="rId12" location="documents" xr:uid="{7F73581D-9181-1541-8BC4-BD882B679D8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F9C18-0665-8544-9D72-75FA852EFC7A}">
  <dimension ref="B2:HV57"/>
  <sheetViews>
    <sheetView zoomScale="150" zoomScaleNormal="180" workbookViewId="0">
      <pane xSplit="2" ySplit="2" topLeftCell="C3" activePane="bottomRight" state="frozen"/>
      <selection pane="topRight" activeCell="C1" sqref="C1"/>
      <selection pane="bottomLeft" activeCell="A3" sqref="A3"/>
      <selection pane="bottomRight" activeCell="V19" sqref="V19"/>
    </sheetView>
  </sheetViews>
  <sheetFormatPr baseColWidth="10" defaultRowHeight="13"/>
  <cols>
    <col min="1" max="1" width="1.5" style="1" customWidth="1"/>
    <col min="2" max="2" width="22.83203125" style="1" bestFit="1" customWidth="1"/>
    <col min="3" max="5" width="5.6640625" style="1" bestFit="1" customWidth="1"/>
    <col min="6" max="6" width="6.1640625" style="1" bestFit="1" customWidth="1"/>
    <col min="7" max="8" width="5.6640625" style="1" bestFit="1" customWidth="1"/>
    <col min="9" max="9" width="6.6640625" style="1" bestFit="1" customWidth="1"/>
    <col min="10" max="12" width="5.6640625" style="1" bestFit="1" customWidth="1"/>
    <col min="13" max="13" width="7.1640625" style="1" bestFit="1" customWidth="1"/>
    <col min="14" max="14" width="6.1640625" style="1" bestFit="1" customWidth="1"/>
    <col min="15" max="15" width="6.6640625" style="1" bestFit="1" customWidth="1"/>
    <col min="16" max="16" width="5.6640625" style="1" bestFit="1" customWidth="1"/>
    <col min="17" max="30" width="6.6640625" style="1" bestFit="1" customWidth="1"/>
    <col min="31" max="31" width="5.6640625" style="1" bestFit="1" customWidth="1"/>
    <col min="32" max="32" width="8.1640625" style="1" bestFit="1" customWidth="1"/>
    <col min="33" max="33" width="11.6640625" style="1" bestFit="1" customWidth="1"/>
    <col min="34" max="47" width="5.6640625" style="1" bestFit="1" customWidth="1"/>
    <col min="48" max="230" width="6.6640625" style="1" bestFit="1" customWidth="1"/>
    <col min="231" max="16384" width="10.83203125" style="1"/>
  </cols>
  <sheetData>
    <row r="2" spans="2:230" s="13" customFormat="1">
      <c r="C2" s="13" t="s">
        <v>7</v>
      </c>
      <c r="D2" s="13" t="s">
        <v>27</v>
      </c>
      <c r="E2" s="13" t="s">
        <v>8</v>
      </c>
      <c r="F2" s="13" t="s">
        <v>9</v>
      </c>
      <c r="G2" s="13" t="s">
        <v>10</v>
      </c>
      <c r="H2" s="13" t="s">
        <v>88</v>
      </c>
      <c r="I2" s="13" t="s">
        <v>11</v>
      </c>
      <c r="J2" s="13" t="s">
        <v>12</v>
      </c>
      <c r="K2" s="13" t="s">
        <v>13</v>
      </c>
      <c r="L2" s="13" t="s">
        <v>14</v>
      </c>
      <c r="M2" s="13" t="s">
        <v>6</v>
      </c>
      <c r="N2" s="13" t="s">
        <v>15</v>
      </c>
      <c r="P2" s="13">
        <v>2019</v>
      </c>
      <c r="Q2" s="13">
        <v>2020</v>
      </c>
      <c r="R2" s="13">
        <v>2021</v>
      </c>
      <c r="S2" s="13">
        <v>2022</v>
      </c>
      <c r="T2" s="13">
        <v>2023</v>
      </c>
      <c r="U2" s="13">
        <f>+T2+1</f>
        <v>2024</v>
      </c>
      <c r="V2" s="13">
        <f t="shared" ref="V2:AD2" si="0">+U2+1</f>
        <v>2025</v>
      </c>
      <c r="W2" s="13">
        <f t="shared" si="0"/>
        <v>2026</v>
      </c>
      <c r="X2" s="13">
        <f t="shared" si="0"/>
        <v>2027</v>
      </c>
      <c r="Y2" s="13">
        <f t="shared" si="0"/>
        <v>2028</v>
      </c>
      <c r="Z2" s="13">
        <f t="shared" si="0"/>
        <v>2029</v>
      </c>
      <c r="AA2" s="13">
        <f t="shared" si="0"/>
        <v>2030</v>
      </c>
      <c r="AB2" s="13">
        <f t="shared" si="0"/>
        <v>2031</v>
      </c>
      <c r="AC2" s="13">
        <f t="shared" si="0"/>
        <v>2032</v>
      </c>
      <c r="AD2" s="13">
        <f t="shared" si="0"/>
        <v>2033</v>
      </c>
      <c r="AE2" s="13">
        <f>+AD2+1</f>
        <v>2034</v>
      </c>
      <c r="AF2" s="13">
        <f t="shared" ref="AF2" si="1">+AE2+1</f>
        <v>2035</v>
      </c>
      <c r="AG2" s="13">
        <f t="shared" ref="AG2:CR2" si="2">+AF2+1</f>
        <v>2036</v>
      </c>
      <c r="AH2" s="13">
        <f t="shared" si="2"/>
        <v>2037</v>
      </c>
      <c r="AI2" s="13">
        <f t="shared" si="2"/>
        <v>2038</v>
      </c>
      <c r="AJ2" s="13">
        <f t="shared" si="2"/>
        <v>2039</v>
      </c>
      <c r="AK2" s="13">
        <f t="shared" si="2"/>
        <v>2040</v>
      </c>
      <c r="AL2" s="13">
        <f t="shared" si="2"/>
        <v>2041</v>
      </c>
      <c r="AM2" s="13">
        <f t="shared" si="2"/>
        <v>2042</v>
      </c>
      <c r="AN2" s="13">
        <f t="shared" si="2"/>
        <v>2043</v>
      </c>
      <c r="AO2" s="13">
        <f t="shared" si="2"/>
        <v>2044</v>
      </c>
      <c r="AP2" s="13">
        <f t="shared" si="2"/>
        <v>2045</v>
      </c>
      <c r="AQ2" s="13">
        <f t="shared" si="2"/>
        <v>2046</v>
      </c>
      <c r="AR2" s="13">
        <f t="shared" si="2"/>
        <v>2047</v>
      </c>
      <c r="AS2" s="13">
        <f t="shared" si="2"/>
        <v>2048</v>
      </c>
      <c r="AT2" s="13">
        <f t="shared" si="2"/>
        <v>2049</v>
      </c>
      <c r="AU2" s="13">
        <f t="shared" si="2"/>
        <v>2050</v>
      </c>
      <c r="AV2" s="13">
        <f t="shared" si="2"/>
        <v>2051</v>
      </c>
      <c r="AW2" s="13">
        <f t="shared" si="2"/>
        <v>2052</v>
      </c>
      <c r="AX2" s="13">
        <f t="shared" si="2"/>
        <v>2053</v>
      </c>
      <c r="AY2" s="13">
        <f t="shared" si="2"/>
        <v>2054</v>
      </c>
      <c r="AZ2" s="13">
        <f t="shared" si="2"/>
        <v>2055</v>
      </c>
      <c r="BA2" s="13">
        <f t="shared" si="2"/>
        <v>2056</v>
      </c>
      <c r="BB2" s="13">
        <f t="shared" si="2"/>
        <v>2057</v>
      </c>
      <c r="BC2" s="13">
        <f t="shared" si="2"/>
        <v>2058</v>
      </c>
      <c r="BD2" s="13">
        <f t="shared" si="2"/>
        <v>2059</v>
      </c>
      <c r="BE2" s="13">
        <f t="shared" si="2"/>
        <v>2060</v>
      </c>
      <c r="BF2" s="13">
        <f t="shared" si="2"/>
        <v>2061</v>
      </c>
      <c r="BG2" s="13">
        <f t="shared" si="2"/>
        <v>2062</v>
      </c>
      <c r="BH2" s="13">
        <f t="shared" si="2"/>
        <v>2063</v>
      </c>
      <c r="BI2" s="13">
        <f t="shared" si="2"/>
        <v>2064</v>
      </c>
      <c r="BJ2" s="13">
        <f t="shared" si="2"/>
        <v>2065</v>
      </c>
      <c r="BK2" s="13">
        <f t="shared" si="2"/>
        <v>2066</v>
      </c>
      <c r="BL2" s="13">
        <f t="shared" si="2"/>
        <v>2067</v>
      </c>
      <c r="BM2" s="13">
        <f t="shared" si="2"/>
        <v>2068</v>
      </c>
      <c r="BN2" s="13">
        <f t="shared" si="2"/>
        <v>2069</v>
      </c>
      <c r="BO2" s="13">
        <f t="shared" si="2"/>
        <v>2070</v>
      </c>
      <c r="BP2" s="13">
        <f t="shared" si="2"/>
        <v>2071</v>
      </c>
      <c r="BQ2" s="13">
        <f t="shared" si="2"/>
        <v>2072</v>
      </c>
      <c r="BR2" s="13">
        <f t="shared" si="2"/>
        <v>2073</v>
      </c>
      <c r="BS2" s="13">
        <f t="shared" si="2"/>
        <v>2074</v>
      </c>
      <c r="BT2" s="13">
        <f t="shared" si="2"/>
        <v>2075</v>
      </c>
      <c r="BU2" s="13">
        <f t="shared" si="2"/>
        <v>2076</v>
      </c>
      <c r="BV2" s="13">
        <f t="shared" si="2"/>
        <v>2077</v>
      </c>
      <c r="BW2" s="13">
        <f t="shared" si="2"/>
        <v>2078</v>
      </c>
      <c r="BX2" s="13">
        <f t="shared" si="2"/>
        <v>2079</v>
      </c>
      <c r="BY2" s="13">
        <f t="shared" si="2"/>
        <v>2080</v>
      </c>
      <c r="BZ2" s="13">
        <f t="shared" si="2"/>
        <v>2081</v>
      </c>
      <c r="CA2" s="13">
        <f t="shared" si="2"/>
        <v>2082</v>
      </c>
      <c r="CB2" s="13">
        <f t="shared" si="2"/>
        <v>2083</v>
      </c>
      <c r="CC2" s="13">
        <f t="shared" si="2"/>
        <v>2084</v>
      </c>
      <c r="CD2" s="13">
        <f t="shared" si="2"/>
        <v>2085</v>
      </c>
      <c r="CE2" s="13">
        <f t="shared" si="2"/>
        <v>2086</v>
      </c>
      <c r="CF2" s="13">
        <f t="shared" si="2"/>
        <v>2087</v>
      </c>
      <c r="CG2" s="13">
        <f t="shared" si="2"/>
        <v>2088</v>
      </c>
      <c r="CH2" s="13">
        <f t="shared" si="2"/>
        <v>2089</v>
      </c>
      <c r="CI2" s="13">
        <f t="shared" si="2"/>
        <v>2090</v>
      </c>
      <c r="CJ2" s="13">
        <f t="shared" si="2"/>
        <v>2091</v>
      </c>
      <c r="CK2" s="13">
        <f t="shared" si="2"/>
        <v>2092</v>
      </c>
      <c r="CL2" s="13">
        <f t="shared" si="2"/>
        <v>2093</v>
      </c>
      <c r="CM2" s="13">
        <f t="shared" si="2"/>
        <v>2094</v>
      </c>
      <c r="CN2" s="13">
        <f t="shared" si="2"/>
        <v>2095</v>
      </c>
      <c r="CO2" s="13">
        <f t="shared" si="2"/>
        <v>2096</v>
      </c>
      <c r="CP2" s="13">
        <f t="shared" si="2"/>
        <v>2097</v>
      </c>
      <c r="CQ2" s="13">
        <f t="shared" si="2"/>
        <v>2098</v>
      </c>
      <c r="CR2" s="13">
        <f t="shared" si="2"/>
        <v>2099</v>
      </c>
      <c r="CS2" s="13">
        <f t="shared" ref="CS2:FD2" si="3">+CR2+1</f>
        <v>2100</v>
      </c>
      <c r="CT2" s="13">
        <f t="shared" si="3"/>
        <v>2101</v>
      </c>
      <c r="CU2" s="13">
        <f t="shared" si="3"/>
        <v>2102</v>
      </c>
      <c r="CV2" s="13">
        <f t="shared" si="3"/>
        <v>2103</v>
      </c>
      <c r="CW2" s="13">
        <f t="shared" si="3"/>
        <v>2104</v>
      </c>
      <c r="CX2" s="13">
        <f t="shared" si="3"/>
        <v>2105</v>
      </c>
      <c r="CY2" s="13">
        <f t="shared" si="3"/>
        <v>2106</v>
      </c>
      <c r="CZ2" s="13">
        <f t="shared" si="3"/>
        <v>2107</v>
      </c>
      <c r="DA2" s="13">
        <f t="shared" si="3"/>
        <v>2108</v>
      </c>
      <c r="DB2" s="13">
        <f t="shared" si="3"/>
        <v>2109</v>
      </c>
      <c r="DC2" s="13">
        <f t="shared" si="3"/>
        <v>2110</v>
      </c>
      <c r="DD2" s="13">
        <f t="shared" si="3"/>
        <v>2111</v>
      </c>
      <c r="DE2" s="13">
        <f t="shared" si="3"/>
        <v>2112</v>
      </c>
      <c r="DF2" s="13">
        <f t="shared" si="3"/>
        <v>2113</v>
      </c>
      <c r="DG2" s="13">
        <f t="shared" si="3"/>
        <v>2114</v>
      </c>
      <c r="DH2" s="13">
        <f t="shared" si="3"/>
        <v>2115</v>
      </c>
      <c r="DI2" s="13">
        <f t="shared" si="3"/>
        <v>2116</v>
      </c>
      <c r="DJ2" s="13">
        <f t="shared" si="3"/>
        <v>2117</v>
      </c>
      <c r="DK2" s="13">
        <f t="shared" si="3"/>
        <v>2118</v>
      </c>
      <c r="DL2" s="13">
        <f t="shared" si="3"/>
        <v>2119</v>
      </c>
      <c r="DM2" s="13">
        <f t="shared" si="3"/>
        <v>2120</v>
      </c>
      <c r="DN2" s="13">
        <f t="shared" si="3"/>
        <v>2121</v>
      </c>
      <c r="DO2" s="13">
        <f t="shared" si="3"/>
        <v>2122</v>
      </c>
      <c r="DP2" s="13">
        <f t="shared" si="3"/>
        <v>2123</v>
      </c>
      <c r="DQ2" s="13">
        <f t="shared" si="3"/>
        <v>2124</v>
      </c>
      <c r="DR2" s="13">
        <f t="shared" si="3"/>
        <v>2125</v>
      </c>
      <c r="DS2" s="13">
        <f t="shared" si="3"/>
        <v>2126</v>
      </c>
      <c r="DT2" s="13">
        <f t="shared" si="3"/>
        <v>2127</v>
      </c>
      <c r="DU2" s="13">
        <f t="shared" si="3"/>
        <v>2128</v>
      </c>
      <c r="DV2" s="13">
        <f t="shared" si="3"/>
        <v>2129</v>
      </c>
      <c r="DW2" s="13">
        <f t="shared" si="3"/>
        <v>2130</v>
      </c>
      <c r="DX2" s="13">
        <f t="shared" si="3"/>
        <v>2131</v>
      </c>
      <c r="DY2" s="13">
        <f t="shared" si="3"/>
        <v>2132</v>
      </c>
      <c r="DZ2" s="13">
        <f t="shared" si="3"/>
        <v>2133</v>
      </c>
      <c r="EA2" s="13">
        <f t="shared" si="3"/>
        <v>2134</v>
      </c>
      <c r="EB2" s="13">
        <f t="shared" si="3"/>
        <v>2135</v>
      </c>
      <c r="EC2" s="13">
        <f t="shared" si="3"/>
        <v>2136</v>
      </c>
      <c r="ED2" s="13">
        <f t="shared" si="3"/>
        <v>2137</v>
      </c>
      <c r="EE2" s="13">
        <f t="shared" si="3"/>
        <v>2138</v>
      </c>
      <c r="EF2" s="13">
        <f t="shared" si="3"/>
        <v>2139</v>
      </c>
      <c r="EG2" s="13">
        <f t="shared" si="3"/>
        <v>2140</v>
      </c>
      <c r="EH2" s="13">
        <f t="shared" si="3"/>
        <v>2141</v>
      </c>
      <c r="EI2" s="13">
        <f t="shared" si="3"/>
        <v>2142</v>
      </c>
      <c r="EJ2" s="13">
        <f t="shared" si="3"/>
        <v>2143</v>
      </c>
      <c r="EK2" s="13">
        <f t="shared" si="3"/>
        <v>2144</v>
      </c>
      <c r="EL2" s="13">
        <f t="shared" si="3"/>
        <v>2145</v>
      </c>
      <c r="EM2" s="13">
        <f t="shared" si="3"/>
        <v>2146</v>
      </c>
      <c r="EN2" s="13">
        <f t="shared" si="3"/>
        <v>2147</v>
      </c>
      <c r="EO2" s="13">
        <f t="shared" si="3"/>
        <v>2148</v>
      </c>
      <c r="EP2" s="13">
        <f t="shared" si="3"/>
        <v>2149</v>
      </c>
      <c r="EQ2" s="13">
        <f t="shared" si="3"/>
        <v>2150</v>
      </c>
      <c r="ER2" s="13">
        <f t="shared" si="3"/>
        <v>2151</v>
      </c>
      <c r="ES2" s="13">
        <f t="shared" si="3"/>
        <v>2152</v>
      </c>
      <c r="ET2" s="13">
        <f t="shared" si="3"/>
        <v>2153</v>
      </c>
      <c r="EU2" s="13">
        <f t="shared" si="3"/>
        <v>2154</v>
      </c>
      <c r="EV2" s="13">
        <f t="shared" si="3"/>
        <v>2155</v>
      </c>
      <c r="EW2" s="13">
        <f t="shared" si="3"/>
        <v>2156</v>
      </c>
      <c r="EX2" s="13">
        <f t="shared" si="3"/>
        <v>2157</v>
      </c>
      <c r="EY2" s="13">
        <f t="shared" si="3"/>
        <v>2158</v>
      </c>
      <c r="EZ2" s="13">
        <f t="shared" si="3"/>
        <v>2159</v>
      </c>
      <c r="FA2" s="13">
        <f t="shared" si="3"/>
        <v>2160</v>
      </c>
      <c r="FB2" s="13">
        <f t="shared" si="3"/>
        <v>2161</v>
      </c>
      <c r="FC2" s="13">
        <f t="shared" si="3"/>
        <v>2162</v>
      </c>
      <c r="FD2" s="13">
        <f t="shared" si="3"/>
        <v>2163</v>
      </c>
      <c r="FE2" s="13">
        <f t="shared" ref="FE2:HP2" si="4">+FD2+1</f>
        <v>2164</v>
      </c>
      <c r="FF2" s="13">
        <f t="shared" si="4"/>
        <v>2165</v>
      </c>
      <c r="FG2" s="13">
        <f t="shared" si="4"/>
        <v>2166</v>
      </c>
      <c r="FH2" s="13">
        <f t="shared" si="4"/>
        <v>2167</v>
      </c>
      <c r="FI2" s="13">
        <f t="shared" si="4"/>
        <v>2168</v>
      </c>
      <c r="FJ2" s="13">
        <f t="shared" si="4"/>
        <v>2169</v>
      </c>
      <c r="FK2" s="13">
        <f t="shared" si="4"/>
        <v>2170</v>
      </c>
      <c r="FL2" s="13">
        <f t="shared" si="4"/>
        <v>2171</v>
      </c>
      <c r="FM2" s="13">
        <f t="shared" si="4"/>
        <v>2172</v>
      </c>
      <c r="FN2" s="13">
        <f t="shared" si="4"/>
        <v>2173</v>
      </c>
      <c r="FO2" s="13">
        <f t="shared" si="4"/>
        <v>2174</v>
      </c>
      <c r="FP2" s="13">
        <f t="shared" si="4"/>
        <v>2175</v>
      </c>
      <c r="FQ2" s="13">
        <f t="shared" si="4"/>
        <v>2176</v>
      </c>
      <c r="FR2" s="13">
        <f t="shared" si="4"/>
        <v>2177</v>
      </c>
      <c r="FS2" s="13">
        <f t="shared" si="4"/>
        <v>2178</v>
      </c>
      <c r="FT2" s="13">
        <f t="shared" si="4"/>
        <v>2179</v>
      </c>
      <c r="FU2" s="13">
        <f t="shared" si="4"/>
        <v>2180</v>
      </c>
      <c r="FV2" s="13">
        <f t="shared" si="4"/>
        <v>2181</v>
      </c>
      <c r="FW2" s="13">
        <f t="shared" si="4"/>
        <v>2182</v>
      </c>
      <c r="FX2" s="13">
        <f t="shared" si="4"/>
        <v>2183</v>
      </c>
      <c r="FY2" s="13">
        <f t="shared" si="4"/>
        <v>2184</v>
      </c>
      <c r="FZ2" s="13">
        <f t="shared" si="4"/>
        <v>2185</v>
      </c>
      <c r="GA2" s="13">
        <f t="shared" si="4"/>
        <v>2186</v>
      </c>
      <c r="GB2" s="13">
        <f t="shared" si="4"/>
        <v>2187</v>
      </c>
      <c r="GC2" s="13">
        <f t="shared" si="4"/>
        <v>2188</v>
      </c>
      <c r="GD2" s="13">
        <f t="shared" si="4"/>
        <v>2189</v>
      </c>
      <c r="GE2" s="13">
        <f t="shared" si="4"/>
        <v>2190</v>
      </c>
      <c r="GF2" s="13">
        <f t="shared" si="4"/>
        <v>2191</v>
      </c>
      <c r="GG2" s="13">
        <f t="shared" si="4"/>
        <v>2192</v>
      </c>
      <c r="GH2" s="13">
        <f t="shared" si="4"/>
        <v>2193</v>
      </c>
      <c r="GI2" s="13">
        <f t="shared" si="4"/>
        <v>2194</v>
      </c>
      <c r="GJ2" s="13">
        <f t="shared" si="4"/>
        <v>2195</v>
      </c>
      <c r="GK2" s="13">
        <f t="shared" si="4"/>
        <v>2196</v>
      </c>
      <c r="GL2" s="13">
        <f t="shared" si="4"/>
        <v>2197</v>
      </c>
      <c r="GM2" s="13">
        <f t="shared" si="4"/>
        <v>2198</v>
      </c>
      <c r="GN2" s="13">
        <f t="shared" si="4"/>
        <v>2199</v>
      </c>
      <c r="GO2" s="13">
        <f t="shared" si="4"/>
        <v>2200</v>
      </c>
      <c r="GP2" s="13">
        <f t="shared" si="4"/>
        <v>2201</v>
      </c>
      <c r="GQ2" s="13">
        <f t="shared" si="4"/>
        <v>2202</v>
      </c>
      <c r="GR2" s="13">
        <f t="shared" si="4"/>
        <v>2203</v>
      </c>
      <c r="GS2" s="13">
        <f t="shared" si="4"/>
        <v>2204</v>
      </c>
      <c r="GT2" s="13">
        <f t="shared" si="4"/>
        <v>2205</v>
      </c>
      <c r="GU2" s="13">
        <f t="shared" si="4"/>
        <v>2206</v>
      </c>
      <c r="GV2" s="13">
        <f t="shared" si="4"/>
        <v>2207</v>
      </c>
      <c r="GW2" s="13">
        <f t="shared" si="4"/>
        <v>2208</v>
      </c>
      <c r="GX2" s="13">
        <f t="shared" si="4"/>
        <v>2209</v>
      </c>
      <c r="GY2" s="13">
        <f t="shared" si="4"/>
        <v>2210</v>
      </c>
      <c r="GZ2" s="13">
        <f t="shared" si="4"/>
        <v>2211</v>
      </c>
      <c r="HA2" s="13">
        <f t="shared" si="4"/>
        <v>2212</v>
      </c>
      <c r="HB2" s="13">
        <f t="shared" si="4"/>
        <v>2213</v>
      </c>
      <c r="HC2" s="13">
        <f t="shared" si="4"/>
        <v>2214</v>
      </c>
      <c r="HD2" s="13">
        <f t="shared" si="4"/>
        <v>2215</v>
      </c>
      <c r="HE2" s="13">
        <f t="shared" si="4"/>
        <v>2216</v>
      </c>
      <c r="HF2" s="13">
        <f t="shared" si="4"/>
        <v>2217</v>
      </c>
      <c r="HG2" s="13">
        <f t="shared" si="4"/>
        <v>2218</v>
      </c>
      <c r="HH2" s="13">
        <f t="shared" si="4"/>
        <v>2219</v>
      </c>
      <c r="HI2" s="13">
        <f t="shared" si="4"/>
        <v>2220</v>
      </c>
      <c r="HJ2" s="13">
        <f t="shared" si="4"/>
        <v>2221</v>
      </c>
      <c r="HK2" s="13">
        <f t="shared" si="4"/>
        <v>2222</v>
      </c>
      <c r="HL2" s="13">
        <f t="shared" si="4"/>
        <v>2223</v>
      </c>
      <c r="HM2" s="13">
        <f t="shared" si="4"/>
        <v>2224</v>
      </c>
      <c r="HN2" s="13">
        <f t="shared" si="4"/>
        <v>2225</v>
      </c>
      <c r="HO2" s="13">
        <f t="shared" si="4"/>
        <v>2226</v>
      </c>
      <c r="HP2" s="13">
        <f t="shared" si="4"/>
        <v>2227</v>
      </c>
      <c r="HQ2" s="13">
        <f t="shared" ref="HQ2:HV2" si="5">+HP2+1</f>
        <v>2228</v>
      </c>
      <c r="HR2" s="13">
        <f t="shared" si="5"/>
        <v>2229</v>
      </c>
      <c r="HS2" s="13">
        <f t="shared" si="5"/>
        <v>2230</v>
      </c>
      <c r="HT2" s="13">
        <f t="shared" si="5"/>
        <v>2231</v>
      </c>
      <c r="HU2" s="13">
        <f t="shared" si="5"/>
        <v>2232</v>
      </c>
      <c r="HV2" s="13">
        <f t="shared" si="5"/>
        <v>2233</v>
      </c>
    </row>
    <row r="3" spans="2:230">
      <c r="B3" s="1" t="s">
        <v>91</v>
      </c>
      <c r="G3" s="1">
        <v>1273</v>
      </c>
      <c r="H3" s="1">
        <v>1240</v>
      </c>
      <c r="I3" s="1">
        <v>1291</v>
      </c>
      <c r="J3" s="1">
        <v>1741</v>
      </c>
      <c r="K3" s="1">
        <v>1675</v>
      </c>
      <c r="L3" s="1">
        <v>1607</v>
      </c>
      <c r="M3" s="1">
        <v>1668</v>
      </c>
      <c r="N3" s="1">
        <v>1800</v>
      </c>
      <c r="T3" s="1">
        <f>SUM(G3:J3)</f>
        <v>5545</v>
      </c>
      <c r="U3" s="1">
        <f>SUM(K3:N3)</f>
        <v>6750</v>
      </c>
    </row>
    <row r="4" spans="2:230">
      <c r="B4" s="1" t="s">
        <v>89</v>
      </c>
      <c r="G4" s="1">
        <v>1188</v>
      </c>
      <c r="H4" s="1">
        <v>1197</v>
      </c>
      <c r="I4" s="1">
        <v>1229</v>
      </c>
      <c r="J4" s="1">
        <v>1726</v>
      </c>
      <c r="K4" s="1">
        <v>1581</v>
      </c>
      <c r="L4" s="1">
        <v>1528</v>
      </c>
      <c r="M4" s="1">
        <v>1551</v>
      </c>
      <c r="T4" s="1">
        <f>SUM(G4:J4)</f>
        <v>5340</v>
      </c>
      <c r="U4" s="1">
        <f>SUM(K4:N4)</f>
        <v>4660</v>
      </c>
    </row>
    <row r="5" spans="2:230">
      <c r="B5" s="1" t="s">
        <v>90</v>
      </c>
      <c r="G5" s="1">
        <v>1906</v>
      </c>
      <c r="H5" s="1">
        <v>1965</v>
      </c>
      <c r="I5" s="1">
        <v>1920</v>
      </c>
      <c r="J5" s="1">
        <v>2004</v>
      </c>
      <c r="K5" s="1">
        <v>2090</v>
      </c>
      <c r="L5" s="1">
        <v>2347</v>
      </c>
      <c r="M5" s="1">
        <v>2518</v>
      </c>
      <c r="T5" s="1">
        <v>1954</v>
      </c>
      <c r="U5" s="1">
        <f>+AVERAGE(K5:N5)</f>
        <v>2318.3333333333335</v>
      </c>
    </row>
    <row r="6" spans="2:230" s="13" customFormat="1">
      <c r="T6" s="1">
        <f t="shared" ref="T6:T10" si="6">SUM(G6:J6)</f>
        <v>0</v>
      </c>
      <c r="U6" s="1">
        <f>SUM(K6:N6)</f>
        <v>0</v>
      </c>
    </row>
    <row r="7" spans="2:230" s="13" customFormat="1">
      <c r="T7" s="1">
        <f t="shared" si="6"/>
        <v>0</v>
      </c>
      <c r="U7" s="1">
        <f>SUM(K7:N7)</f>
        <v>0</v>
      </c>
    </row>
    <row r="8" spans="2:230" s="13" customFormat="1">
      <c r="T8" s="1">
        <f t="shared" si="6"/>
        <v>0</v>
      </c>
      <c r="U8" s="1">
        <f>SUM(K8:N8)</f>
        <v>0</v>
      </c>
    </row>
    <row r="9" spans="2:230" s="13" customFormat="1">
      <c r="T9" s="1">
        <f t="shared" si="6"/>
        <v>0</v>
      </c>
    </row>
    <row r="10" spans="2:230" s="13" customFormat="1">
      <c r="D10" s="13">
        <f>1800+35+11+28+70</f>
        <v>1944</v>
      </c>
      <c r="T10" s="1">
        <f t="shared" si="6"/>
        <v>0</v>
      </c>
    </row>
    <row r="11" spans="2:230" s="13" customFormat="1"/>
    <row r="12" spans="2:230" s="13" customFormat="1">
      <c r="I12" s="24"/>
    </row>
    <row r="13" spans="2:230" s="13" customFormat="1"/>
    <row r="14" spans="2:230" s="13" customFormat="1"/>
    <row r="15" spans="2:230" s="13" customFormat="1"/>
    <row r="16" spans="2:230" s="13" customFormat="1"/>
    <row r="17" spans="2:30" s="13" customFormat="1"/>
    <row r="19" spans="2:30">
      <c r="B19" s="1" t="s">
        <v>33</v>
      </c>
      <c r="C19" s="1">
        <v>2514</v>
      </c>
      <c r="D19" s="1">
        <v>2722</v>
      </c>
      <c r="E19" s="1">
        <v>2350</v>
      </c>
      <c r="F19" s="1">
        <f>+S19-SUM(C19:E19)</f>
        <v>2830</v>
      </c>
      <c r="G19" s="1">
        <v>2303</v>
      </c>
      <c r="H19" s="1">
        <v>2380</v>
      </c>
      <c r="I19" s="1">
        <v>2400</v>
      </c>
      <c r="J19" s="1">
        <f>+T19-SUM(G19:I19)</f>
        <v>3510</v>
      </c>
      <c r="K19" s="1">
        <v>3341</v>
      </c>
      <c r="L19" s="1">
        <v>3623</v>
      </c>
      <c r="M19" s="1">
        <v>3945</v>
      </c>
      <c r="N19" s="1">
        <f>+SUM(K19:M19)*0.45</f>
        <v>4909.05</v>
      </c>
      <c r="O19" s="14"/>
      <c r="P19" s="1">
        <v>9049</v>
      </c>
      <c r="Q19" s="1">
        <v>10350</v>
      </c>
      <c r="R19" s="1">
        <v>10543</v>
      </c>
      <c r="S19" s="1">
        <v>10416</v>
      </c>
      <c r="T19" s="1">
        <v>10593</v>
      </c>
      <c r="U19" s="1">
        <f>+SUM(K19:N19)</f>
        <v>15818.05</v>
      </c>
      <c r="V19" s="1">
        <f>+U19*1.01</f>
        <v>15976.2305</v>
      </c>
      <c r="W19" s="1">
        <f t="shared" ref="W19:AD19" si="7">+V19*1.01</f>
        <v>16135.992805</v>
      </c>
      <c r="X19" s="1">
        <f t="shared" si="7"/>
        <v>16297.35273305</v>
      </c>
      <c r="Y19" s="1">
        <f t="shared" si="7"/>
        <v>16460.326260380501</v>
      </c>
      <c r="Z19" s="1">
        <f t="shared" si="7"/>
        <v>16624.929522984308</v>
      </c>
      <c r="AA19" s="1">
        <f t="shared" si="7"/>
        <v>16791.17881821415</v>
      </c>
      <c r="AB19" s="1">
        <f t="shared" si="7"/>
        <v>16959.09060639629</v>
      </c>
      <c r="AC19" s="1">
        <f t="shared" si="7"/>
        <v>17128.681512460254</v>
      </c>
      <c r="AD19" s="1">
        <f t="shared" si="7"/>
        <v>17299.968327584858</v>
      </c>
    </row>
    <row r="20" spans="2:30">
      <c r="B20" s="1" t="s">
        <v>34</v>
      </c>
      <c r="C20" s="1">
        <v>99</v>
      </c>
      <c r="D20" s="1">
        <v>76</v>
      </c>
      <c r="E20" s="1">
        <v>48</v>
      </c>
      <c r="F20" s="1">
        <f>+S20-SUM(C20:E20)</f>
        <v>93</v>
      </c>
      <c r="G20" s="1">
        <v>110</v>
      </c>
      <c r="H20" s="1">
        <v>82</v>
      </c>
      <c r="I20" s="1">
        <v>90</v>
      </c>
      <c r="J20" s="1">
        <f t="shared" ref="J20:J23" si="8">+T20-SUM(G20:I20)</f>
        <v>293</v>
      </c>
      <c r="K20" s="1">
        <v>297</v>
      </c>
      <c r="L20" s="1">
        <v>377</v>
      </c>
      <c r="M20" s="1">
        <v>329</v>
      </c>
      <c r="N20" s="1">
        <f>+M20</f>
        <v>329</v>
      </c>
      <c r="O20" s="14"/>
      <c r="P20" s="1">
        <v>210</v>
      </c>
      <c r="Q20" s="1">
        <v>155</v>
      </c>
      <c r="R20" s="1">
        <v>295</v>
      </c>
      <c r="S20" s="1">
        <v>316</v>
      </c>
      <c r="T20" s="1">
        <v>575</v>
      </c>
      <c r="U20" s="1">
        <f>+SUM(K20:N20)</f>
        <v>1332</v>
      </c>
      <c r="V20" s="1">
        <f t="shared" ref="V20:AD20" si="9">+U20*1.01</f>
        <v>1345.32</v>
      </c>
      <c r="W20" s="1">
        <f t="shared" si="9"/>
        <v>1358.7731999999999</v>
      </c>
      <c r="X20" s="1">
        <f t="shared" si="9"/>
        <v>1372.3609319999998</v>
      </c>
      <c r="Y20" s="1">
        <f t="shared" si="9"/>
        <v>1386.0845413199997</v>
      </c>
      <c r="Z20" s="1">
        <f t="shared" si="9"/>
        <v>1399.9453867331997</v>
      </c>
      <c r="AA20" s="1">
        <f t="shared" si="9"/>
        <v>1413.9448406005317</v>
      </c>
      <c r="AB20" s="1">
        <f t="shared" si="9"/>
        <v>1428.0842890065371</v>
      </c>
      <c r="AC20" s="1">
        <f t="shared" si="9"/>
        <v>1442.3651318966024</v>
      </c>
      <c r="AD20" s="1">
        <f t="shared" si="9"/>
        <v>1456.7887832155684</v>
      </c>
    </row>
    <row r="21" spans="2:30">
      <c r="B21" s="1" t="s">
        <v>35</v>
      </c>
      <c r="C21" s="1">
        <v>156</v>
      </c>
      <c r="D21" s="1">
        <v>140</v>
      </c>
      <c r="E21" s="1">
        <v>105</v>
      </c>
      <c r="F21" s="1">
        <f>+S21-SUM(C21:E21)</f>
        <v>148</v>
      </c>
      <c r="G21" s="1">
        <v>117</v>
      </c>
      <c r="H21" s="1">
        <v>124</v>
      </c>
      <c r="I21" s="1">
        <v>5</v>
      </c>
      <c r="J21" s="1">
        <f t="shared" si="8"/>
        <v>89</v>
      </c>
      <c r="K21" s="1">
        <v>201</v>
      </c>
      <c r="L21" s="1">
        <v>209</v>
      </c>
      <c r="M21" s="1">
        <v>147</v>
      </c>
      <c r="N21" s="1">
        <f>+M21</f>
        <v>147</v>
      </c>
      <c r="O21" s="14"/>
      <c r="P21" s="1">
        <v>253</v>
      </c>
      <c r="Q21" s="1">
        <v>510</v>
      </c>
      <c r="R21" s="1">
        <v>651</v>
      </c>
      <c r="S21" s="1">
        <v>549</v>
      </c>
      <c r="T21" s="1">
        <v>335</v>
      </c>
      <c r="U21" s="1">
        <f>+SUM(K21:N21)</f>
        <v>704</v>
      </c>
      <c r="V21" s="1">
        <f t="shared" ref="V21:AD21" si="10">+U21*1.01</f>
        <v>711.04</v>
      </c>
      <c r="W21" s="1">
        <f t="shared" si="10"/>
        <v>718.15039999999999</v>
      </c>
      <c r="X21" s="1">
        <f t="shared" si="10"/>
        <v>725.33190400000001</v>
      </c>
      <c r="Y21" s="1">
        <f t="shared" si="10"/>
        <v>732.58522303999996</v>
      </c>
      <c r="Z21" s="1">
        <f t="shared" si="10"/>
        <v>739.91107527039992</v>
      </c>
      <c r="AA21" s="1">
        <f t="shared" si="10"/>
        <v>747.31018602310394</v>
      </c>
      <c r="AB21" s="1">
        <f t="shared" si="10"/>
        <v>754.78328788333499</v>
      </c>
      <c r="AC21" s="1">
        <f t="shared" si="10"/>
        <v>762.33112076216833</v>
      </c>
      <c r="AD21" s="1">
        <f t="shared" si="10"/>
        <v>769.95443196978999</v>
      </c>
    </row>
    <row r="22" spans="2:30">
      <c r="B22" s="1" t="s">
        <v>36</v>
      </c>
      <c r="C22" s="1">
        <v>44</v>
      </c>
      <c r="D22" s="1">
        <v>28</v>
      </c>
      <c r="E22" s="1">
        <v>26</v>
      </c>
      <c r="F22" s="1">
        <f>+S22-SUM(C22:E22)</f>
        <v>35</v>
      </c>
      <c r="G22" s="1">
        <v>32</v>
      </c>
      <c r="H22" s="1">
        <v>32</v>
      </c>
      <c r="I22" s="1">
        <v>0</v>
      </c>
      <c r="J22" s="1">
        <f t="shared" si="8"/>
        <v>32</v>
      </c>
      <c r="K22" s="1">
        <v>60</v>
      </c>
      <c r="L22" s="1">
        <v>44</v>
      </c>
      <c r="M22" s="1">
        <v>32</v>
      </c>
      <c r="N22" s="1">
        <f>+M22</f>
        <v>32</v>
      </c>
      <c r="O22" s="14"/>
      <c r="P22" s="1">
        <v>85</v>
      </c>
      <c r="Q22" s="1">
        <v>134</v>
      </c>
      <c r="R22" s="1">
        <v>172</v>
      </c>
      <c r="S22" s="1">
        <v>133</v>
      </c>
      <c r="T22" s="1">
        <v>96</v>
      </c>
      <c r="U22" s="1">
        <f>+SUM(K22:N22)</f>
        <v>168</v>
      </c>
      <c r="V22" s="1">
        <f t="shared" ref="V22:AD22" si="11">+U22*1.01</f>
        <v>169.68</v>
      </c>
      <c r="W22" s="1">
        <f t="shared" si="11"/>
        <v>171.3768</v>
      </c>
      <c r="X22" s="1">
        <f t="shared" si="11"/>
        <v>173.09056799999999</v>
      </c>
      <c r="Y22" s="1">
        <f t="shared" si="11"/>
        <v>174.82147368</v>
      </c>
      <c r="Z22" s="1">
        <f t="shared" si="11"/>
        <v>176.56968841680001</v>
      </c>
      <c r="AA22" s="1">
        <f t="shared" si="11"/>
        <v>178.335385300968</v>
      </c>
      <c r="AB22" s="1">
        <f t="shared" si="11"/>
        <v>180.11873915397769</v>
      </c>
      <c r="AC22" s="1">
        <f t="shared" si="11"/>
        <v>181.91992654551746</v>
      </c>
      <c r="AD22" s="1">
        <f t="shared" si="11"/>
        <v>183.73912581097264</v>
      </c>
    </row>
    <row r="23" spans="2:30">
      <c r="B23" s="1" t="s">
        <v>37</v>
      </c>
      <c r="C23" s="1">
        <v>210</v>
      </c>
      <c r="D23" s="1">
        <v>92</v>
      </c>
      <c r="E23" s="1">
        <v>105</v>
      </c>
      <c r="F23" s="1">
        <f>+S23-SUM(C23:E23)</f>
        <v>94</v>
      </c>
      <c r="G23" s="1">
        <v>117</v>
      </c>
      <c r="H23" s="1">
        <v>65</v>
      </c>
      <c r="I23" s="1">
        <v>-2</v>
      </c>
      <c r="J23" s="1">
        <f t="shared" si="8"/>
        <v>33</v>
      </c>
      <c r="K23" s="1">
        <v>124</v>
      </c>
      <c r="L23" s="1">
        <v>149</v>
      </c>
      <c r="M23" s="1">
        <v>152</v>
      </c>
      <c r="N23" s="1">
        <f>+M23</f>
        <v>152</v>
      </c>
      <c r="P23" s="1">
        <v>143</v>
      </c>
      <c r="Q23" s="1">
        <v>348</v>
      </c>
      <c r="R23" s="1">
        <v>561</v>
      </c>
      <c r="S23" s="1">
        <v>501</v>
      </c>
      <c r="T23" s="1">
        <v>213</v>
      </c>
      <c r="U23" s="1">
        <f>+SUM(K23:N23)</f>
        <v>577</v>
      </c>
      <c r="V23" s="1">
        <f t="shared" ref="V23:AD23" si="12">+U23*1.01</f>
        <v>582.77</v>
      </c>
      <c r="W23" s="1">
        <f t="shared" si="12"/>
        <v>588.59770000000003</v>
      </c>
      <c r="X23" s="1">
        <f t="shared" si="12"/>
        <v>594.48367700000006</v>
      </c>
      <c r="Y23" s="1">
        <f t="shared" si="12"/>
        <v>600.42851377000011</v>
      </c>
      <c r="Z23" s="1">
        <f t="shared" si="12"/>
        <v>606.43279890770009</v>
      </c>
      <c r="AA23" s="1">
        <f t="shared" si="12"/>
        <v>612.4971268967771</v>
      </c>
      <c r="AB23" s="1">
        <f t="shared" si="12"/>
        <v>618.62209816574489</v>
      </c>
      <c r="AC23" s="1">
        <f t="shared" si="12"/>
        <v>624.80831914740236</v>
      </c>
      <c r="AD23" s="1">
        <f t="shared" si="12"/>
        <v>631.05640233887641</v>
      </c>
    </row>
    <row r="24" spans="2:30" s="3" customFormat="1">
      <c r="B24" s="3" t="s">
        <v>16</v>
      </c>
      <c r="C24" s="3">
        <f>SUM(C19:C23)</f>
        <v>3023</v>
      </c>
      <c r="D24" s="3">
        <f>SUM(D19:D23)</f>
        <v>3058</v>
      </c>
      <c r="E24" s="3">
        <f>+SUM(E19:E23)</f>
        <v>2634</v>
      </c>
      <c r="F24" s="3">
        <f t="shared" ref="F24:N24" si="13">SUM(F19:F23)</f>
        <v>3200</v>
      </c>
      <c r="G24" s="3">
        <f t="shared" si="13"/>
        <v>2679</v>
      </c>
      <c r="H24" s="3">
        <f t="shared" si="13"/>
        <v>2683</v>
      </c>
      <c r="I24" s="3">
        <f t="shared" si="13"/>
        <v>2493</v>
      </c>
      <c r="J24" s="3">
        <f t="shared" si="13"/>
        <v>3957</v>
      </c>
      <c r="K24" s="3">
        <f t="shared" si="13"/>
        <v>4023</v>
      </c>
      <c r="L24" s="3">
        <f t="shared" si="13"/>
        <v>4402</v>
      </c>
      <c r="M24" s="3">
        <f t="shared" si="13"/>
        <v>4605</v>
      </c>
      <c r="N24" s="3">
        <f t="shared" si="13"/>
        <v>5569.05</v>
      </c>
      <c r="O24" s="4"/>
      <c r="P24" s="3">
        <f>SUM(P19:P23)</f>
        <v>9740</v>
      </c>
      <c r="Q24" s="3">
        <f>SUM(Q19:Q23)</f>
        <v>11497</v>
      </c>
      <c r="R24" s="3">
        <f>SUM(R19:R23)</f>
        <v>12222</v>
      </c>
      <c r="S24" s="3">
        <f>SUM(S19:S23)</f>
        <v>11915</v>
      </c>
      <c r="T24" s="3">
        <f>SUM(T19:T23)</f>
        <v>11812</v>
      </c>
      <c r="U24" s="3">
        <f>+SUM(U19:U23)</f>
        <v>18599.05</v>
      </c>
      <c r="V24" s="3">
        <f>+SUM(V19:V23)</f>
        <v>18785.040500000003</v>
      </c>
      <c r="W24" s="3">
        <f t="shared" ref="W24:AD24" si="14">+SUM(W19:W23)</f>
        <v>18972.890905</v>
      </c>
      <c r="X24" s="3">
        <f t="shared" si="14"/>
        <v>19162.619814049998</v>
      </c>
      <c r="Y24" s="3">
        <f t="shared" si="14"/>
        <v>19354.246012190502</v>
      </c>
      <c r="Z24" s="3">
        <f t="shared" si="14"/>
        <v>19547.788472312408</v>
      </c>
      <c r="AA24" s="3">
        <f t="shared" si="14"/>
        <v>19743.266357035533</v>
      </c>
      <c r="AB24" s="3">
        <f t="shared" si="14"/>
        <v>19940.699020605887</v>
      </c>
      <c r="AC24" s="3">
        <f t="shared" si="14"/>
        <v>20140.106010811949</v>
      </c>
      <c r="AD24" s="3">
        <f t="shared" si="14"/>
        <v>20341.507070920063</v>
      </c>
    </row>
    <row r="25" spans="2:30">
      <c r="B25" s="1" t="s">
        <v>17</v>
      </c>
      <c r="C25" s="1">
        <v>1435</v>
      </c>
      <c r="D25" s="1">
        <v>1708</v>
      </c>
      <c r="E25" s="1">
        <v>1545</v>
      </c>
      <c r="F25" s="1">
        <f>+S25-SUM(C25:E25)</f>
        <v>1780</v>
      </c>
      <c r="G25" s="1">
        <v>1482</v>
      </c>
      <c r="H25" s="1">
        <v>1543</v>
      </c>
      <c r="I25" s="1">
        <v>1371</v>
      </c>
      <c r="J25" s="1">
        <f>+T25-SUM(G25:I25)</f>
        <v>2303</v>
      </c>
      <c r="K25" s="1">
        <v>2106</v>
      </c>
      <c r="L25" s="1">
        <v>2156</v>
      </c>
      <c r="M25" s="1">
        <v>2310</v>
      </c>
      <c r="N25" s="1">
        <f t="shared" ref="N25:N33" si="15">+N$24*(M25/M$24)</f>
        <v>2793.5951140065149</v>
      </c>
      <c r="P25" s="1">
        <v>5195</v>
      </c>
      <c r="Q25" s="1">
        <v>5014</v>
      </c>
      <c r="R25" s="1">
        <v>5435</v>
      </c>
      <c r="S25" s="1">
        <v>6468</v>
      </c>
      <c r="T25" s="1">
        <v>6699</v>
      </c>
      <c r="U25" s="17">
        <f t="shared" ref="U25:U39" si="16">+SUM(K25:N25)</f>
        <v>9365.5951140065154</v>
      </c>
      <c r="V25" s="1">
        <f>+V$24*(U25/U$24)</f>
        <v>9459.2510651465818</v>
      </c>
      <c r="W25" s="1">
        <f t="shared" ref="W25:AD25" si="17">+W$24*(V25/V$24)</f>
        <v>9553.843575798046</v>
      </c>
      <c r="X25" s="1">
        <f t="shared" si="17"/>
        <v>9649.3820115560266</v>
      </c>
      <c r="Y25" s="1">
        <f t="shared" si="17"/>
        <v>9745.8758316715885</v>
      </c>
      <c r="Z25" s="1">
        <f t="shared" si="17"/>
        <v>9843.3345899883043</v>
      </c>
      <c r="AA25" s="1">
        <f t="shared" si="17"/>
        <v>9941.7679358881869</v>
      </c>
      <c r="AB25" s="1">
        <f t="shared" si="17"/>
        <v>10041.18561524707</v>
      </c>
      <c r="AC25" s="1">
        <f t="shared" si="17"/>
        <v>10141.597471399542</v>
      </c>
      <c r="AD25" s="1">
        <f t="shared" si="17"/>
        <v>10243.013446113533</v>
      </c>
    </row>
    <row r="26" spans="2:30">
      <c r="B26" s="1" t="s">
        <v>18</v>
      </c>
      <c r="C26" s="1">
        <v>547</v>
      </c>
      <c r="D26" s="1">
        <v>559</v>
      </c>
      <c r="E26" s="1">
        <v>508</v>
      </c>
      <c r="F26" s="1">
        <f t="shared" ref="F26:F36" si="18">+S26-SUM(C26:E26)</f>
        <v>571</v>
      </c>
      <c r="G26" s="1">
        <v>461</v>
      </c>
      <c r="H26" s="1">
        <v>486</v>
      </c>
      <c r="I26" s="1">
        <v>480</v>
      </c>
      <c r="J26" s="1">
        <f t="shared" ref="J26:J36" si="19">+T26-SUM(G26:I26)</f>
        <v>681</v>
      </c>
      <c r="K26" s="1">
        <v>654</v>
      </c>
      <c r="L26" s="1">
        <v>602</v>
      </c>
      <c r="M26" s="1">
        <v>631</v>
      </c>
      <c r="N26" s="1">
        <f t="shared" si="15"/>
        <v>763.09892508143332</v>
      </c>
      <c r="P26" s="1">
        <v>1960</v>
      </c>
      <c r="Q26" s="1">
        <v>2300</v>
      </c>
      <c r="R26" s="1">
        <v>2323</v>
      </c>
      <c r="S26" s="1">
        <v>2185</v>
      </c>
      <c r="T26" s="1">
        <v>2108</v>
      </c>
      <c r="U26" s="17">
        <f t="shared" si="16"/>
        <v>2650.0989250814332</v>
      </c>
      <c r="V26" s="1">
        <f t="shared" ref="V26:AD33" si="20">+V$24*(U26/U$24)</f>
        <v>2676.5999143322483</v>
      </c>
      <c r="W26" s="1">
        <f t="shared" si="20"/>
        <v>2703.3659134755703</v>
      </c>
      <c r="X26" s="1">
        <f t="shared" si="20"/>
        <v>2730.3995726103258</v>
      </c>
      <c r="Y26" s="1">
        <f t="shared" si="20"/>
        <v>2757.7035683364297</v>
      </c>
      <c r="Z26" s="1">
        <f t="shared" si="20"/>
        <v>2785.2806040197938</v>
      </c>
      <c r="AA26" s="1">
        <f t="shared" si="20"/>
        <v>2813.133410059992</v>
      </c>
      <c r="AB26" s="1">
        <f t="shared" si="20"/>
        <v>2841.2647441605918</v>
      </c>
      <c r="AC26" s="1">
        <f t="shared" si="20"/>
        <v>2869.6773916021984</v>
      </c>
      <c r="AD26" s="1">
        <f t="shared" si="20"/>
        <v>2898.3741655182193</v>
      </c>
    </row>
    <row r="27" spans="2:30">
      <c r="B27" s="1" t="s">
        <v>19</v>
      </c>
      <c r="C27" s="1">
        <v>61</v>
      </c>
      <c r="D27" s="1">
        <v>49</v>
      </c>
      <c r="E27" s="1">
        <v>53</v>
      </c>
      <c r="F27" s="1">
        <f t="shared" si="18"/>
        <v>758</v>
      </c>
      <c r="G27" s="1">
        <v>66</v>
      </c>
      <c r="H27" s="1">
        <v>66</v>
      </c>
      <c r="I27" s="1">
        <v>166</v>
      </c>
      <c r="J27" s="1">
        <f t="shared" si="19"/>
        <v>1235</v>
      </c>
      <c r="K27" s="1">
        <v>98</v>
      </c>
      <c r="L27" s="1">
        <v>94</v>
      </c>
      <c r="M27" s="1">
        <v>132</v>
      </c>
      <c r="N27" s="1">
        <f t="shared" si="15"/>
        <v>159.63400651465798</v>
      </c>
      <c r="P27" s="1">
        <v>280</v>
      </c>
      <c r="Q27" s="1">
        <v>366</v>
      </c>
      <c r="R27" s="1">
        <v>1846</v>
      </c>
      <c r="S27" s="1">
        <v>921</v>
      </c>
      <c r="T27" s="1">
        <v>1533</v>
      </c>
      <c r="U27" s="17">
        <f t="shared" si="16"/>
        <v>483.63400651465798</v>
      </c>
      <c r="V27" s="1">
        <f t="shared" si="20"/>
        <v>488.47034657980464</v>
      </c>
      <c r="W27" s="1">
        <f t="shared" si="20"/>
        <v>493.35505004560264</v>
      </c>
      <c r="X27" s="1">
        <f t="shared" si="20"/>
        <v>498.2886005460586</v>
      </c>
      <c r="Y27" s="1">
        <f t="shared" si="20"/>
        <v>503.27148655151933</v>
      </c>
      <c r="Z27" s="1">
        <f t="shared" si="20"/>
        <v>508.30420141703451</v>
      </c>
      <c r="AA27" s="1">
        <f t="shared" si="20"/>
        <v>513.38724343120487</v>
      </c>
      <c r="AB27" s="1">
        <f t="shared" si="20"/>
        <v>518.52111586551689</v>
      </c>
      <c r="AC27" s="1">
        <f t="shared" si="20"/>
        <v>523.7063270241722</v>
      </c>
      <c r="AD27" s="1">
        <f t="shared" si="20"/>
        <v>528.94339029441369</v>
      </c>
    </row>
    <row r="28" spans="2:30">
      <c r="B28" s="1" t="s">
        <v>20</v>
      </c>
      <c r="C28" s="1">
        <v>38</v>
      </c>
      <c r="D28" s="1">
        <v>62</v>
      </c>
      <c r="E28" s="1">
        <v>69</v>
      </c>
      <c r="F28" s="1">
        <f t="shared" si="18"/>
        <v>62</v>
      </c>
      <c r="G28" s="1">
        <v>48</v>
      </c>
      <c r="H28" s="1">
        <v>66</v>
      </c>
      <c r="I28" s="1">
        <v>78</v>
      </c>
      <c r="J28" s="1">
        <f t="shared" si="19"/>
        <v>73</v>
      </c>
      <c r="K28" s="1">
        <v>53</v>
      </c>
      <c r="L28" s="1">
        <v>57</v>
      </c>
      <c r="M28" s="1">
        <v>74</v>
      </c>
      <c r="N28" s="1">
        <f t="shared" si="15"/>
        <v>89.491791530944639</v>
      </c>
      <c r="P28" s="1">
        <v>265</v>
      </c>
      <c r="Q28" s="1">
        <v>187</v>
      </c>
      <c r="R28" s="1">
        <v>209</v>
      </c>
      <c r="S28" s="1">
        <v>231</v>
      </c>
      <c r="T28" s="1">
        <v>265</v>
      </c>
      <c r="U28" s="17">
        <f t="shared" si="16"/>
        <v>273.49179153094462</v>
      </c>
      <c r="V28" s="1">
        <f t="shared" si="20"/>
        <v>276.22670944625412</v>
      </c>
      <c r="W28" s="1">
        <f t="shared" si="20"/>
        <v>278.98897654071664</v>
      </c>
      <c r="X28" s="1">
        <f t="shared" si="20"/>
        <v>281.7788663061238</v>
      </c>
      <c r="Y28" s="1">
        <f t="shared" si="20"/>
        <v>284.59665496918512</v>
      </c>
      <c r="Z28" s="1">
        <f t="shared" si="20"/>
        <v>287.44262151887699</v>
      </c>
      <c r="AA28" s="1">
        <f t="shared" si="20"/>
        <v>290.31704773406574</v>
      </c>
      <c r="AB28" s="1">
        <f t="shared" si="20"/>
        <v>293.2202182114064</v>
      </c>
      <c r="AC28" s="1">
        <f t="shared" si="20"/>
        <v>296.15242039352052</v>
      </c>
      <c r="AD28" s="1">
        <f t="shared" si="20"/>
        <v>299.1139445974556</v>
      </c>
    </row>
    <row r="29" spans="2:30">
      <c r="B29" s="1" t="s">
        <v>21</v>
      </c>
      <c r="C29" s="1">
        <v>44</v>
      </c>
      <c r="D29" s="1">
        <v>45</v>
      </c>
      <c r="E29" s="1">
        <v>80</v>
      </c>
      <c r="F29" s="1">
        <f t="shared" si="18"/>
        <v>60</v>
      </c>
      <c r="G29" s="1">
        <v>35</v>
      </c>
      <c r="H29" s="1">
        <v>44</v>
      </c>
      <c r="I29" s="1">
        <v>53</v>
      </c>
      <c r="J29" s="1">
        <f t="shared" si="19"/>
        <v>68</v>
      </c>
      <c r="K29" s="1">
        <v>53</v>
      </c>
      <c r="L29" s="1">
        <v>49</v>
      </c>
      <c r="M29" s="1">
        <v>47</v>
      </c>
      <c r="N29" s="1">
        <f t="shared" si="15"/>
        <v>56.83938110749186</v>
      </c>
      <c r="P29" s="1">
        <v>150</v>
      </c>
      <c r="Q29" s="1">
        <v>122</v>
      </c>
      <c r="R29" s="1">
        <v>154</v>
      </c>
      <c r="S29" s="1">
        <v>229</v>
      </c>
      <c r="T29" s="1">
        <v>200</v>
      </c>
      <c r="U29" s="17">
        <f t="shared" si="16"/>
        <v>205.83938110749187</v>
      </c>
      <c r="V29" s="1">
        <f t="shared" si="20"/>
        <v>207.89777491856682</v>
      </c>
      <c r="W29" s="1">
        <f t="shared" si="20"/>
        <v>209.97675266775246</v>
      </c>
      <c r="X29" s="1">
        <f t="shared" si="20"/>
        <v>212.07652019442997</v>
      </c>
      <c r="Y29" s="1">
        <f t="shared" si="20"/>
        <v>214.19728539637433</v>
      </c>
      <c r="Z29" s="1">
        <f t="shared" si="20"/>
        <v>216.33925825033808</v>
      </c>
      <c r="AA29" s="1">
        <f t="shared" si="20"/>
        <v>218.50265083284145</v>
      </c>
      <c r="AB29" s="1">
        <f t="shared" si="20"/>
        <v>220.68767734116986</v>
      </c>
      <c r="AC29" s="1">
        <f t="shared" si="20"/>
        <v>222.89455411458161</v>
      </c>
      <c r="AD29" s="1">
        <f t="shared" si="20"/>
        <v>225.12349965572736</v>
      </c>
    </row>
    <row r="30" spans="2:30">
      <c r="B30" s="1" t="s">
        <v>22</v>
      </c>
      <c r="C30" s="1">
        <v>64</v>
      </c>
      <c r="D30" s="1">
        <v>73</v>
      </c>
      <c r="E30" s="1">
        <v>73</v>
      </c>
      <c r="F30" s="1">
        <f t="shared" si="18"/>
        <v>66</v>
      </c>
      <c r="G30" s="1">
        <v>74</v>
      </c>
      <c r="H30" s="1">
        <v>71</v>
      </c>
      <c r="I30" s="1">
        <v>70</v>
      </c>
      <c r="J30" s="1">
        <f t="shared" si="19"/>
        <v>84</v>
      </c>
      <c r="K30" s="1">
        <v>101</v>
      </c>
      <c r="L30" s="1">
        <v>100</v>
      </c>
      <c r="M30" s="1">
        <v>113</v>
      </c>
      <c r="N30" s="1">
        <f t="shared" si="15"/>
        <v>136.65638436482084</v>
      </c>
      <c r="P30" s="1">
        <v>313</v>
      </c>
      <c r="Q30" s="1">
        <v>269</v>
      </c>
      <c r="R30" s="1">
        <v>259</v>
      </c>
      <c r="S30" s="1">
        <v>276</v>
      </c>
      <c r="T30" s="1">
        <v>299</v>
      </c>
      <c r="U30" s="17">
        <f t="shared" si="16"/>
        <v>450.65638436482084</v>
      </c>
      <c r="V30" s="1">
        <f t="shared" si="20"/>
        <v>455.16294820846912</v>
      </c>
      <c r="W30" s="1">
        <f t="shared" si="20"/>
        <v>459.71457769055377</v>
      </c>
      <c r="X30" s="1">
        <f t="shared" si="20"/>
        <v>464.31172346745922</v>
      </c>
      <c r="Y30" s="1">
        <f t="shared" si="20"/>
        <v>468.95484070213394</v>
      </c>
      <c r="Z30" s="1">
        <f t="shared" si="20"/>
        <v>473.64438910915527</v>
      </c>
      <c r="AA30" s="1">
        <f t="shared" si="20"/>
        <v>478.38083300024687</v>
      </c>
      <c r="AB30" s="1">
        <f t="shared" si="20"/>
        <v>483.16464133024931</v>
      </c>
      <c r="AC30" s="1">
        <f t="shared" si="20"/>
        <v>487.99628774355187</v>
      </c>
      <c r="AD30" s="1">
        <f t="shared" si="20"/>
        <v>492.87625062098726</v>
      </c>
    </row>
    <row r="31" spans="2:30">
      <c r="B31" s="1" t="s">
        <v>31</v>
      </c>
      <c r="C31" s="1">
        <v>35</v>
      </c>
      <c r="D31" s="1">
        <v>22</v>
      </c>
      <c r="E31" s="1">
        <v>11</v>
      </c>
      <c r="F31" s="1">
        <f t="shared" si="18"/>
        <v>14</v>
      </c>
      <c r="G31" s="1">
        <v>8</v>
      </c>
      <c r="H31" s="1">
        <v>41</v>
      </c>
      <c r="I31" s="1">
        <v>37</v>
      </c>
      <c r="J31" s="1">
        <f t="shared" si="19"/>
        <v>431</v>
      </c>
      <c r="K31" s="1">
        <v>73</v>
      </c>
      <c r="L31" s="1">
        <v>59</v>
      </c>
      <c r="M31" s="1">
        <v>55</v>
      </c>
      <c r="N31" s="1">
        <f t="shared" si="15"/>
        <v>66.514169381107493</v>
      </c>
      <c r="P31" s="1">
        <v>300</v>
      </c>
      <c r="Q31" s="1">
        <v>384</v>
      </c>
      <c r="R31" s="1">
        <v>143</v>
      </c>
      <c r="S31" s="1">
        <v>82</v>
      </c>
      <c r="T31" s="1">
        <v>517</v>
      </c>
      <c r="U31" s="17">
        <f t="shared" si="16"/>
        <v>253.51416938110748</v>
      </c>
      <c r="V31" s="1">
        <f t="shared" si="20"/>
        <v>256.04931107491859</v>
      </c>
      <c r="W31" s="1">
        <f t="shared" si="20"/>
        <v>258.60980418566777</v>
      </c>
      <c r="X31" s="1">
        <f t="shared" si="20"/>
        <v>261.19590222752441</v>
      </c>
      <c r="Y31" s="1">
        <f t="shared" si="20"/>
        <v>263.80786124979971</v>
      </c>
      <c r="Z31" s="1">
        <f t="shared" si="20"/>
        <v>266.44593986229773</v>
      </c>
      <c r="AA31" s="1">
        <f t="shared" si="20"/>
        <v>269.1103992609207</v>
      </c>
      <c r="AB31" s="1">
        <f t="shared" si="20"/>
        <v>271.80150325352986</v>
      </c>
      <c r="AC31" s="1">
        <f t="shared" si="20"/>
        <v>274.51951828606519</v>
      </c>
      <c r="AD31" s="1">
        <f t="shared" si="20"/>
        <v>277.26471346892578</v>
      </c>
    </row>
    <row r="32" spans="2:30">
      <c r="B32" s="1" t="s">
        <v>23</v>
      </c>
      <c r="C32" s="1">
        <v>-109</v>
      </c>
      <c r="D32" s="1">
        <v>-75</v>
      </c>
      <c r="E32" s="1">
        <v>56</v>
      </c>
      <c r="F32" s="1">
        <f t="shared" si="18"/>
        <v>101</v>
      </c>
      <c r="G32" s="1">
        <v>99</v>
      </c>
      <c r="H32" s="1">
        <v>-17</v>
      </c>
      <c r="I32" s="1">
        <v>42</v>
      </c>
      <c r="J32" s="1">
        <f t="shared" si="19"/>
        <v>-212</v>
      </c>
      <c r="K32" s="1">
        <v>121</v>
      </c>
      <c r="L32" s="1">
        <v>100</v>
      </c>
      <c r="M32" s="1">
        <v>17</v>
      </c>
      <c r="N32" s="1">
        <f t="shared" si="15"/>
        <v>20.558925081433227</v>
      </c>
      <c r="P32" s="1">
        <v>297</v>
      </c>
      <c r="Q32" s="1">
        <v>-32</v>
      </c>
      <c r="R32" s="1">
        <v>125</v>
      </c>
      <c r="S32" s="1">
        <v>-27</v>
      </c>
      <c r="T32" s="1">
        <v>-88</v>
      </c>
      <c r="U32" s="17">
        <f t="shared" si="16"/>
        <v>258.55892508143324</v>
      </c>
      <c r="V32" s="1">
        <f t="shared" si="20"/>
        <v>261.14451433224764</v>
      </c>
      <c r="W32" s="1">
        <f t="shared" si="20"/>
        <v>263.75595947557008</v>
      </c>
      <c r="X32" s="1">
        <f t="shared" si="20"/>
        <v>266.39351907032574</v>
      </c>
      <c r="Y32" s="1">
        <f t="shared" si="20"/>
        <v>269.05745426102908</v>
      </c>
      <c r="Z32" s="1">
        <f t="shared" si="20"/>
        <v>271.74802880363939</v>
      </c>
      <c r="AA32" s="1">
        <f t="shared" si="20"/>
        <v>274.46550909167581</v>
      </c>
      <c r="AB32" s="1">
        <f t="shared" si="20"/>
        <v>277.21016418259256</v>
      </c>
      <c r="AC32" s="1">
        <f t="shared" si="20"/>
        <v>279.9822658244185</v>
      </c>
      <c r="AD32" s="1">
        <f t="shared" si="20"/>
        <v>282.78208848266263</v>
      </c>
    </row>
    <row r="33" spans="2:230">
      <c r="B33" s="1" t="s">
        <v>24</v>
      </c>
      <c r="C33" s="1">
        <v>-62</v>
      </c>
      <c r="D33" s="1">
        <v>-57</v>
      </c>
      <c r="E33" s="1">
        <v>-55</v>
      </c>
      <c r="F33" s="1">
        <f t="shared" si="18"/>
        <v>-53</v>
      </c>
      <c r="G33" s="1">
        <v>-65</v>
      </c>
      <c r="H33" s="1">
        <v>-49</v>
      </c>
      <c r="I33" s="1">
        <v>-48</v>
      </c>
      <c r="J33" s="1">
        <f t="shared" si="19"/>
        <v>-81</v>
      </c>
      <c r="K33" s="1">
        <v>-93</v>
      </c>
      <c r="L33" s="1">
        <v>-103</v>
      </c>
      <c r="M33" s="1">
        <v>-86</v>
      </c>
      <c r="N33" s="1">
        <f t="shared" si="15"/>
        <v>-104.00397394136809</v>
      </c>
      <c r="P33" s="1">
        <v>-301</v>
      </c>
      <c r="Q33" s="1">
        <v>-308</v>
      </c>
      <c r="R33" s="1">
        <v>-274</v>
      </c>
      <c r="S33" s="1">
        <v>-227</v>
      </c>
      <c r="T33" s="1">
        <v>-243</v>
      </c>
      <c r="U33" s="17">
        <f t="shared" si="16"/>
        <v>-386.00397394136809</v>
      </c>
      <c r="V33" s="1">
        <f t="shared" si="20"/>
        <v>-389.86401368078185</v>
      </c>
      <c r="W33" s="1">
        <f t="shared" si="20"/>
        <v>-393.76265381758964</v>
      </c>
      <c r="X33" s="1">
        <f t="shared" si="20"/>
        <v>-397.70028035576547</v>
      </c>
      <c r="Y33" s="1">
        <f t="shared" si="20"/>
        <v>-401.67728315932322</v>
      </c>
      <c r="Z33" s="1">
        <f t="shared" si="20"/>
        <v>-405.69405599091647</v>
      </c>
      <c r="AA33" s="1">
        <f t="shared" si="20"/>
        <v>-409.75099655082562</v>
      </c>
      <c r="AB33" s="1">
        <f t="shared" si="20"/>
        <v>-413.84850651633388</v>
      </c>
      <c r="AC33" s="1">
        <f t="shared" si="20"/>
        <v>-417.98699158149725</v>
      </c>
      <c r="AD33" s="1">
        <f t="shared" si="20"/>
        <v>-422.16686149731214</v>
      </c>
    </row>
    <row r="34" spans="2:230">
      <c r="B34" s="1" t="s">
        <v>25</v>
      </c>
      <c r="C34" s="1">
        <f>+C24-SUM(C25:C33)</f>
        <v>970</v>
      </c>
      <c r="D34" s="1">
        <f>+D24-SUM(D25:D33)</f>
        <v>672</v>
      </c>
      <c r="E34" s="1">
        <f>+E24-SUM(E25:E33)</f>
        <v>294</v>
      </c>
      <c r="F34" s="1">
        <f t="shared" si="18"/>
        <v>-159</v>
      </c>
      <c r="G34" s="1">
        <f>+G24-SUM(G25:G33)</f>
        <v>471</v>
      </c>
      <c r="H34" s="1">
        <f>+H24-SUM(H25:H33)</f>
        <v>432</v>
      </c>
      <c r="I34" s="1">
        <f>+I24-SUM(I25:I33)</f>
        <v>244</v>
      </c>
      <c r="J34" s="1">
        <f t="shared" si="19"/>
        <v>-625</v>
      </c>
      <c r="K34" s="1">
        <f>+K24-SUM(K25:K33)</f>
        <v>857</v>
      </c>
      <c r="L34" s="1">
        <f>+L24-SUM(L25:L33)</f>
        <v>1288</v>
      </c>
      <c r="M34" s="1">
        <f>+M24-SUM(M25:M33)</f>
        <v>1312</v>
      </c>
      <c r="N34" s="1">
        <f>+N24-SUM(N25:N33)</f>
        <v>1586.6652768729641</v>
      </c>
      <c r="P34" s="1">
        <f>+P24-SUM(P25:P33)</f>
        <v>1281</v>
      </c>
      <c r="Q34" s="1">
        <f>+Q24-SUM(Q25:Q33)</f>
        <v>3195</v>
      </c>
      <c r="R34" s="1">
        <f>+R24-SUM(R25:R33)</f>
        <v>2002</v>
      </c>
      <c r="S34" s="1">
        <f>+S24-SUM(S25:S33)</f>
        <v>1777</v>
      </c>
      <c r="T34" s="1">
        <f>+T24-SUM(T25:T33)</f>
        <v>522</v>
      </c>
      <c r="U34" s="17">
        <f t="shared" si="16"/>
        <v>5043.6652768729637</v>
      </c>
      <c r="V34" s="1">
        <f>+V24-SUM(V25:V33)</f>
        <v>5094.1019296416925</v>
      </c>
      <c r="W34" s="1">
        <f t="shared" ref="W34:AD34" si="21">+W24-SUM(W25:W33)</f>
        <v>5145.0429489381095</v>
      </c>
      <c r="X34" s="1">
        <f t="shared" si="21"/>
        <v>5196.4933784274908</v>
      </c>
      <c r="Y34" s="1">
        <f t="shared" si="21"/>
        <v>5248.4583122117656</v>
      </c>
      <c r="Z34" s="1">
        <f t="shared" si="21"/>
        <v>5300.9428953338829</v>
      </c>
      <c r="AA34" s="1">
        <f t="shared" si="21"/>
        <v>5353.9523242872237</v>
      </c>
      <c r="AB34" s="1">
        <f t="shared" si="21"/>
        <v>5407.4918475300947</v>
      </c>
      <c r="AC34" s="1">
        <f t="shared" si="21"/>
        <v>5461.566766005395</v>
      </c>
      <c r="AD34" s="1">
        <f t="shared" si="21"/>
        <v>5516.1824336654518</v>
      </c>
    </row>
    <row r="35" spans="2:230">
      <c r="B35" s="1" t="s">
        <v>26</v>
      </c>
      <c r="C35" s="1">
        <v>-214</v>
      </c>
      <c r="D35" s="1">
        <v>-33</v>
      </c>
      <c r="E35" s="1">
        <v>-96</v>
      </c>
      <c r="F35" s="1">
        <f t="shared" si="18"/>
        <v>-112</v>
      </c>
      <c r="G35" s="1">
        <v>-213</v>
      </c>
      <c r="H35" s="1">
        <v>-163</v>
      </c>
      <c r="I35" s="1">
        <v>-73</v>
      </c>
      <c r="J35" s="1">
        <f t="shared" si="19"/>
        <v>-77</v>
      </c>
      <c r="K35" s="1">
        <v>-260</v>
      </c>
      <c r="L35" s="1">
        <v>-191</v>
      </c>
      <c r="M35" s="1">
        <v>-244</v>
      </c>
      <c r="N35" s="1">
        <f>+N$34*(M35/M$34)</f>
        <v>-295.08104234527684</v>
      </c>
      <c r="P35" s="1">
        <v>-832</v>
      </c>
      <c r="Q35" s="1">
        <v>-704</v>
      </c>
      <c r="R35" s="1">
        <v>-1098</v>
      </c>
      <c r="S35" s="1">
        <v>-455</v>
      </c>
      <c r="T35" s="1">
        <v>-526</v>
      </c>
      <c r="U35" s="17">
        <f t="shared" si="16"/>
        <v>-990.08104234527684</v>
      </c>
      <c r="V35" s="1">
        <f>+V34*(U35/U34)</f>
        <v>-999.98185276872948</v>
      </c>
      <c r="W35" s="1">
        <f t="shared" ref="W35:AD35" si="22">+W34*(V35/V34)</f>
        <v>-1009.9816712964168</v>
      </c>
      <c r="X35" s="1">
        <f t="shared" si="22"/>
        <v>-1020.081488009381</v>
      </c>
      <c r="Y35" s="1">
        <f t="shared" si="22"/>
        <v>-1030.2823028894747</v>
      </c>
      <c r="Z35" s="1">
        <f t="shared" si="22"/>
        <v>-1040.5851259183696</v>
      </c>
      <c r="AA35" s="1">
        <f t="shared" si="22"/>
        <v>-1050.9909771775538</v>
      </c>
      <c r="AB35" s="1">
        <f t="shared" si="22"/>
        <v>-1061.500886949329</v>
      </c>
      <c r="AC35" s="1">
        <f t="shared" si="22"/>
        <v>-1072.1158958188223</v>
      </c>
      <c r="AD35" s="1">
        <f t="shared" si="22"/>
        <v>-1082.8370547770112</v>
      </c>
    </row>
    <row r="36" spans="2:230">
      <c r="B36" s="1" t="s">
        <v>28</v>
      </c>
      <c r="C36" s="1">
        <v>39</v>
      </c>
      <c r="D36" s="1">
        <v>17</v>
      </c>
      <c r="E36" s="1">
        <v>25</v>
      </c>
      <c r="F36" s="1">
        <f t="shared" si="18"/>
        <v>26</v>
      </c>
      <c r="G36" s="1">
        <v>25</v>
      </c>
      <c r="H36" s="1">
        <v>16</v>
      </c>
      <c r="I36" s="1">
        <v>3</v>
      </c>
      <c r="J36" s="1">
        <f t="shared" si="19"/>
        <v>19</v>
      </c>
      <c r="K36" s="1">
        <v>7</v>
      </c>
      <c r="L36" s="1">
        <v>-3</v>
      </c>
      <c r="M36" s="1">
        <v>60</v>
      </c>
      <c r="N36" s="1">
        <f>+N$34*(M36/M$34)</f>
        <v>72.56091205211726</v>
      </c>
      <c r="P36" s="1">
        <v>95</v>
      </c>
      <c r="Q36" s="1">
        <v>189</v>
      </c>
      <c r="R36" s="1">
        <v>166</v>
      </c>
      <c r="S36" s="1">
        <v>107</v>
      </c>
      <c r="T36" s="1">
        <v>63</v>
      </c>
      <c r="U36" s="17">
        <f t="shared" si="16"/>
        <v>136.56091205211726</v>
      </c>
      <c r="V36" s="1">
        <f>+V34*(T36/T34)</f>
        <v>614.80540530158362</v>
      </c>
      <c r="W36" s="1">
        <f t="shared" ref="W36:AD36" si="23">+W34*(U36/U34)</f>
        <v>139.30578638436478</v>
      </c>
      <c r="X36" s="1">
        <f t="shared" si="23"/>
        <v>627.16299394814553</v>
      </c>
      <c r="Y36" s="1">
        <f t="shared" si="23"/>
        <v>142.10583269069051</v>
      </c>
      <c r="Z36" s="1">
        <f t="shared" si="23"/>
        <v>639.76897012650318</v>
      </c>
      <c r="AA36" s="1">
        <f t="shared" si="23"/>
        <v>144.96215992777343</v>
      </c>
      <c r="AB36" s="1">
        <f t="shared" si="23"/>
        <v>652.62832642604599</v>
      </c>
      <c r="AC36" s="1">
        <f t="shared" si="23"/>
        <v>147.87589934232162</v>
      </c>
      <c r="AD36" s="1">
        <f t="shared" si="23"/>
        <v>665.74615578720977</v>
      </c>
    </row>
    <row r="37" spans="2:230" s="3" customFormat="1">
      <c r="B37" s="3" t="s">
        <v>58</v>
      </c>
      <c r="C37" s="3">
        <f t="shared" ref="C37:L37" si="24">+C34-SUM(C35:C36)</f>
        <v>1145</v>
      </c>
      <c r="D37" s="3">
        <f t="shared" si="24"/>
        <v>688</v>
      </c>
      <c r="E37" s="3">
        <f t="shared" si="24"/>
        <v>365</v>
      </c>
      <c r="F37" s="3">
        <f t="shared" si="24"/>
        <v>-73</v>
      </c>
      <c r="G37" s="3">
        <f t="shared" si="24"/>
        <v>659</v>
      </c>
      <c r="H37" s="3">
        <f t="shared" si="24"/>
        <v>579</v>
      </c>
      <c r="I37" s="3">
        <f t="shared" si="24"/>
        <v>314</v>
      </c>
      <c r="J37" s="3">
        <f t="shared" si="24"/>
        <v>-567</v>
      </c>
      <c r="K37" s="3">
        <f t="shared" si="24"/>
        <v>1110</v>
      </c>
      <c r="L37" s="3">
        <f t="shared" si="24"/>
        <v>1482</v>
      </c>
      <c r="M37" s="3">
        <f>+M34-SUM(M35:M36)</f>
        <v>1496</v>
      </c>
      <c r="N37" s="3">
        <f>+N34-SUM(N35:N36)</f>
        <v>1809.1854071661237</v>
      </c>
      <c r="P37" s="3">
        <f>+P34-SUM(P35:P36)</f>
        <v>2018</v>
      </c>
      <c r="Q37" s="3">
        <f>+Q34-SUM(Q35:Q36)</f>
        <v>3710</v>
      </c>
      <c r="R37" s="3">
        <f>+R34-SUM(R35:R36)</f>
        <v>2934</v>
      </c>
      <c r="S37" s="3">
        <f>+S34-SUM(S35:S36)</f>
        <v>2125</v>
      </c>
      <c r="T37" s="3">
        <f>+T34-SUM(T35:T36)</f>
        <v>985</v>
      </c>
      <c r="U37" s="3">
        <f t="shared" si="16"/>
        <v>5897.1854071661237</v>
      </c>
      <c r="V37" s="3">
        <f>+V34-SUM(V35:V36)</f>
        <v>5479.278377108838</v>
      </c>
      <c r="W37" s="3">
        <f t="shared" ref="W37:AD37" si="25">+W34-SUM(W35:W36)</f>
        <v>6015.7188338501619</v>
      </c>
      <c r="X37" s="3">
        <f t="shared" si="25"/>
        <v>5589.4118724887267</v>
      </c>
      <c r="Y37" s="3">
        <f t="shared" si="25"/>
        <v>6136.6347824105496</v>
      </c>
      <c r="Z37" s="3">
        <f t="shared" si="25"/>
        <v>5701.7590511257495</v>
      </c>
      <c r="AA37" s="3">
        <f t="shared" si="25"/>
        <v>6259.9811415370041</v>
      </c>
      <c r="AB37" s="3">
        <f t="shared" si="25"/>
        <v>5816.3644080533777</v>
      </c>
      <c r="AC37" s="3">
        <f t="shared" si="25"/>
        <v>6385.8067624818959</v>
      </c>
      <c r="AD37" s="3">
        <f t="shared" si="25"/>
        <v>5933.2733326552534</v>
      </c>
      <c r="AE37" s="3">
        <f>+AD37*(1+$AG$47)</f>
        <v>5873.940599328701</v>
      </c>
      <c r="AF37" s="3">
        <f>+AE37*(1+$AG$47)</f>
        <v>5815.2011933354142</v>
      </c>
      <c r="AG37" s="3">
        <f t="shared" ref="AG37:CR37" si="26">+AF37*(1+$AG$47)</f>
        <v>5757.0491814020597</v>
      </c>
      <c r="AH37" s="3">
        <f t="shared" si="26"/>
        <v>5699.4786895880388</v>
      </c>
      <c r="AI37" s="3">
        <f t="shared" si="26"/>
        <v>5642.4839026921582</v>
      </c>
      <c r="AJ37" s="3">
        <f t="shared" si="26"/>
        <v>5586.0590636652369</v>
      </c>
      <c r="AK37" s="3">
        <f t="shared" si="26"/>
        <v>5530.1984730285849</v>
      </c>
      <c r="AL37" s="3">
        <f t="shared" si="26"/>
        <v>5474.8964882982991</v>
      </c>
      <c r="AM37" s="3">
        <f t="shared" si="26"/>
        <v>5420.1475234153158</v>
      </c>
      <c r="AN37" s="3">
        <f t="shared" si="26"/>
        <v>5365.946048181163</v>
      </c>
      <c r="AO37" s="3">
        <f t="shared" si="26"/>
        <v>5312.286587699351</v>
      </c>
      <c r="AP37" s="3">
        <f t="shared" si="26"/>
        <v>5259.1637218223577</v>
      </c>
      <c r="AQ37" s="3">
        <f t="shared" si="26"/>
        <v>5206.572084604134</v>
      </c>
      <c r="AR37" s="3">
        <f t="shared" si="26"/>
        <v>5154.5063637580924</v>
      </c>
      <c r="AS37" s="3">
        <f t="shared" si="26"/>
        <v>5102.9613001205116</v>
      </c>
      <c r="AT37" s="3">
        <f t="shared" si="26"/>
        <v>5051.9316871193068</v>
      </c>
      <c r="AU37" s="3">
        <f t="shared" si="26"/>
        <v>5001.4123702481138</v>
      </c>
      <c r="AV37" s="3">
        <f t="shared" si="26"/>
        <v>4951.3982465456329</v>
      </c>
      <c r="AW37" s="3">
        <f t="shared" si="26"/>
        <v>4901.8842640801768</v>
      </c>
      <c r="AX37" s="3">
        <f t="shared" si="26"/>
        <v>4852.8654214393746</v>
      </c>
      <c r="AY37" s="3">
        <f t="shared" si="26"/>
        <v>4804.3367672249806</v>
      </c>
      <c r="AZ37" s="3">
        <f t="shared" si="26"/>
        <v>4756.293399552731</v>
      </c>
      <c r="BA37" s="3">
        <f t="shared" si="26"/>
        <v>4708.7304655572034</v>
      </c>
      <c r="BB37" s="3">
        <f t="shared" si="26"/>
        <v>4661.6431609016317</v>
      </c>
      <c r="BC37" s="3">
        <f t="shared" si="26"/>
        <v>4615.0267292926155</v>
      </c>
      <c r="BD37" s="3">
        <f t="shared" si="26"/>
        <v>4568.8764619996891</v>
      </c>
      <c r="BE37" s="3">
        <f t="shared" si="26"/>
        <v>4523.1876973796925</v>
      </c>
      <c r="BF37" s="3">
        <f t="shared" si="26"/>
        <v>4477.9558204058958</v>
      </c>
      <c r="BG37" s="3">
        <f t="shared" si="26"/>
        <v>4433.1762622018368</v>
      </c>
      <c r="BH37" s="3">
        <f t="shared" si="26"/>
        <v>4388.8444995798181</v>
      </c>
      <c r="BI37" s="3">
        <f t="shared" si="26"/>
        <v>4344.9560545840195</v>
      </c>
      <c r="BJ37" s="3">
        <f t="shared" si="26"/>
        <v>4301.506494038179</v>
      </c>
      <c r="BK37" s="3">
        <f t="shared" si="26"/>
        <v>4258.4914290977968</v>
      </c>
      <c r="BL37" s="3">
        <f t="shared" si="26"/>
        <v>4215.9065148068184</v>
      </c>
      <c r="BM37" s="3">
        <f t="shared" si="26"/>
        <v>4173.7474496587502</v>
      </c>
      <c r="BN37" s="3">
        <f t="shared" si="26"/>
        <v>4132.0099751621628</v>
      </c>
      <c r="BO37" s="3">
        <f t="shared" si="26"/>
        <v>4090.6898754105414</v>
      </c>
      <c r="BP37" s="3">
        <f t="shared" si="26"/>
        <v>4049.7829766564359</v>
      </c>
      <c r="BQ37" s="3">
        <f t="shared" si="26"/>
        <v>4009.2851468898716</v>
      </c>
      <c r="BR37" s="3">
        <f t="shared" si="26"/>
        <v>3969.1922954209726</v>
      </c>
      <c r="BS37" s="3">
        <f t="shared" si="26"/>
        <v>3929.5003724667627</v>
      </c>
      <c r="BT37" s="3">
        <f t="shared" si="26"/>
        <v>3890.2053687420948</v>
      </c>
      <c r="BU37" s="3">
        <f t="shared" si="26"/>
        <v>3851.3033150546739</v>
      </c>
      <c r="BV37" s="3">
        <f t="shared" si="26"/>
        <v>3812.7902819041274</v>
      </c>
      <c r="BW37" s="3">
        <f t="shared" si="26"/>
        <v>3774.6623790850863</v>
      </c>
      <c r="BX37" s="3">
        <f t="shared" si="26"/>
        <v>3736.9157552942352</v>
      </c>
      <c r="BY37" s="3">
        <f t="shared" si="26"/>
        <v>3699.5465977412928</v>
      </c>
      <c r="BZ37" s="3">
        <f t="shared" si="26"/>
        <v>3662.5511317638798</v>
      </c>
      <c r="CA37" s="3">
        <f t="shared" si="26"/>
        <v>3625.9256204462408</v>
      </c>
      <c r="CB37" s="3">
        <f t="shared" si="26"/>
        <v>3589.6663642417784</v>
      </c>
      <c r="CC37" s="3">
        <f t="shared" si="26"/>
        <v>3553.7697005993605</v>
      </c>
      <c r="CD37" s="3">
        <f t="shared" si="26"/>
        <v>3518.2320035933667</v>
      </c>
      <c r="CE37" s="3">
        <f t="shared" si="26"/>
        <v>3483.0496835574331</v>
      </c>
      <c r="CF37" s="3">
        <f t="shared" si="26"/>
        <v>3448.2191867218589</v>
      </c>
      <c r="CG37" s="3">
        <f t="shared" si="26"/>
        <v>3413.7369948546402</v>
      </c>
      <c r="CH37" s="3">
        <f t="shared" si="26"/>
        <v>3379.5996249060936</v>
      </c>
      <c r="CI37" s="3">
        <f t="shared" si="26"/>
        <v>3345.8036286570327</v>
      </c>
      <c r="CJ37" s="3">
        <f t="shared" si="26"/>
        <v>3312.3455923704623</v>
      </c>
      <c r="CK37" s="3">
        <f t="shared" si="26"/>
        <v>3279.2221364467578</v>
      </c>
      <c r="CL37" s="3">
        <f t="shared" si="26"/>
        <v>3246.4299150822903</v>
      </c>
      <c r="CM37" s="3">
        <f t="shared" si="26"/>
        <v>3213.9656159314673</v>
      </c>
      <c r="CN37" s="3">
        <f t="shared" si="26"/>
        <v>3181.8259597721526</v>
      </c>
      <c r="CO37" s="3">
        <f t="shared" si="26"/>
        <v>3150.0077001744312</v>
      </c>
      <c r="CP37" s="3">
        <f t="shared" si="26"/>
        <v>3118.5076231726866</v>
      </c>
      <c r="CQ37" s="3">
        <f t="shared" si="26"/>
        <v>3087.3225469409599</v>
      </c>
      <c r="CR37" s="3">
        <f t="shared" si="26"/>
        <v>3056.4493214715503</v>
      </c>
      <c r="CS37" s="3">
        <f t="shared" ref="CS37:FD37" si="27">+CR37*(1+$AG$47)</f>
        <v>3025.8848282568347</v>
      </c>
      <c r="CT37" s="3">
        <f t="shared" si="27"/>
        <v>2995.6259799742661</v>
      </c>
      <c r="CU37" s="3">
        <f t="shared" si="27"/>
        <v>2965.6697201745233</v>
      </c>
      <c r="CV37" s="3">
        <f t="shared" si="27"/>
        <v>2936.0130229727779</v>
      </c>
      <c r="CW37" s="3">
        <f t="shared" si="27"/>
        <v>2906.65289274305</v>
      </c>
      <c r="CX37" s="3">
        <f t="shared" si="27"/>
        <v>2877.5863638156193</v>
      </c>
      <c r="CY37" s="3">
        <f t="shared" si="27"/>
        <v>2848.8105001774629</v>
      </c>
      <c r="CZ37" s="3">
        <f t="shared" si="27"/>
        <v>2820.3223951756881</v>
      </c>
      <c r="DA37" s="3">
        <f t="shared" si="27"/>
        <v>2792.1191712239311</v>
      </c>
      <c r="DB37" s="3">
        <f t="shared" si="27"/>
        <v>2764.1979795116918</v>
      </c>
      <c r="DC37" s="3">
        <f t="shared" si="27"/>
        <v>2736.5559997165747</v>
      </c>
      <c r="DD37" s="3">
        <f t="shared" si="27"/>
        <v>2709.1904397194089</v>
      </c>
      <c r="DE37" s="3">
        <f t="shared" si="27"/>
        <v>2682.098535322215</v>
      </c>
      <c r="DF37" s="3">
        <f t="shared" si="27"/>
        <v>2655.2775499689928</v>
      </c>
      <c r="DG37" s="3">
        <f t="shared" si="27"/>
        <v>2628.7247744693027</v>
      </c>
      <c r="DH37" s="3">
        <f t="shared" si="27"/>
        <v>2602.4375267246096</v>
      </c>
      <c r="DI37" s="3">
        <f t="shared" si="27"/>
        <v>2576.4131514573633</v>
      </c>
      <c r="DJ37" s="3">
        <f t="shared" si="27"/>
        <v>2550.6490199427894</v>
      </c>
      <c r="DK37" s="3">
        <f t="shared" si="27"/>
        <v>2525.1425297433616</v>
      </c>
      <c r="DL37" s="3">
        <f t="shared" si="27"/>
        <v>2499.8911044459278</v>
      </c>
      <c r="DM37" s="3">
        <f t="shared" si="27"/>
        <v>2474.8921934014684</v>
      </c>
      <c r="DN37" s="3">
        <f t="shared" si="27"/>
        <v>2450.1432714674538</v>
      </c>
      <c r="DO37" s="3">
        <f t="shared" si="27"/>
        <v>2425.6418387527792</v>
      </c>
      <c r="DP37" s="3">
        <f t="shared" si="27"/>
        <v>2401.3854203652513</v>
      </c>
      <c r="DQ37" s="3">
        <f t="shared" si="27"/>
        <v>2377.3715661615988</v>
      </c>
      <c r="DR37" s="3">
        <f t="shared" si="27"/>
        <v>2353.597850499983</v>
      </c>
      <c r="DS37" s="3">
        <f t="shared" si="27"/>
        <v>2330.061871994983</v>
      </c>
      <c r="DT37" s="3">
        <f t="shared" si="27"/>
        <v>2306.7612532750331</v>
      </c>
      <c r="DU37" s="3">
        <f t="shared" si="27"/>
        <v>2283.6936407422827</v>
      </c>
      <c r="DV37" s="3">
        <f t="shared" si="27"/>
        <v>2260.8567043348598</v>
      </c>
      <c r="DW37" s="3">
        <f t="shared" si="27"/>
        <v>2238.2481372915113</v>
      </c>
      <c r="DX37" s="3">
        <f t="shared" si="27"/>
        <v>2215.8656559185961</v>
      </c>
      <c r="DY37" s="3">
        <f t="shared" si="27"/>
        <v>2193.70699935941</v>
      </c>
      <c r="DZ37" s="3">
        <f t="shared" si="27"/>
        <v>2171.7699293658161</v>
      </c>
      <c r="EA37" s="3">
        <f t="shared" si="27"/>
        <v>2150.0522300721577</v>
      </c>
      <c r="EB37" s="3">
        <f t="shared" si="27"/>
        <v>2128.5517077714362</v>
      </c>
      <c r="EC37" s="3">
        <f t="shared" si="27"/>
        <v>2107.2661906937219</v>
      </c>
      <c r="ED37" s="3">
        <f t="shared" si="27"/>
        <v>2086.1935287867846</v>
      </c>
      <c r="EE37" s="3">
        <f t="shared" si="27"/>
        <v>2065.3315934989168</v>
      </c>
      <c r="EF37" s="3">
        <f t="shared" si="27"/>
        <v>2044.6782775639276</v>
      </c>
      <c r="EG37" s="3">
        <f t="shared" si="27"/>
        <v>2024.2314947882883</v>
      </c>
      <c r="EH37" s="3">
        <f t="shared" si="27"/>
        <v>2003.9891798404053</v>
      </c>
      <c r="EI37" s="3">
        <f t="shared" si="27"/>
        <v>1983.9492880420012</v>
      </c>
      <c r="EJ37" s="3">
        <f t="shared" si="27"/>
        <v>1964.1097951615811</v>
      </c>
      <c r="EK37" s="3">
        <f t="shared" si="27"/>
        <v>1944.4686972099653</v>
      </c>
      <c r="EL37" s="3">
        <f t="shared" si="27"/>
        <v>1925.0240102378657</v>
      </c>
      <c r="EM37" s="3">
        <f t="shared" si="27"/>
        <v>1905.773770135487</v>
      </c>
      <c r="EN37" s="3">
        <f t="shared" si="27"/>
        <v>1886.7160324341321</v>
      </c>
      <c r="EO37" s="3">
        <f t="shared" si="27"/>
        <v>1867.8488721097908</v>
      </c>
      <c r="EP37" s="3">
        <f t="shared" si="27"/>
        <v>1849.1703833886929</v>
      </c>
      <c r="EQ37" s="3">
        <f t="shared" si="27"/>
        <v>1830.678679554806</v>
      </c>
      <c r="ER37" s="3">
        <f t="shared" si="27"/>
        <v>1812.3718927592579</v>
      </c>
      <c r="ES37" s="3">
        <f t="shared" si="27"/>
        <v>1794.2481738316653</v>
      </c>
      <c r="ET37" s="3">
        <f t="shared" si="27"/>
        <v>1776.3056920933486</v>
      </c>
      <c r="EU37" s="3">
        <f t="shared" si="27"/>
        <v>1758.5426351724152</v>
      </c>
      <c r="EV37" s="3">
        <f t="shared" si="27"/>
        <v>1740.957208820691</v>
      </c>
      <c r="EW37" s="3">
        <f t="shared" si="27"/>
        <v>1723.5476367324841</v>
      </c>
      <c r="EX37" s="3">
        <f t="shared" si="27"/>
        <v>1706.3121603651591</v>
      </c>
      <c r="EY37" s="3">
        <f t="shared" si="27"/>
        <v>1689.2490387615076</v>
      </c>
      <c r="EZ37" s="3">
        <f t="shared" si="27"/>
        <v>1672.3565483738926</v>
      </c>
      <c r="FA37" s="3">
        <f t="shared" si="27"/>
        <v>1655.6329828901537</v>
      </c>
      <c r="FB37" s="3">
        <f t="shared" si="27"/>
        <v>1639.076653061252</v>
      </c>
      <c r="FC37" s="3">
        <f t="shared" si="27"/>
        <v>1622.6858865306394</v>
      </c>
      <c r="FD37" s="3">
        <f t="shared" si="27"/>
        <v>1606.459027665333</v>
      </c>
      <c r="FE37" s="3">
        <f t="shared" ref="FE37:HP37" si="28">+FD37*(1+$AG$47)</f>
        <v>1590.3944373886798</v>
      </c>
      <c r="FF37" s="3">
        <f t="shared" si="28"/>
        <v>1574.4904930147929</v>
      </c>
      <c r="FG37" s="3">
        <f t="shared" si="28"/>
        <v>1558.7455880846451</v>
      </c>
      <c r="FH37" s="3">
        <f t="shared" si="28"/>
        <v>1543.1581322037987</v>
      </c>
      <c r="FI37" s="3">
        <f t="shared" si="28"/>
        <v>1527.7265508817607</v>
      </c>
      <c r="FJ37" s="3">
        <f t="shared" si="28"/>
        <v>1512.449285372943</v>
      </c>
      <c r="FK37" s="3">
        <f t="shared" si="28"/>
        <v>1497.3247925192136</v>
      </c>
      <c r="FL37" s="3">
        <f t="shared" si="28"/>
        <v>1482.3515445940213</v>
      </c>
      <c r="FM37" s="3">
        <f t="shared" si="28"/>
        <v>1467.528029148081</v>
      </c>
      <c r="FN37" s="3">
        <f t="shared" si="28"/>
        <v>1452.8527488566001</v>
      </c>
      <c r="FO37" s="3">
        <f t="shared" si="28"/>
        <v>1438.3242213680342</v>
      </c>
      <c r="FP37" s="3">
        <f t="shared" si="28"/>
        <v>1423.9409791543537</v>
      </c>
      <c r="FQ37" s="3">
        <f t="shared" si="28"/>
        <v>1409.7015693628102</v>
      </c>
      <c r="FR37" s="3">
        <f t="shared" si="28"/>
        <v>1395.6045536691822</v>
      </c>
      <c r="FS37" s="3">
        <f t="shared" si="28"/>
        <v>1381.6485081324904</v>
      </c>
      <c r="FT37" s="3">
        <f t="shared" si="28"/>
        <v>1367.8320230511654</v>
      </c>
      <c r="FU37" s="3">
        <f t="shared" si="28"/>
        <v>1354.1537028206537</v>
      </c>
      <c r="FV37" s="3">
        <f t="shared" si="28"/>
        <v>1340.6121657924473</v>
      </c>
      <c r="FW37" s="3">
        <f t="shared" si="28"/>
        <v>1327.2060441345227</v>
      </c>
      <c r="FX37" s="3">
        <f t="shared" si="28"/>
        <v>1313.9339836931774</v>
      </c>
      <c r="FY37" s="3">
        <f t="shared" si="28"/>
        <v>1300.7946438562456</v>
      </c>
      <c r="FZ37" s="3">
        <f t="shared" si="28"/>
        <v>1287.7866974176832</v>
      </c>
      <c r="GA37" s="3">
        <f t="shared" si="28"/>
        <v>1274.9088304435063</v>
      </c>
      <c r="GB37" s="3">
        <f t="shared" si="28"/>
        <v>1262.1597421390713</v>
      </c>
      <c r="GC37" s="3">
        <f t="shared" si="28"/>
        <v>1249.5381447176806</v>
      </c>
      <c r="GD37" s="3">
        <f t="shared" si="28"/>
        <v>1237.0427632705037</v>
      </c>
      <c r="GE37" s="3">
        <f t="shared" si="28"/>
        <v>1224.6723356377986</v>
      </c>
      <c r="GF37" s="3">
        <f t="shared" si="28"/>
        <v>1212.4256122814206</v>
      </c>
      <c r="GG37" s="3">
        <f t="shared" si="28"/>
        <v>1200.3013561586065</v>
      </c>
      <c r="GH37" s="3">
        <f t="shared" si="28"/>
        <v>1188.2983425970203</v>
      </c>
      <c r="GI37" s="3">
        <f t="shared" si="28"/>
        <v>1176.4153591710501</v>
      </c>
      <c r="GJ37" s="3">
        <f t="shared" si="28"/>
        <v>1164.6512055793396</v>
      </c>
      <c r="GK37" s="3">
        <f t="shared" si="28"/>
        <v>1153.0046935235462</v>
      </c>
      <c r="GL37" s="3">
        <f t="shared" si="28"/>
        <v>1141.4746465883106</v>
      </c>
      <c r="GM37" s="3">
        <f t="shared" si="28"/>
        <v>1130.0599001224275</v>
      </c>
      <c r="GN37" s="3">
        <f t="shared" si="28"/>
        <v>1118.7593011212032</v>
      </c>
      <c r="GO37" s="3">
        <f t="shared" si="28"/>
        <v>1107.5717081099911</v>
      </c>
      <c r="GP37" s="3">
        <f t="shared" si="28"/>
        <v>1096.4959910288912</v>
      </c>
      <c r="GQ37" s="3">
        <f t="shared" si="28"/>
        <v>1085.5310311186024</v>
      </c>
      <c r="GR37" s="3">
        <f t="shared" si="28"/>
        <v>1074.6757208074164</v>
      </c>
      <c r="GS37" s="3">
        <f t="shared" si="28"/>
        <v>1063.9289635993423</v>
      </c>
      <c r="GT37" s="3">
        <f t="shared" si="28"/>
        <v>1053.2896739633488</v>
      </c>
      <c r="GU37" s="3">
        <f t="shared" si="28"/>
        <v>1042.7567772237153</v>
      </c>
      <c r="GV37" s="3">
        <f t="shared" si="28"/>
        <v>1032.3292094514782</v>
      </c>
      <c r="GW37" s="3">
        <f t="shared" si="28"/>
        <v>1022.0059173569633</v>
      </c>
      <c r="GX37" s="3">
        <f t="shared" si="28"/>
        <v>1011.7858581833937</v>
      </c>
      <c r="GY37" s="3">
        <f t="shared" si="28"/>
        <v>1001.6679996015597</v>
      </c>
      <c r="GZ37" s="3">
        <f t="shared" si="28"/>
        <v>991.65131960554413</v>
      </c>
      <c r="HA37" s="3">
        <f t="shared" si="28"/>
        <v>981.73480640948867</v>
      </c>
      <c r="HB37" s="3">
        <f t="shared" si="28"/>
        <v>971.91745834539381</v>
      </c>
      <c r="HC37" s="3">
        <f t="shared" si="28"/>
        <v>962.19828376193982</v>
      </c>
      <c r="HD37" s="3">
        <f t="shared" si="28"/>
        <v>952.57630092432044</v>
      </c>
      <c r="HE37" s="3">
        <f t="shared" si="28"/>
        <v>943.05053791507726</v>
      </c>
      <c r="HF37" s="3">
        <f t="shared" si="28"/>
        <v>933.6200325359265</v>
      </c>
      <c r="HG37" s="3">
        <f t="shared" si="28"/>
        <v>924.2838322105672</v>
      </c>
      <c r="HH37" s="3">
        <f t="shared" si="28"/>
        <v>915.04099388846157</v>
      </c>
      <c r="HI37" s="3">
        <f t="shared" si="28"/>
        <v>905.89058394957692</v>
      </c>
      <c r="HJ37" s="3">
        <f t="shared" si="28"/>
        <v>896.83167811008116</v>
      </c>
      <c r="HK37" s="3">
        <f t="shared" si="28"/>
        <v>887.86336132898032</v>
      </c>
      <c r="HL37" s="3">
        <f t="shared" si="28"/>
        <v>878.9847277156905</v>
      </c>
      <c r="HM37" s="3">
        <f t="shared" si="28"/>
        <v>870.19488043853357</v>
      </c>
      <c r="HN37" s="3">
        <f t="shared" si="28"/>
        <v>861.49293163414825</v>
      </c>
      <c r="HO37" s="3">
        <f t="shared" si="28"/>
        <v>852.8780023178067</v>
      </c>
      <c r="HP37" s="3">
        <f t="shared" si="28"/>
        <v>844.34922229462859</v>
      </c>
      <c r="HQ37" s="3">
        <f t="shared" ref="HQ37:HV37" si="29">+HP37*(1+$AG$47)</f>
        <v>835.90573007168234</v>
      </c>
      <c r="HR37" s="3">
        <f t="shared" si="29"/>
        <v>827.54667277096553</v>
      </c>
      <c r="HS37" s="3">
        <f t="shared" si="29"/>
        <v>819.27120604325592</v>
      </c>
      <c r="HT37" s="3">
        <f t="shared" si="29"/>
        <v>811.07849398282337</v>
      </c>
      <c r="HU37" s="3">
        <f t="shared" si="29"/>
        <v>802.96770904299512</v>
      </c>
      <c r="HV37" s="3">
        <f t="shared" si="29"/>
        <v>794.93803195256521</v>
      </c>
    </row>
    <row r="38" spans="2:230">
      <c r="B38" s="1" t="s">
        <v>29</v>
      </c>
      <c r="C38" s="1">
        <v>795</v>
      </c>
      <c r="D38" s="1">
        <v>495</v>
      </c>
      <c r="E38" s="1">
        <v>795</v>
      </c>
      <c r="F38" s="1">
        <f>+F37/F39</f>
        <v>118.44610056280537</v>
      </c>
      <c r="G38" s="1">
        <v>795</v>
      </c>
      <c r="H38" s="1">
        <v>853</v>
      </c>
      <c r="I38" s="1">
        <v>796</v>
      </c>
      <c r="J38" s="1">
        <f>+J37/J39</f>
        <v>775.69306733549115</v>
      </c>
      <c r="K38" s="1">
        <v>1153</v>
      </c>
      <c r="L38" s="1">
        <v>853</v>
      </c>
      <c r="M38" s="1">
        <v>1149</v>
      </c>
      <c r="N38" s="1">
        <f>+M38</f>
        <v>1149</v>
      </c>
      <c r="P38" s="1">
        <v>737</v>
      </c>
      <c r="Q38" s="1">
        <v>806</v>
      </c>
      <c r="R38" s="1">
        <v>801</v>
      </c>
      <c r="S38" s="1">
        <v>795</v>
      </c>
      <c r="T38" s="1">
        <v>841</v>
      </c>
      <c r="U38" s="17">
        <f>+U37/U39</f>
        <v>1057.472621653231</v>
      </c>
      <c r="V38" s="1">
        <f>+U38</f>
        <v>1057.472621653231</v>
      </c>
      <c r="W38" s="1">
        <f t="shared" ref="W38:AD38" si="30">+V38</f>
        <v>1057.472621653231</v>
      </c>
      <c r="X38" s="1">
        <f t="shared" si="30"/>
        <v>1057.472621653231</v>
      </c>
      <c r="Y38" s="1">
        <f t="shared" si="30"/>
        <v>1057.472621653231</v>
      </c>
      <c r="Z38" s="1">
        <f t="shared" si="30"/>
        <v>1057.472621653231</v>
      </c>
      <c r="AA38" s="1">
        <f t="shared" si="30"/>
        <v>1057.472621653231</v>
      </c>
      <c r="AB38" s="1">
        <f t="shared" si="30"/>
        <v>1057.472621653231</v>
      </c>
      <c r="AC38" s="1">
        <f t="shared" si="30"/>
        <v>1057.472621653231</v>
      </c>
      <c r="AD38" s="1">
        <f t="shared" si="30"/>
        <v>1057.472621653231</v>
      </c>
    </row>
    <row r="39" spans="2:230" s="15" customFormat="1">
      <c r="B39" s="15" t="s">
        <v>30</v>
      </c>
      <c r="C39" s="15">
        <f>+C37/C38</f>
        <v>1.4402515723270439</v>
      </c>
      <c r="D39" s="15">
        <f>+D37/D38</f>
        <v>1.38989898989899</v>
      </c>
      <c r="E39" s="15">
        <f>+E37/E38</f>
        <v>0.45911949685534592</v>
      </c>
      <c r="F39" s="15">
        <f t="shared" ref="F39" si="31">+S39-SUM(C39:E39)</f>
        <v>-0.61631408423861256</v>
      </c>
      <c r="G39" s="15">
        <f>+G37/G38</f>
        <v>0.82893081761006293</v>
      </c>
      <c r="H39" s="15">
        <f>+H37/H38</f>
        <v>0.6787807737397421</v>
      </c>
      <c r="I39" s="15">
        <f>+I37/I38</f>
        <v>0.39447236180904521</v>
      </c>
      <c r="J39" s="15">
        <f t="shared" ref="J39" si="32">+T39-SUM(G39:I39)</f>
        <v>-0.73095922069749486</v>
      </c>
      <c r="K39" s="15">
        <f>+K37/K38</f>
        <v>0.96270598438855159</v>
      </c>
      <c r="L39" s="15">
        <f>+L37/L38</f>
        <v>1.7373974208675265</v>
      </c>
      <c r="M39" s="15">
        <f>+M37/M38</f>
        <v>1.3020017406440383</v>
      </c>
      <c r="N39" s="15">
        <f>+N37/N38</f>
        <v>1.5745738965762608</v>
      </c>
      <c r="P39" s="15">
        <f>+P37/P38</f>
        <v>2.7381275440976935</v>
      </c>
      <c r="Q39" s="15">
        <f>+Q37/Q38</f>
        <v>4.6029776674937963</v>
      </c>
      <c r="R39" s="15">
        <f>+R37/R38</f>
        <v>3.6629213483146068</v>
      </c>
      <c r="S39" s="15">
        <f>+S37/S38</f>
        <v>2.6729559748427674</v>
      </c>
      <c r="T39" s="15">
        <f>+T37/T38</f>
        <v>1.1712247324613556</v>
      </c>
      <c r="U39" s="17">
        <f t="shared" si="16"/>
        <v>5.5766790424763766</v>
      </c>
      <c r="V39" s="15">
        <f>+V37/V38</f>
        <v>5.1814848582487611</v>
      </c>
      <c r="W39" s="15">
        <f t="shared" ref="W39:AD39" si="33">+W37/W38</f>
        <v>5.6887702912301501</v>
      </c>
      <c r="X39" s="15">
        <f t="shared" si="33"/>
        <v>5.2856327038995623</v>
      </c>
      <c r="Y39" s="15">
        <f t="shared" si="33"/>
        <v>5.8031145740838763</v>
      </c>
      <c r="Z39" s="15">
        <f t="shared" si="33"/>
        <v>5.3918739212479432</v>
      </c>
      <c r="AA39" s="15">
        <f t="shared" si="33"/>
        <v>5.919757177022964</v>
      </c>
      <c r="AB39" s="15">
        <f t="shared" si="33"/>
        <v>5.5002505870650271</v>
      </c>
      <c r="AC39" s="15">
        <f t="shared" si="33"/>
        <v>6.0387442962811235</v>
      </c>
      <c r="AD39" s="15">
        <f t="shared" si="33"/>
        <v>5.610805623865037</v>
      </c>
    </row>
    <row r="41" spans="2:230" s="4" customFormat="1">
      <c r="B41" s="4" t="s">
        <v>33</v>
      </c>
      <c r="G41" s="4">
        <f t="shared" ref="G41:M41" si="34">+IFERROR(G19/C19-1,0)</f>
        <v>-8.3929992044550539E-2</v>
      </c>
      <c r="H41" s="4">
        <f t="shared" si="34"/>
        <v>-0.12564290962527558</v>
      </c>
      <c r="I41" s="4">
        <f t="shared" si="34"/>
        <v>2.1276595744680771E-2</v>
      </c>
      <c r="J41" s="4">
        <f t="shared" si="34"/>
        <v>0.24028268551236742</v>
      </c>
      <c r="K41" s="4">
        <f t="shared" si="34"/>
        <v>0.45071645679548422</v>
      </c>
      <c r="L41" s="4">
        <f t="shared" si="34"/>
        <v>0.52226890756302513</v>
      </c>
      <c r="M41" s="4">
        <f t="shared" si="34"/>
        <v>0.64375000000000004</v>
      </c>
      <c r="N41" s="4">
        <f>+IFERROR(O19/J19-1,0)</f>
        <v>-1</v>
      </c>
      <c r="Q41" s="4">
        <f>+Q19/P19-1</f>
        <v>0.14377279257376507</v>
      </c>
      <c r="R41" s="4">
        <f>+R19/Q19-1</f>
        <v>1.8647342995169014E-2</v>
      </c>
      <c r="S41" s="4">
        <f>+S19/R19-1</f>
        <v>-1.2045907237029363E-2</v>
      </c>
      <c r="T41" s="4">
        <f>+T19/S19-1</f>
        <v>1.6993087557603648E-2</v>
      </c>
      <c r="U41" s="4">
        <f>+U19/T19-1</f>
        <v>0.49325497970357768</v>
      </c>
      <c r="V41" s="4">
        <f t="shared" ref="V41:AD41" si="35">+V19/U19-1</f>
        <v>1.0000000000000009E-2</v>
      </c>
      <c r="W41" s="4">
        <f t="shared" si="35"/>
        <v>1.0000000000000009E-2</v>
      </c>
      <c r="X41" s="4">
        <f t="shared" si="35"/>
        <v>1.0000000000000009E-2</v>
      </c>
      <c r="Y41" s="4">
        <f t="shared" si="35"/>
        <v>1.0000000000000009E-2</v>
      </c>
      <c r="Z41" s="4">
        <f t="shared" si="35"/>
        <v>1.0000000000000009E-2</v>
      </c>
      <c r="AA41" s="4">
        <f t="shared" si="35"/>
        <v>1.0000000000000009E-2</v>
      </c>
      <c r="AB41" s="4">
        <f t="shared" si="35"/>
        <v>1.0000000000000009E-2</v>
      </c>
      <c r="AC41" s="4">
        <f t="shared" si="35"/>
        <v>1.0000000000000009E-2</v>
      </c>
      <c r="AD41" s="4">
        <f t="shared" si="35"/>
        <v>1.0000000000000009E-2</v>
      </c>
    </row>
    <row r="42" spans="2:230" s="4" customFormat="1">
      <c r="B42" s="4" t="s">
        <v>34</v>
      </c>
      <c r="G42" s="4">
        <f t="shared" ref="G42:N45" si="36">+IFERROR(G20/C20-1,0)</f>
        <v>0.11111111111111116</v>
      </c>
      <c r="H42" s="4">
        <f t="shared" si="36"/>
        <v>7.8947368421052655E-2</v>
      </c>
      <c r="I42" s="4">
        <f t="shared" si="36"/>
        <v>0.875</v>
      </c>
      <c r="J42" s="4">
        <f t="shared" si="36"/>
        <v>2.150537634408602</v>
      </c>
      <c r="K42" s="4">
        <f t="shared" si="36"/>
        <v>1.7000000000000002</v>
      </c>
      <c r="L42" s="4">
        <f t="shared" si="36"/>
        <v>3.5975609756097562</v>
      </c>
      <c r="M42" s="4">
        <f t="shared" si="36"/>
        <v>2.6555555555555554</v>
      </c>
      <c r="N42" s="4">
        <f t="shared" si="36"/>
        <v>0.12286689419795227</v>
      </c>
      <c r="Q42" s="4">
        <f t="shared" ref="Q42:R42" si="37">+Q20/P20-1</f>
        <v>-0.26190476190476186</v>
      </c>
      <c r="R42" s="4">
        <f t="shared" si="37"/>
        <v>0.90322580645161299</v>
      </c>
      <c r="S42" s="4">
        <f t="shared" ref="S42:T46" si="38">+S20/R20-1</f>
        <v>7.118644067796609E-2</v>
      </c>
      <c r="T42" s="4">
        <f t="shared" si="38"/>
        <v>0.81962025316455689</v>
      </c>
      <c r="U42" s="4">
        <f t="shared" ref="U42:AD42" si="39">+U20/T20-1</f>
        <v>1.3165217391304349</v>
      </c>
      <c r="V42" s="4">
        <f t="shared" si="39"/>
        <v>1.0000000000000009E-2</v>
      </c>
      <c r="W42" s="4">
        <f t="shared" si="39"/>
        <v>1.0000000000000009E-2</v>
      </c>
      <c r="X42" s="4">
        <f t="shared" si="39"/>
        <v>1.0000000000000009E-2</v>
      </c>
      <c r="Y42" s="4">
        <f t="shared" si="39"/>
        <v>1.0000000000000009E-2</v>
      </c>
      <c r="Z42" s="4">
        <f t="shared" si="39"/>
        <v>1.0000000000000009E-2</v>
      </c>
      <c r="AA42" s="4">
        <f t="shared" si="39"/>
        <v>1.0000000000000009E-2</v>
      </c>
      <c r="AB42" s="4">
        <f t="shared" si="39"/>
        <v>1.0000000000000009E-2</v>
      </c>
      <c r="AC42" s="4">
        <f t="shared" si="39"/>
        <v>1.0000000000000009E-2</v>
      </c>
      <c r="AD42" s="4">
        <f t="shared" si="39"/>
        <v>1.0000000000000009E-2</v>
      </c>
    </row>
    <row r="43" spans="2:230" s="16" customFormat="1">
      <c r="B43" s="16" t="s">
        <v>35</v>
      </c>
      <c r="G43" s="16">
        <f t="shared" si="36"/>
        <v>-0.25</v>
      </c>
      <c r="H43" s="16">
        <f t="shared" si="36"/>
        <v>-0.11428571428571432</v>
      </c>
      <c r="I43" s="16">
        <f t="shared" si="36"/>
        <v>-0.95238095238095233</v>
      </c>
      <c r="J43" s="16">
        <f t="shared" si="36"/>
        <v>-0.39864864864864868</v>
      </c>
      <c r="K43" s="16">
        <f t="shared" si="36"/>
        <v>0.71794871794871784</v>
      </c>
      <c r="L43" s="16">
        <f t="shared" si="36"/>
        <v>0.68548387096774199</v>
      </c>
      <c r="M43" s="16">
        <f t="shared" si="36"/>
        <v>28.4</v>
      </c>
      <c r="N43" s="16">
        <f t="shared" si="36"/>
        <v>0.651685393258427</v>
      </c>
      <c r="Q43" s="16">
        <f t="shared" ref="Q43:R43" si="40">+Q21/P21-1</f>
        <v>1.0158102766798418</v>
      </c>
      <c r="R43" s="16">
        <f t="shared" si="40"/>
        <v>0.27647058823529402</v>
      </c>
      <c r="S43" s="16">
        <f t="shared" si="38"/>
        <v>-0.15668202764976957</v>
      </c>
      <c r="T43" s="16">
        <f t="shared" si="38"/>
        <v>-0.38979963570127507</v>
      </c>
      <c r="U43" s="16">
        <f t="shared" ref="U43:AD43" si="41">+U21/T21-1</f>
        <v>1.1014925373134328</v>
      </c>
      <c r="V43" s="16">
        <f t="shared" si="41"/>
        <v>1.0000000000000009E-2</v>
      </c>
      <c r="W43" s="16">
        <f t="shared" si="41"/>
        <v>1.0000000000000009E-2</v>
      </c>
      <c r="X43" s="16">
        <f t="shared" si="41"/>
        <v>1.0000000000000009E-2</v>
      </c>
      <c r="Y43" s="16">
        <f t="shared" si="41"/>
        <v>1.0000000000000009E-2</v>
      </c>
      <c r="Z43" s="16">
        <f t="shared" si="41"/>
        <v>1.0000000000000009E-2</v>
      </c>
      <c r="AA43" s="16">
        <f t="shared" si="41"/>
        <v>1.0000000000000009E-2</v>
      </c>
      <c r="AB43" s="16">
        <f t="shared" si="41"/>
        <v>1.0000000000000009E-2</v>
      </c>
      <c r="AC43" s="16">
        <f t="shared" si="41"/>
        <v>1.0000000000000009E-2</v>
      </c>
      <c r="AD43" s="16">
        <f t="shared" si="41"/>
        <v>1.0000000000000009E-2</v>
      </c>
    </row>
    <row r="44" spans="2:230" s="16" customFormat="1">
      <c r="B44" s="16" t="s">
        <v>36</v>
      </c>
      <c r="G44" s="16">
        <f t="shared" si="36"/>
        <v>-0.27272727272727271</v>
      </c>
      <c r="H44" s="16">
        <f t="shared" si="36"/>
        <v>0.14285714285714279</v>
      </c>
      <c r="I44" s="16">
        <f t="shared" si="36"/>
        <v>-1</v>
      </c>
      <c r="J44" s="16">
        <f t="shared" si="36"/>
        <v>-8.5714285714285743E-2</v>
      </c>
      <c r="K44" s="16">
        <f t="shared" si="36"/>
        <v>0.875</v>
      </c>
      <c r="L44" s="16">
        <f t="shared" si="36"/>
        <v>0.375</v>
      </c>
      <c r="M44" s="16">
        <f t="shared" si="36"/>
        <v>0</v>
      </c>
      <c r="N44" s="16">
        <f t="shared" si="36"/>
        <v>0</v>
      </c>
      <c r="Q44" s="16">
        <f t="shared" ref="Q44:R44" si="42">+Q22/P22-1</f>
        <v>0.57647058823529407</v>
      </c>
      <c r="R44" s="16">
        <f t="shared" si="42"/>
        <v>0.28358208955223874</v>
      </c>
      <c r="S44" s="16">
        <f t="shared" si="38"/>
        <v>-0.22674418604651159</v>
      </c>
      <c r="T44" s="16">
        <f t="shared" si="38"/>
        <v>-0.27819548872180455</v>
      </c>
      <c r="U44" s="16">
        <f t="shared" ref="U44:AD44" si="43">+U22/T22-1</f>
        <v>0.75</v>
      </c>
      <c r="V44" s="16">
        <f t="shared" si="43"/>
        <v>1.0000000000000009E-2</v>
      </c>
      <c r="W44" s="16">
        <f t="shared" si="43"/>
        <v>1.0000000000000009E-2</v>
      </c>
      <c r="X44" s="16">
        <f t="shared" si="43"/>
        <v>1.0000000000000009E-2</v>
      </c>
      <c r="Y44" s="16">
        <f t="shared" si="43"/>
        <v>1.0000000000000009E-2</v>
      </c>
      <c r="Z44" s="16">
        <f t="shared" si="43"/>
        <v>1.0000000000000009E-2</v>
      </c>
      <c r="AA44" s="16">
        <f t="shared" si="43"/>
        <v>1.0000000000000009E-2</v>
      </c>
      <c r="AB44" s="16">
        <f t="shared" si="43"/>
        <v>1.0000000000000009E-2</v>
      </c>
      <c r="AC44" s="16">
        <f t="shared" si="43"/>
        <v>1.0000000000000009E-2</v>
      </c>
      <c r="AD44" s="16">
        <f t="shared" si="43"/>
        <v>1.0000000000000009E-2</v>
      </c>
    </row>
    <row r="45" spans="2:230" s="16" customFormat="1">
      <c r="B45" s="16" t="s">
        <v>37</v>
      </c>
      <c r="G45" s="16">
        <f t="shared" si="36"/>
        <v>-0.44285714285714284</v>
      </c>
      <c r="H45" s="16">
        <f t="shared" si="36"/>
        <v>-0.29347826086956519</v>
      </c>
      <c r="I45" s="16">
        <f t="shared" si="36"/>
        <v>-1.019047619047619</v>
      </c>
      <c r="J45" s="16">
        <f t="shared" si="36"/>
        <v>-0.64893617021276595</v>
      </c>
      <c r="K45" s="16">
        <f t="shared" si="36"/>
        <v>5.9829059829059839E-2</v>
      </c>
      <c r="L45" s="16">
        <f t="shared" si="36"/>
        <v>1.2923076923076922</v>
      </c>
      <c r="M45" s="16">
        <f t="shared" si="36"/>
        <v>-77</v>
      </c>
      <c r="N45" s="16">
        <f t="shared" si="36"/>
        <v>3.6060606060606064</v>
      </c>
      <c r="Q45" s="16">
        <f t="shared" ref="Q45:R45" si="44">+Q23/P23-1</f>
        <v>1.4335664335664338</v>
      </c>
      <c r="R45" s="16">
        <f t="shared" si="44"/>
        <v>0.61206896551724133</v>
      </c>
      <c r="S45" s="16">
        <f t="shared" si="38"/>
        <v>-0.10695187165775399</v>
      </c>
      <c r="T45" s="16">
        <f t="shared" si="38"/>
        <v>-0.57485029940119758</v>
      </c>
      <c r="U45" s="16">
        <f t="shared" ref="U45:AD45" si="45">+U23/T23-1</f>
        <v>1.708920187793427</v>
      </c>
      <c r="V45" s="16">
        <f t="shared" si="45"/>
        <v>1.0000000000000009E-2</v>
      </c>
      <c r="W45" s="16">
        <f t="shared" si="45"/>
        <v>1.0000000000000009E-2</v>
      </c>
      <c r="X45" s="16">
        <f t="shared" si="45"/>
        <v>1.0000000000000009E-2</v>
      </c>
      <c r="Y45" s="16">
        <f t="shared" si="45"/>
        <v>1.0000000000000009E-2</v>
      </c>
      <c r="Z45" s="16">
        <f t="shared" si="45"/>
        <v>1.0000000000000009E-2</v>
      </c>
      <c r="AA45" s="16">
        <f t="shared" si="45"/>
        <v>1.0000000000000009E-2</v>
      </c>
      <c r="AB45" s="16">
        <f t="shared" si="45"/>
        <v>1.0000000000000009E-2</v>
      </c>
      <c r="AC45" s="16">
        <f t="shared" si="45"/>
        <v>1.0000000000000009E-2</v>
      </c>
      <c r="AD45" s="16">
        <f t="shared" si="45"/>
        <v>1.0000000000000009E-2</v>
      </c>
    </row>
    <row r="46" spans="2:230" s="4" customFormat="1">
      <c r="B46" s="4" t="s">
        <v>32</v>
      </c>
      <c r="G46" s="4">
        <f t="shared" ref="G46:N46" si="46">+G24/C24-1</f>
        <v>-0.11379424412834938</v>
      </c>
      <c r="H46" s="4">
        <f t="shared" si="46"/>
        <v>-0.12262916939175927</v>
      </c>
      <c r="I46" s="4">
        <f t="shared" si="46"/>
        <v>-5.3530751708428248E-2</v>
      </c>
      <c r="J46" s="4">
        <f t="shared" si="46"/>
        <v>0.23656250000000001</v>
      </c>
      <c r="K46" s="4">
        <f t="shared" si="46"/>
        <v>0.50167973124300103</v>
      </c>
      <c r="L46" s="4">
        <f t="shared" si="46"/>
        <v>0.64070070816250468</v>
      </c>
      <c r="M46" s="4">
        <f t="shared" si="46"/>
        <v>0.84717208182912151</v>
      </c>
      <c r="N46" s="4">
        <f t="shared" si="46"/>
        <v>0.40739196360879459</v>
      </c>
      <c r="Q46" s="4">
        <f t="shared" ref="Q46:R46" si="47">+Q24/P24-1</f>
        <v>0.18039014373716622</v>
      </c>
      <c r="R46" s="4">
        <f t="shared" si="47"/>
        <v>6.3059928677046129E-2</v>
      </c>
      <c r="S46" s="4">
        <f t="shared" si="38"/>
        <v>-2.5118638520700398E-2</v>
      </c>
      <c r="T46" s="4">
        <f t="shared" si="38"/>
        <v>-8.6445656735207876E-3</v>
      </c>
      <c r="U46" s="4">
        <f t="shared" ref="U46:AD46" si="48">+U24/T24-1</f>
        <v>0.57458940060954955</v>
      </c>
      <c r="V46" s="4">
        <f t="shared" si="48"/>
        <v>1.0000000000000231E-2</v>
      </c>
      <c r="W46" s="4">
        <f t="shared" si="48"/>
        <v>9.9999999999997868E-3</v>
      </c>
      <c r="X46" s="4">
        <f t="shared" si="48"/>
        <v>9.9999999999997868E-3</v>
      </c>
      <c r="Y46" s="4">
        <f t="shared" si="48"/>
        <v>1.0000000000000231E-2</v>
      </c>
      <c r="Z46" s="4">
        <f t="shared" si="48"/>
        <v>1.0000000000000009E-2</v>
      </c>
      <c r="AA46" s="4">
        <f t="shared" si="48"/>
        <v>1.0000000000000009E-2</v>
      </c>
      <c r="AB46" s="4">
        <f t="shared" si="48"/>
        <v>1.0000000000000009E-2</v>
      </c>
      <c r="AC46" s="4">
        <f t="shared" si="48"/>
        <v>1.0000000000000231E-2</v>
      </c>
      <c r="AD46" s="4">
        <f t="shared" si="48"/>
        <v>9.9999999999997868E-3</v>
      </c>
    </row>
    <row r="47" spans="2:230">
      <c r="AF47" s="1" t="s">
        <v>65</v>
      </c>
      <c r="AG47" s="18">
        <v>-0.01</v>
      </c>
    </row>
    <row r="48" spans="2:230" s="14" customFormat="1">
      <c r="B48" s="14" t="s">
        <v>59</v>
      </c>
      <c r="C48" s="14">
        <f>+(C24-C25)/C24</f>
        <v>0.52530598742970558</v>
      </c>
      <c r="D48" s="14">
        <f t="shared" ref="D48:M48" si="49">+(D24-D25)/D24</f>
        <v>0.44146500981033354</v>
      </c>
      <c r="E48" s="14">
        <f t="shared" si="49"/>
        <v>0.41343963553530749</v>
      </c>
      <c r="F48" s="14">
        <f t="shared" si="49"/>
        <v>0.44374999999999998</v>
      </c>
      <c r="G48" s="14">
        <f t="shared" si="49"/>
        <v>0.44680851063829785</v>
      </c>
      <c r="H48" s="14">
        <f t="shared" si="49"/>
        <v>0.4248975027953783</v>
      </c>
      <c r="I48" s="14">
        <f t="shared" si="49"/>
        <v>0.45006016847172081</v>
      </c>
      <c r="J48" s="14">
        <f t="shared" si="49"/>
        <v>0.41799342936568107</v>
      </c>
      <c r="K48" s="14">
        <f t="shared" si="49"/>
        <v>0.47651006711409394</v>
      </c>
      <c r="L48" s="14">
        <f t="shared" si="49"/>
        <v>0.510222626079055</v>
      </c>
      <c r="M48" s="14">
        <f t="shared" si="49"/>
        <v>0.49837133550488599</v>
      </c>
      <c r="P48" s="14">
        <f t="shared" ref="P48:T48" si="50">+(P24-P25)/P24</f>
        <v>0.46663244353182753</v>
      </c>
      <c r="Q48" s="14">
        <f t="shared" si="50"/>
        <v>0.56388623119074543</v>
      </c>
      <c r="R48" s="14">
        <f t="shared" si="50"/>
        <v>0.55531009654720997</v>
      </c>
      <c r="S48" s="14">
        <f t="shared" si="50"/>
        <v>0.45715484683172469</v>
      </c>
      <c r="T48" s="14">
        <f t="shared" si="50"/>
        <v>0.43286488316965799</v>
      </c>
      <c r="AF48" s="14" t="s">
        <v>66</v>
      </c>
      <c r="AG48" s="18">
        <v>0.1</v>
      </c>
    </row>
    <row r="49" spans="2:33" s="14" customFormat="1">
      <c r="AF49" s="14" t="s">
        <v>67</v>
      </c>
      <c r="AG49" s="19">
        <f>NPV(AG48,U37:HV37)</f>
        <v>56764.890390105014</v>
      </c>
    </row>
    <row r="50" spans="2:33">
      <c r="AF50" s="1" t="s">
        <v>68</v>
      </c>
      <c r="AG50" s="1">
        <f>+Main!K6-Main!K7</f>
        <v>-1341</v>
      </c>
    </row>
    <row r="51" spans="2:33">
      <c r="AF51" s="1" t="s">
        <v>69</v>
      </c>
      <c r="AG51" s="1">
        <f>+SUM(AG49:AG50)</f>
        <v>55423.890390105014</v>
      </c>
    </row>
    <row r="52" spans="2:33">
      <c r="B52" s="1" t="s">
        <v>60</v>
      </c>
      <c r="C52" s="1">
        <v>694</v>
      </c>
      <c r="D52" s="1">
        <f>1737-C52</f>
        <v>1043</v>
      </c>
      <c r="E52" s="1">
        <f>2210-SUM(B52:D52)</f>
        <v>473</v>
      </c>
      <c r="F52" s="1">
        <f>+T52-SUM(C52:E52)</f>
        <v>553</v>
      </c>
      <c r="G52" s="1">
        <v>481</v>
      </c>
      <c r="H52" s="1">
        <f>1144-G52</f>
        <v>663</v>
      </c>
      <c r="I52" s="1">
        <f>2147-SUM(F52:H52)</f>
        <v>450</v>
      </c>
      <c r="J52" s="1">
        <f>+T52-SUM(G52:I52)</f>
        <v>1169</v>
      </c>
      <c r="K52" s="1">
        <v>776</v>
      </c>
      <c r="L52" s="1">
        <f>2204-K52</f>
        <v>1428</v>
      </c>
      <c r="M52" s="1">
        <f>3852-SUM(K52:L52)</f>
        <v>1648</v>
      </c>
      <c r="R52" s="1">
        <v>4279</v>
      </c>
      <c r="S52" s="1">
        <v>3220</v>
      </c>
      <c r="T52" s="1">
        <v>2763</v>
      </c>
      <c r="AF52" s="1" t="s">
        <v>70</v>
      </c>
      <c r="AG52" s="1">
        <f>+Main!K4</f>
        <v>1138.4504790000001</v>
      </c>
    </row>
    <row r="53" spans="2:33">
      <c r="B53" s="1" t="s">
        <v>61</v>
      </c>
      <c r="C53" s="1">
        <v>-437</v>
      </c>
      <c r="D53" s="1">
        <f>+-956-C53</f>
        <v>-519</v>
      </c>
      <c r="E53" s="1">
        <f>+-1485-SUM(C53:D53)</f>
        <v>-529</v>
      </c>
      <c r="F53" s="1">
        <f>+T53-SUM(C53:E53)</f>
        <v>-1181</v>
      </c>
      <c r="G53" s="1">
        <v>-526</v>
      </c>
      <c r="H53" s="1">
        <f>+-1142-G53</f>
        <v>-616</v>
      </c>
      <c r="I53" s="1">
        <f>+-1746-SUM(G53:H53)</f>
        <v>-604</v>
      </c>
      <c r="J53" s="1">
        <f>+T53-SUM(G53:I53)</f>
        <v>-920</v>
      </c>
      <c r="K53" s="1">
        <v>-850</v>
      </c>
      <c r="L53" s="1">
        <f>+-1650-K53</f>
        <v>-800</v>
      </c>
      <c r="M53" s="1">
        <f>+-2527-SUM(K53:L53)</f>
        <v>-877</v>
      </c>
      <c r="R53" s="1">
        <v>-1653</v>
      </c>
      <c r="S53" s="1">
        <v>-2131</v>
      </c>
      <c r="T53" s="1">
        <v>-2666</v>
      </c>
      <c r="AF53" s="1" t="s">
        <v>71</v>
      </c>
      <c r="AG53" s="2">
        <f>+AG51/AG52</f>
        <v>48.683619896043815</v>
      </c>
    </row>
    <row r="54" spans="2:33" s="3" customFormat="1">
      <c r="B54" s="3" t="s">
        <v>62</v>
      </c>
      <c r="C54" s="3">
        <f t="shared" ref="C54:M54" si="51">+SUM(C52:C53)</f>
        <v>257</v>
      </c>
      <c r="D54" s="3">
        <f t="shared" si="51"/>
        <v>524</v>
      </c>
      <c r="E54" s="3">
        <f t="shared" si="51"/>
        <v>-56</v>
      </c>
      <c r="F54" s="3">
        <f t="shared" si="51"/>
        <v>-628</v>
      </c>
      <c r="G54" s="3">
        <f t="shared" si="51"/>
        <v>-45</v>
      </c>
      <c r="H54" s="3">
        <f t="shared" si="51"/>
        <v>47</v>
      </c>
      <c r="I54" s="3">
        <f t="shared" si="51"/>
        <v>-154</v>
      </c>
      <c r="J54" s="3">
        <f t="shared" si="51"/>
        <v>249</v>
      </c>
      <c r="K54" s="3">
        <f t="shared" si="51"/>
        <v>-74</v>
      </c>
      <c r="L54" s="3">
        <f t="shared" si="51"/>
        <v>628</v>
      </c>
      <c r="M54" s="3">
        <f t="shared" si="51"/>
        <v>771</v>
      </c>
      <c r="R54" s="3">
        <f>+SUM(R52:R53)</f>
        <v>2626</v>
      </c>
      <c r="S54" s="3">
        <f>+SUM(S52:S53)</f>
        <v>1089</v>
      </c>
      <c r="T54" s="3">
        <f>+SUM(T52:T53)</f>
        <v>97</v>
      </c>
      <c r="AF54" s="3" t="s">
        <v>72</v>
      </c>
      <c r="AG54" s="20">
        <f>+Main!K3</f>
        <v>44.9</v>
      </c>
    </row>
    <row r="55" spans="2:33">
      <c r="AF55" s="1" t="s">
        <v>73</v>
      </c>
      <c r="AG55" s="14">
        <f>+AG53/AG54-1</f>
        <v>8.4267703698080565E-2</v>
      </c>
    </row>
    <row r="56" spans="2:33">
      <c r="B56" s="1" t="s">
        <v>63</v>
      </c>
      <c r="F56" s="1">
        <f t="shared" ref="F56:L56" si="52">SUM(C54:F54)</f>
        <v>97</v>
      </c>
      <c r="G56" s="1">
        <f t="shared" si="52"/>
        <v>-205</v>
      </c>
      <c r="H56" s="1">
        <f t="shared" si="52"/>
        <v>-682</v>
      </c>
      <c r="I56" s="1">
        <f t="shared" si="52"/>
        <v>-780</v>
      </c>
      <c r="J56" s="1">
        <f t="shared" si="52"/>
        <v>97</v>
      </c>
      <c r="K56" s="1">
        <f t="shared" si="52"/>
        <v>68</v>
      </c>
      <c r="L56" s="1">
        <f t="shared" si="52"/>
        <v>649</v>
      </c>
      <c r="M56" s="1">
        <f>SUM(J54:M54)</f>
        <v>1574</v>
      </c>
    </row>
    <row r="57" spans="2:33">
      <c r="B57" s="1" t="s">
        <v>64</v>
      </c>
      <c r="F57" s="1">
        <f t="shared" ref="F57:L57" si="53">+SUM(C37:F37)</f>
        <v>2125</v>
      </c>
      <c r="G57" s="1">
        <f t="shared" si="53"/>
        <v>1639</v>
      </c>
      <c r="H57" s="1">
        <f t="shared" si="53"/>
        <v>1530</v>
      </c>
      <c r="I57" s="1">
        <f t="shared" si="53"/>
        <v>1479</v>
      </c>
      <c r="J57" s="1">
        <f t="shared" si="53"/>
        <v>985</v>
      </c>
      <c r="K57" s="1">
        <f t="shared" si="53"/>
        <v>1436</v>
      </c>
      <c r="L57" s="1">
        <f t="shared" si="53"/>
        <v>2339</v>
      </c>
      <c r="M57" s="1">
        <f>+SUM(J37:M37)</f>
        <v>3521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D8261-5E14-9942-8DDD-BE365BC1A7CD}">
  <dimension ref="A1"/>
  <sheetViews>
    <sheetView tabSelected="1" workbookViewId="0">
      <selection activeCell="H4" sqref="H4"/>
    </sheetView>
  </sheetViews>
  <sheetFormatPr baseColWidth="10" defaultRowHeight="1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3882A-7E2F-5440-9E11-89440B526E1A}">
  <dimension ref="A1"/>
  <sheetViews>
    <sheetView workbookViewId="0">
      <selection activeCell="D86" sqref="D86"/>
    </sheetView>
  </sheetViews>
  <sheetFormatPr baseColWidth="10" defaultRowHeight="1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D3B21-533E-174C-9B34-FD3E66CEB7C8}">
  <dimension ref="B2"/>
  <sheetViews>
    <sheetView workbookViewId="0">
      <selection activeCell="J71" sqref="J71"/>
    </sheetView>
  </sheetViews>
  <sheetFormatPr baseColWidth="10" defaultRowHeight="13"/>
  <sheetData>
    <row r="2" spans="2:2">
      <c r="B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Reserves</vt:lpstr>
      <vt:lpstr>Akyem</vt:lpstr>
      <vt:lpstr>Ahafo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dc:creator>
  <cp:lastModifiedBy>jameel</cp:lastModifiedBy>
  <dcterms:created xsi:type="dcterms:W3CDTF">2024-12-05T04:29:29Z</dcterms:created>
  <dcterms:modified xsi:type="dcterms:W3CDTF">2025-02-09T04:39:42Z</dcterms:modified>
</cp:coreProperties>
</file>