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Basic Materials/basic materials/Gold/"/>
    </mc:Choice>
  </mc:AlternateContent>
  <xr:revisionPtr revIDLastSave="0" documentId="13_ncr:1_{32B00433-9671-A14D-8FA3-7CE99BDCBF17}" xr6:coauthVersionLast="47" xr6:coauthVersionMax="47" xr10:uidLastSave="{00000000-0000-0000-0000-000000000000}"/>
  <bookViews>
    <workbookView xWindow="13720" yWindow="1040" windowWidth="24660" windowHeight="27600" activeTab="2" xr2:uid="{33F8A4EA-476E-4443-96C0-BAD3E283B4F1}"/>
  </bookViews>
  <sheets>
    <sheet name="Main" sheetId="1" r:id="rId1"/>
    <sheet name="Sheet1" sheetId="3" r:id="rId2"/>
    <sheet name="Model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9" i="2" l="1"/>
  <c r="AE35" i="2"/>
  <c r="AE36" i="2" s="1"/>
  <c r="AE33" i="2"/>
  <c r="AE23" i="2"/>
  <c r="AE13" i="2"/>
  <c r="AE5" i="2"/>
  <c r="D115" i="1"/>
  <c r="M97" i="2"/>
  <c r="N97" i="2"/>
  <c r="AG46" i="2"/>
  <c r="AG45" i="2"/>
  <c r="AG44" i="2"/>
  <c r="AH46" i="2"/>
  <c r="AH45" i="2"/>
  <c r="AH44" i="2"/>
  <c r="F82" i="2"/>
  <c r="F87" i="2" s="1"/>
  <c r="F89" i="2" s="1"/>
  <c r="G82" i="2"/>
  <c r="G87" i="2" s="1"/>
  <c r="G89" i="2" s="1"/>
  <c r="H82" i="2"/>
  <c r="G73" i="2"/>
  <c r="G76" i="2" s="1"/>
  <c r="D95" i="2"/>
  <c r="E95" i="2" s="1"/>
  <c r="H95" i="2"/>
  <c r="I95" i="2" s="1"/>
  <c r="H87" i="2"/>
  <c r="H89" i="2" s="1"/>
  <c r="H73" i="2"/>
  <c r="H76" i="2" s="1"/>
  <c r="F73" i="2"/>
  <c r="F76" i="2" s="1"/>
  <c r="I82" i="2"/>
  <c r="I87" i="2" s="1"/>
  <c r="I89" i="2" s="1"/>
  <c r="I73" i="2"/>
  <c r="I76" i="2" s="1"/>
  <c r="AK47" i="2"/>
  <c r="AK46" i="2"/>
  <c r="AK44" i="2"/>
  <c r="AJ33" i="2"/>
  <c r="AJ23" i="2"/>
  <c r="AI33" i="2"/>
  <c r="AI23" i="2"/>
  <c r="AI35" i="2" s="1"/>
  <c r="AH33" i="2"/>
  <c r="AH23" i="2"/>
  <c r="AG33" i="2"/>
  <c r="AG23" i="2"/>
  <c r="AF33" i="2"/>
  <c r="AF23" i="2"/>
  <c r="AJ5" i="2"/>
  <c r="AJ13" i="2"/>
  <c r="AJ9" i="2"/>
  <c r="AI13" i="2"/>
  <c r="AI9" i="2"/>
  <c r="AI5" i="2"/>
  <c r="AH13" i="2"/>
  <c r="AH9" i="2"/>
  <c r="AH5" i="2"/>
  <c r="AG13" i="2"/>
  <c r="AG9" i="2"/>
  <c r="AG5" i="2"/>
  <c r="AF13" i="2"/>
  <c r="AF9" i="2"/>
  <c r="AF5" i="2"/>
  <c r="AI42" i="2"/>
  <c r="AJ42" i="2"/>
  <c r="AY70" i="2"/>
  <c r="AY68" i="2"/>
  <c r="AY66" i="2"/>
  <c r="AM38" i="2"/>
  <c r="AN38" i="2" s="1"/>
  <c r="AO38" i="2" s="1"/>
  <c r="AP38" i="2" s="1"/>
  <c r="AQ38" i="2" s="1"/>
  <c r="AR38" i="2" s="1"/>
  <c r="AS38" i="2" s="1"/>
  <c r="AT38" i="2" s="1"/>
  <c r="AK39" i="2"/>
  <c r="AL39" i="2" s="1"/>
  <c r="AK38" i="2"/>
  <c r="J40" i="2"/>
  <c r="AK40" i="2" s="1"/>
  <c r="AL40" i="2" s="1"/>
  <c r="AM40" i="2" s="1"/>
  <c r="AN40" i="2" s="1"/>
  <c r="AO40" i="2" s="1"/>
  <c r="AP40" i="2" s="1"/>
  <c r="AQ40" i="2" s="1"/>
  <c r="AR40" i="2" s="1"/>
  <c r="AS40" i="2" s="1"/>
  <c r="AT40" i="2" s="1"/>
  <c r="F40" i="2"/>
  <c r="F39" i="2"/>
  <c r="F38" i="2"/>
  <c r="F58" i="2"/>
  <c r="F56" i="2"/>
  <c r="F55" i="2"/>
  <c r="F54" i="2"/>
  <c r="F52" i="2"/>
  <c r="F51" i="2"/>
  <c r="F50" i="2"/>
  <c r="F49" i="2"/>
  <c r="F48" i="2"/>
  <c r="AJ65" i="2"/>
  <c r="AI53" i="2"/>
  <c r="AI57" i="2" s="1"/>
  <c r="AI59" i="2" s="1"/>
  <c r="AJ53" i="2"/>
  <c r="AJ57" i="2" s="1"/>
  <c r="AI47" i="2"/>
  <c r="AI64" i="2" s="1"/>
  <c r="AI46" i="2"/>
  <c r="AI45" i="2"/>
  <c r="AI44" i="2"/>
  <c r="AJ47" i="2"/>
  <c r="AJ46" i="2"/>
  <c r="AJ45" i="2"/>
  <c r="AJ44" i="2"/>
  <c r="C47" i="2"/>
  <c r="C46" i="2"/>
  <c r="C45" i="2"/>
  <c r="C44" i="2"/>
  <c r="G47" i="2"/>
  <c r="G46" i="2"/>
  <c r="G45" i="2"/>
  <c r="G44" i="2"/>
  <c r="D47" i="2"/>
  <c r="D46" i="2"/>
  <c r="D45" i="2"/>
  <c r="D44" i="2"/>
  <c r="H47" i="2"/>
  <c r="H46" i="2"/>
  <c r="H45" i="2"/>
  <c r="H44" i="2"/>
  <c r="E47" i="2"/>
  <c r="E46" i="2"/>
  <c r="E45" i="2"/>
  <c r="E44" i="2"/>
  <c r="I47" i="2"/>
  <c r="I46" i="2"/>
  <c r="I45" i="2"/>
  <c r="I44" i="2"/>
  <c r="G65" i="2"/>
  <c r="C53" i="2"/>
  <c r="C57" i="2" s="1"/>
  <c r="C59" i="2" s="1"/>
  <c r="G53" i="2"/>
  <c r="G57" i="2" s="1"/>
  <c r="G59" i="2" s="1"/>
  <c r="H65" i="2"/>
  <c r="D53" i="2"/>
  <c r="D57" i="2" s="1"/>
  <c r="D59" i="2" s="1"/>
  <c r="H53" i="2"/>
  <c r="H57" i="2" s="1"/>
  <c r="H59" i="2" s="1"/>
  <c r="E53" i="2"/>
  <c r="E57" i="2" s="1"/>
  <c r="E59" i="2" s="1"/>
  <c r="I53" i="2"/>
  <c r="I57" i="2" s="1"/>
  <c r="I59" i="2" s="1"/>
  <c r="AH2" i="2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CV2" i="2" s="1"/>
  <c r="CW2" i="2" s="1"/>
  <c r="CX2" i="2" s="1"/>
  <c r="CY2" i="2" s="1"/>
  <c r="CZ2" i="2" s="1"/>
  <c r="DA2" i="2" s="1"/>
  <c r="DB2" i="2" s="1"/>
  <c r="DC2" i="2" s="1"/>
  <c r="DD2" i="2" s="1"/>
  <c r="DE2" i="2" s="1"/>
  <c r="DF2" i="2" s="1"/>
  <c r="DG2" i="2" s="1"/>
  <c r="DH2" i="2" s="1"/>
  <c r="DI2" i="2" s="1"/>
  <c r="DJ2" i="2" s="1"/>
  <c r="DK2" i="2" s="1"/>
  <c r="DL2" i="2" s="1"/>
  <c r="DM2" i="2" s="1"/>
  <c r="DN2" i="2" s="1"/>
  <c r="DO2" i="2" s="1"/>
  <c r="DP2" i="2" s="1"/>
  <c r="DQ2" i="2" s="1"/>
  <c r="DR2" i="2" s="1"/>
  <c r="DS2" i="2" s="1"/>
  <c r="DT2" i="2" s="1"/>
  <c r="DU2" i="2" s="1"/>
  <c r="DV2" i="2" s="1"/>
  <c r="DW2" i="2" s="1"/>
  <c r="DX2" i="2" s="1"/>
  <c r="DY2" i="2" s="1"/>
  <c r="DZ2" i="2" s="1"/>
  <c r="EA2" i="2" s="1"/>
  <c r="EB2" i="2" s="1"/>
  <c r="EC2" i="2" s="1"/>
  <c r="ED2" i="2" s="1"/>
  <c r="EE2" i="2" s="1"/>
  <c r="EF2" i="2" s="1"/>
  <c r="EG2" i="2" s="1"/>
  <c r="EH2" i="2" s="1"/>
  <c r="EI2" i="2" s="1"/>
  <c r="EJ2" i="2" s="1"/>
  <c r="EK2" i="2" s="1"/>
  <c r="EL2" i="2" s="1"/>
  <c r="EM2" i="2" s="1"/>
  <c r="EN2" i="2" s="1"/>
  <c r="EO2" i="2" s="1"/>
  <c r="EP2" i="2" s="1"/>
  <c r="EQ2" i="2" s="1"/>
  <c r="ER2" i="2" s="1"/>
  <c r="ES2" i="2" s="1"/>
  <c r="ET2" i="2" s="1"/>
  <c r="EU2" i="2" s="1"/>
  <c r="EV2" i="2" s="1"/>
  <c r="EW2" i="2" s="1"/>
  <c r="EX2" i="2" s="1"/>
  <c r="EY2" i="2" s="1"/>
  <c r="EZ2" i="2" s="1"/>
  <c r="FA2" i="2" s="1"/>
  <c r="FB2" i="2" s="1"/>
  <c r="FC2" i="2" s="1"/>
  <c r="FD2" i="2" s="1"/>
  <c r="FE2" i="2" s="1"/>
  <c r="FF2" i="2" s="1"/>
  <c r="FG2" i="2" s="1"/>
  <c r="FH2" i="2" s="1"/>
  <c r="FI2" i="2" s="1"/>
  <c r="FJ2" i="2" s="1"/>
  <c r="FK2" i="2" s="1"/>
  <c r="FL2" i="2" s="1"/>
  <c r="FM2" i="2" s="1"/>
  <c r="FN2" i="2" s="1"/>
  <c r="FO2" i="2" s="1"/>
  <c r="FP2" i="2" s="1"/>
  <c r="FQ2" i="2" s="1"/>
  <c r="FR2" i="2" s="1"/>
  <c r="FS2" i="2" s="1"/>
  <c r="FT2" i="2" s="1"/>
  <c r="FU2" i="2" s="1"/>
  <c r="FV2" i="2" s="1"/>
  <c r="FW2" i="2" s="1"/>
  <c r="FX2" i="2" s="1"/>
  <c r="FY2" i="2" s="1"/>
  <c r="FZ2" i="2" s="1"/>
  <c r="GA2" i="2" s="1"/>
  <c r="GB2" i="2" s="1"/>
  <c r="GC2" i="2" s="1"/>
  <c r="GD2" i="2" s="1"/>
  <c r="GE2" i="2" s="1"/>
  <c r="GF2" i="2" s="1"/>
  <c r="GG2" i="2" s="1"/>
  <c r="GH2" i="2" s="1"/>
  <c r="GI2" i="2" s="1"/>
  <c r="GJ2" i="2" s="1"/>
  <c r="GK2" i="2" s="1"/>
  <c r="GL2" i="2" s="1"/>
  <c r="GM2" i="2" s="1"/>
  <c r="GN2" i="2" s="1"/>
  <c r="GO2" i="2" s="1"/>
  <c r="GP2" i="2" s="1"/>
  <c r="GQ2" i="2" s="1"/>
  <c r="GR2" i="2" s="1"/>
  <c r="GS2" i="2" s="1"/>
  <c r="GT2" i="2" s="1"/>
  <c r="GU2" i="2" s="1"/>
  <c r="GV2" i="2" s="1"/>
  <c r="GW2" i="2" s="1"/>
  <c r="GX2" i="2" s="1"/>
  <c r="GY2" i="2" s="1"/>
  <c r="GZ2" i="2" s="1"/>
  <c r="HA2" i="2" s="1"/>
  <c r="HB2" i="2" s="1"/>
  <c r="HC2" i="2" s="1"/>
  <c r="HD2" i="2" s="1"/>
  <c r="HE2" i="2" s="1"/>
  <c r="HF2" i="2" s="1"/>
  <c r="HG2" i="2" s="1"/>
  <c r="HH2" i="2" s="1"/>
  <c r="HI2" i="2" s="1"/>
  <c r="HJ2" i="2" s="1"/>
  <c r="HK2" i="2" s="1"/>
  <c r="HL2" i="2" s="1"/>
  <c r="HM2" i="2" s="1"/>
  <c r="HN2" i="2" s="1"/>
  <c r="HO2" i="2" s="1"/>
  <c r="HP2" i="2" s="1"/>
  <c r="HQ2" i="2" s="1"/>
  <c r="HR2" i="2" s="1"/>
  <c r="HS2" i="2" s="1"/>
  <c r="HT2" i="2" s="1"/>
  <c r="HU2" i="2" s="1"/>
  <c r="HV2" i="2" s="1"/>
  <c r="HW2" i="2" s="1"/>
  <c r="HX2" i="2" s="1"/>
  <c r="HY2" i="2" s="1"/>
  <c r="HZ2" i="2" s="1"/>
  <c r="IA2" i="2" s="1"/>
  <c r="IB2" i="2" s="1"/>
  <c r="IC2" i="2" s="1"/>
  <c r="ID2" i="2" s="1"/>
  <c r="IE2" i="2" s="1"/>
  <c r="IF2" i="2" s="1"/>
  <c r="IG2" i="2" s="1"/>
  <c r="IH2" i="2" s="1"/>
  <c r="II2" i="2" s="1"/>
  <c r="IJ2" i="2" s="1"/>
  <c r="IK2" i="2" s="1"/>
  <c r="IL2" i="2" s="1"/>
  <c r="I65" i="2"/>
  <c r="G7" i="1"/>
  <c r="G8" i="1" s="1"/>
  <c r="F6" i="1"/>
  <c r="F9" i="1" s="1"/>
  <c r="AG35" i="2" l="1"/>
  <c r="AI61" i="2"/>
  <c r="J45" i="2"/>
  <c r="J44" i="2"/>
  <c r="AG48" i="2"/>
  <c r="J47" i="2"/>
  <c r="AI62" i="2"/>
  <c r="AI63" i="2"/>
  <c r="J46" i="2"/>
  <c r="AH35" i="2"/>
  <c r="AK48" i="2"/>
  <c r="AH48" i="2"/>
  <c r="AI65" i="2" s="1"/>
  <c r="AF35" i="2"/>
  <c r="AJ35" i="2"/>
  <c r="AF15" i="2"/>
  <c r="AI15" i="2"/>
  <c r="AI36" i="2" s="1"/>
  <c r="AJ15" i="2"/>
  <c r="AH15" i="2"/>
  <c r="AK61" i="2"/>
  <c r="AG15" i="2"/>
  <c r="AK62" i="2"/>
  <c r="AK64" i="2"/>
  <c r="AM39" i="2"/>
  <c r="AN39" i="2" s="1"/>
  <c r="AO39" i="2" s="1"/>
  <c r="AP39" i="2" s="1"/>
  <c r="AQ39" i="2" s="1"/>
  <c r="AR39" i="2" s="1"/>
  <c r="AS39" i="2" s="1"/>
  <c r="AT39" i="2" s="1"/>
  <c r="I61" i="2"/>
  <c r="I62" i="2"/>
  <c r="F44" i="2"/>
  <c r="F45" i="2"/>
  <c r="J62" i="2" s="1"/>
  <c r="H63" i="2"/>
  <c r="G63" i="2"/>
  <c r="AJ63" i="2"/>
  <c r="I64" i="2"/>
  <c r="H64" i="2"/>
  <c r="G64" i="2"/>
  <c r="AJ64" i="2"/>
  <c r="AJ59" i="2"/>
  <c r="F59" i="2" s="1"/>
  <c r="F57" i="2"/>
  <c r="F46" i="2"/>
  <c r="F47" i="2"/>
  <c r="J64" i="2" s="1"/>
  <c r="H61" i="2"/>
  <c r="G61" i="2"/>
  <c r="AJ61" i="2"/>
  <c r="F53" i="2"/>
  <c r="I63" i="2"/>
  <c r="H62" i="2"/>
  <c r="G62" i="2"/>
  <c r="AJ62" i="2"/>
  <c r="AJ16" i="2" l="1"/>
  <c r="J48" i="2"/>
  <c r="J51" i="2" s="1"/>
  <c r="AK51" i="2" s="1"/>
  <c r="J61" i="2"/>
  <c r="AH36" i="2"/>
  <c r="AF36" i="2"/>
  <c r="AJ36" i="2"/>
  <c r="AG16" i="2"/>
  <c r="AG36" i="2"/>
  <c r="J63" i="2"/>
  <c r="AK63" i="2"/>
  <c r="AH16" i="2"/>
  <c r="AI16" i="2"/>
  <c r="J50" i="2"/>
  <c r="AK50" i="2" s="1"/>
  <c r="J56" i="2"/>
  <c r="AK56" i="2" s="1"/>
  <c r="J65" i="2"/>
  <c r="J52" i="2"/>
  <c r="AK52" i="2" s="1"/>
  <c r="J54" i="2" l="1"/>
  <c r="AK54" i="2" s="1"/>
  <c r="J55" i="2"/>
  <c r="AK55" i="2" s="1"/>
  <c r="J49" i="2"/>
  <c r="AK49" i="2" s="1"/>
  <c r="AL48" i="2"/>
  <c r="AK65" i="2"/>
  <c r="J53" i="2" l="1"/>
  <c r="AL55" i="2"/>
  <c r="AL49" i="2"/>
  <c r="AL50" i="2"/>
  <c r="AM48" i="2"/>
  <c r="AL52" i="2"/>
  <c r="AL51" i="2"/>
  <c r="AL65" i="2"/>
  <c r="AL54" i="2"/>
  <c r="J57" i="2"/>
  <c r="AK53" i="2"/>
  <c r="AL53" i="2" l="1"/>
  <c r="AL57" i="2" s="1"/>
  <c r="AL59" i="2" s="1"/>
  <c r="AN48" i="2"/>
  <c r="AM51" i="2"/>
  <c r="AM49" i="2"/>
  <c r="AN49" i="2" s="1"/>
  <c r="AM55" i="2"/>
  <c r="AN55" i="2" s="1"/>
  <c r="AM65" i="2"/>
  <c r="AM52" i="2"/>
  <c r="AM50" i="2"/>
  <c r="AM54" i="2"/>
  <c r="J58" i="2"/>
  <c r="AK58" i="2" s="1"/>
  <c r="J59" i="2"/>
  <c r="AK59" i="2" s="1"/>
  <c r="AK57" i="2"/>
  <c r="AN50" i="2" l="1"/>
  <c r="AN53" i="2" s="1"/>
  <c r="AN52" i="2"/>
  <c r="AN51" i="2"/>
  <c r="AN54" i="2"/>
  <c r="AM53" i="2"/>
  <c r="AM57" i="2" s="1"/>
  <c r="AM59" i="2" s="1"/>
  <c r="AO48" i="2"/>
  <c r="AN65" i="2"/>
  <c r="AO50" i="2" l="1"/>
  <c r="AN57" i="2"/>
  <c r="AN59" i="2" s="1"/>
  <c r="AO51" i="2"/>
  <c r="AO49" i="2"/>
  <c r="AO55" i="2"/>
  <c r="AO65" i="2"/>
  <c r="AP48" i="2"/>
  <c r="AO54" i="2"/>
  <c r="AO52" i="2"/>
  <c r="AO53" i="2" l="1"/>
  <c r="AO57" i="2" s="1"/>
  <c r="AO59" i="2" s="1"/>
  <c r="AP55" i="2"/>
  <c r="AP51" i="2"/>
  <c r="AP49" i="2"/>
  <c r="AQ48" i="2"/>
  <c r="AP52" i="2"/>
  <c r="AP65" i="2"/>
  <c r="AP50" i="2"/>
  <c r="AP54" i="2"/>
  <c r="AQ54" i="2" l="1"/>
  <c r="AP53" i="2"/>
  <c r="AP57" i="2" s="1"/>
  <c r="AP59" i="2" s="1"/>
  <c r="AQ65" i="2"/>
  <c r="AR48" i="2"/>
  <c r="AQ55" i="2"/>
  <c r="AQ52" i="2"/>
  <c r="AR52" i="2" s="1"/>
  <c r="AQ50" i="2"/>
  <c r="AQ49" i="2"/>
  <c r="AQ51" i="2"/>
  <c r="AQ53" i="2" l="1"/>
  <c r="AQ57" i="2" s="1"/>
  <c r="AQ59" i="2" s="1"/>
  <c r="AR50" i="2"/>
  <c r="AR54" i="2"/>
  <c r="AR55" i="2"/>
  <c r="AR65" i="2"/>
  <c r="AS48" i="2"/>
  <c r="AR49" i="2"/>
  <c r="AR51" i="2"/>
  <c r="AR53" i="2" l="1"/>
  <c r="AR57" i="2" s="1"/>
  <c r="AR59" i="2" s="1"/>
  <c r="AS55" i="2"/>
  <c r="AS50" i="2"/>
  <c r="AS54" i="2"/>
  <c r="AS51" i="2"/>
  <c r="AS52" i="2"/>
  <c r="AT48" i="2"/>
  <c r="AS65" i="2"/>
  <c r="AS49" i="2"/>
  <c r="AS53" i="2" l="1"/>
  <c r="AS57" i="2" s="1"/>
  <c r="AS59" i="2" s="1"/>
  <c r="AT65" i="2"/>
  <c r="AT51" i="2"/>
  <c r="AT52" i="2"/>
  <c r="AT55" i="2"/>
  <c r="AT49" i="2"/>
  <c r="AT54" i="2"/>
  <c r="AT50" i="2"/>
  <c r="AT53" i="2" l="1"/>
  <c r="AT57" i="2" s="1"/>
  <c r="AT59" i="2" s="1"/>
  <c r="AU59" i="2" s="1"/>
  <c r="AV59" i="2" s="1"/>
  <c r="AW59" i="2" s="1"/>
  <c r="AX59" i="2" s="1"/>
  <c r="AY59" i="2" s="1"/>
  <c r="AZ59" i="2" s="1"/>
  <c r="BA59" i="2" s="1"/>
  <c r="BB59" i="2" s="1"/>
  <c r="BC59" i="2" s="1"/>
  <c r="BD59" i="2" s="1"/>
  <c r="BE59" i="2" s="1"/>
  <c r="BF59" i="2" s="1"/>
  <c r="BG59" i="2" s="1"/>
  <c r="BH59" i="2" s="1"/>
  <c r="BI59" i="2" s="1"/>
  <c r="BJ59" i="2" s="1"/>
  <c r="BK59" i="2" s="1"/>
  <c r="BL59" i="2" s="1"/>
  <c r="BM59" i="2" s="1"/>
  <c r="BN59" i="2" s="1"/>
  <c r="BO59" i="2" s="1"/>
  <c r="BP59" i="2" s="1"/>
  <c r="BQ59" i="2" s="1"/>
  <c r="BR59" i="2" s="1"/>
  <c r="BS59" i="2" s="1"/>
  <c r="BT59" i="2" s="1"/>
  <c r="BU59" i="2" s="1"/>
  <c r="BV59" i="2" s="1"/>
  <c r="BW59" i="2" s="1"/>
  <c r="BX59" i="2" s="1"/>
  <c r="BY59" i="2" s="1"/>
  <c r="BZ59" i="2" s="1"/>
  <c r="CA59" i="2" s="1"/>
  <c r="CB59" i="2" s="1"/>
  <c r="CC59" i="2" s="1"/>
  <c r="CD59" i="2" s="1"/>
  <c r="CE59" i="2" s="1"/>
  <c r="CF59" i="2" s="1"/>
  <c r="CG59" i="2" s="1"/>
  <c r="CH59" i="2" s="1"/>
  <c r="CI59" i="2" s="1"/>
  <c r="CJ59" i="2" s="1"/>
  <c r="CK59" i="2" s="1"/>
  <c r="CL59" i="2" s="1"/>
  <c r="CM59" i="2" s="1"/>
  <c r="CN59" i="2" s="1"/>
  <c r="CO59" i="2" s="1"/>
  <c r="CP59" i="2" s="1"/>
  <c r="CQ59" i="2" s="1"/>
  <c r="CR59" i="2" s="1"/>
  <c r="CS59" i="2" s="1"/>
  <c r="CT59" i="2" s="1"/>
  <c r="CU59" i="2" s="1"/>
  <c r="CV59" i="2" s="1"/>
  <c r="CW59" i="2" s="1"/>
  <c r="CX59" i="2" s="1"/>
  <c r="CY59" i="2" s="1"/>
  <c r="CZ59" i="2" s="1"/>
  <c r="DA59" i="2" s="1"/>
  <c r="DB59" i="2" s="1"/>
  <c r="DC59" i="2" s="1"/>
  <c r="DD59" i="2" s="1"/>
  <c r="DE59" i="2" s="1"/>
  <c r="DF59" i="2" s="1"/>
  <c r="DG59" i="2" s="1"/>
  <c r="DH59" i="2" s="1"/>
  <c r="DI59" i="2" s="1"/>
  <c r="DJ59" i="2" s="1"/>
  <c r="DK59" i="2" s="1"/>
  <c r="DL59" i="2" s="1"/>
  <c r="DM59" i="2" s="1"/>
  <c r="DN59" i="2" s="1"/>
  <c r="DO59" i="2" s="1"/>
  <c r="DP59" i="2" s="1"/>
  <c r="DQ59" i="2" s="1"/>
  <c r="DR59" i="2" s="1"/>
  <c r="DS59" i="2" s="1"/>
  <c r="DT59" i="2" s="1"/>
  <c r="DU59" i="2" s="1"/>
  <c r="DV59" i="2" s="1"/>
  <c r="DW59" i="2" s="1"/>
  <c r="DX59" i="2" s="1"/>
  <c r="DY59" i="2" s="1"/>
  <c r="DZ59" i="2" s="1"/>
  <c r="EA59" i="2" s="1"/>
  <c r="EB59" i="2" s="1"/>
  <c r="EC59" i="2" s="1"/>
  <c r="ED59" i="2" s="1"/>
  <c r="EE59" i="2" s="1"/>
  <c r="EF59" i="2" s="1"/>
  <c r="EG59" i="2" s="1"/>
  <c r="EH59" i="2" s="1"/>
  <c r="EI59" i="2" s="1"/>
  <c r="EJ59" i="2" s="1"/>
  <c r="EK59" i="2" s="1"/>
  <c r="EL59" i="2" s="1"/>
  <c r="EM59" i="2" s="1"/>
  <c r="EN59" i="2" s="1"/>
  <c r="EO59" i="2" s="1"/>
  <c r="EP59" i="2" s="1"/>
  <c r="EQ59" i="2" s="1"/>
  <c r="ER59" i="2" s="1"/>
  <c r="ES59" i="2" s="1"/>
  <c r="ET59" i="2" s="1"/>
  <c r="EU59" i="2" s="1"/>
  <c r="EV59" i="2" s="1"/>
  <c r="EW59" i="2" s="1"/>
  <c r="EX59" i="2" s="1"/>
  <c r="EY59" i="2" s="1"/>
  <c r="EZ59" i="2" s="1"/>
  <c r="FA59" i="2" s="1"/>
  <c r="FB59" i="2" s="1"/>
  <c r="FC59" i="2" s="1"/>
  <c r="FD59" i="2" s="1"/>
  <c r="FE59" i="2" s="1"/>
  <c r="FF59" i="2" s="1"/>
  <c r="FG59" i="2" s="1"/>
  <c r="FH59" i="2" s="1"/>
  <c r="FI59" i="2" s="1"/>
  <c r="FJ59" i="2" s="1"/>
  <c r="FK59" i="2" s="1"/>
  <c r="FL59" i="2" s="1"/>
  <c r="FM59" i="2" s="1"/>
  <c r="FN59" i="2" s="1"/>
  <c r="FO59" i="2" s="1"/>
  <c r="FP59" i="2" s="1"/>
  <c r="FQ59" i="2" s="1"/>
  <c r="FR59" i="2" s="1"/>
  <c r="FS59" i="2" s="1"/>
  <c r="FT59" i="2" s="1"/>
  <c r="FU59" i="2" s="1"/>
  <c r="FV59" i="2" s="1"/>
  <c r="FW59" i="2" s="1"/>
  <c r="FX59" i="2" s="1"/>
  <c r="FY59" i="2" s="1"/>
  <c r="FZ59" i="2" s="1"/>
  <c r="GA59" i="2" s="1"/>
  <c r="GB59" i="2" s="1"/>
  <c r="GC59" i="2" s="1"/>
  <c r="GD59" i="2" s="1"/>
  <c r="GE59" i="2" s="1"/>
  <c r="GF59" i="2" s="1"/>
  <c r="GG59" i="2" s="1"/>
  <c r="GH59" i="2" s="1"/>
  <c r="GI59" i="2" s="1"/>
  <c r="GJ59" i="2" s="1"/>
  <c r="GK59" i="2" s="1"/>
  <c r="GL59" i="2" s="1"/>
  <c r="GM59" i="2" s="1"/>
  <c r="GN59" i="2" s="1"/>
  <c r="GO59" i="2" s="1"/>
  <c r="GP59" i="2" s="1"/>
  <c r="GQ59" i="2" s="1"/>
  <c r="GR59" i="2" s="1"/>
  <c r="GS59" i="2" s="1"/>
  <c r="GT59" i="2" s="1"/>
  <c r="GU59" i="2" s="1"/>
  <c r="GV59" i="2" s="1"/>
  <c r="GW59" i="2" s="1"/>
  <c r="GX59" i="2" s="1"/>
  <c r="GY59" i="2" s="1"/>
  <c r="GZ59" i="2" s="1"/>
  <c r="HA59" i="2" s="1"/>
  <c r="HB59" i="2" s="1"/>
  <c r="HC59" i="2" s="1"/>
  <c r="HD59" i="2" s="1"/>
  <c r="HE59" i="2" s="1"/>
  <c r="HF59" i="2" s="1"/>
  <c r="HG59" i="2" s="1"/>
  <c r="HH59" i="2" s="1"/>
  <c r="HI59" i="2" s="1"/>
  <c r="HJ59" i="2" s="1"/>
  <c r="HK59" i="2" s="1"/>
  <c r="HL59" i="2" s="1"/>
  <c r="HM59" i="2" s="1"/>
  <c r="HN59" i="2" s="1"/>
  <c r="HO59" i="2" s="1"/>
  <c r="HP59" i="2" s="1"/>
  <c r="HQ59" i="2" s="1"/>
  <c r="HR59" i="2" s="1"/>
  <c r="HS59" i="2" s="1"/>
  <c r="HT59" i="2" s="1"/>
  <c r="HU59" i="2" s="1"/>
  <c r="HV59" i="2" s="1"/>
  <c r="HW59" i="2" s="1"/>
  <c r="HX59" i="2" s="1"/>
  <c r="HY59" i="2" s="1"/>
  <c r="HZ59" i="2" s="1"/>
  <c r="IA59" i="2" s="1"/>
  <c r="IB59" i="2" s="1"/>
  <c r="IC59" i="2" s="1"/>
  <c r="ID59" i="2" s="1"/>
  <c r="IE59" i="2" s="1"/>
  <c r="IF59" i="2" s="1"/>
  <c r="IG59" i="2" s="1"/>
  <c r="IH59" i="2" s="1"/>
  <c r="II59" i="2" s="1"/>
  <c r="IJ59" i="2" s="1"/>
  <c r="IK59" i="2" s="1"/>
  <c r="IL59" i="2" s="1"/>
  <c r="AY65" i="2" s="1"/>
  <c r="AY67" i="2" s="1"/>
  <c r="AY69" i="2" s="1"/>
  <c r="AY71" i="2" s="1"/>
</calcChain>
</file>

<file path=xl/sharedStrings.xml><?xml version="1.0" encoding="utf-8"?>
<sst xmlns="http://schemas.openxmlformats.org/spreadsheetml/2006/main" count="362" uniqueCount="326">
  <si>
    <t>Price</t>
  </si>
  <si>
    <t>Shares</t>
  </si>
  <si>
    <t>Market Cap</t>
  </si>
  <si>
    <t xml:space="preserve">Cash </t>
  </si>
  <si>
    <t>Debt</t>
  </si>
  <si>
    <t xml:space="preserve">Enterprise Value </t>
  </si>
  <si>
    <t>Q123</t>
  </si>
  <si>
    <t>Q223</t>
  </si>
  <si>
    <t>Q323</t>
  </si>
  <si>
    <t>Q423</t>
  </si>
  <si>
    <t>Q124</t>
  </si>
  <si>
    <t>Q224</t>
  </si>
  <si>
    <t>Q324</t>
  </si>
  <si>
    <t>Q424</t>
  </si>
  <si>
    <t>Botswana</t>
  </si>
  <si>
    <t>Canada</t>
  </si>
  <si>
    <t>Chile</t>
  </si>
  <si>
    <t>CEO</t>
  </si>
  <si>
    <t xml:space="preserve">CFO </t>
  </si>
  <si>
    <t>Aspect</t>
  </si>
  <si>
    <t>Metal Stream</t>
  </si>
  <si>
    <t>Royalty</t>
  </si>
  <si>
    <t>Capital</t>
  </si>
  <si>
    <t>Returns</t>
  </si>
  <si>
    <t>Risk/Reward</t>
  </si>
  <si>
    <t>Streaming comp provides upfront capital</t>
  </si>
  <si>
    <t>rights to purchase metals at fixed price</t>
  </si>
  <si>
    <t>profit tied to comm price spreads</t>
  </si>
  <si>
    <t>involves purchasing royalty</t>
  </si>
  <si>
    <t>percentage of rev or production</t>
  </si>
  <si>
    <t>more stable rev, tied to prod/rev</t>
  </si>
  <si>
    <t>Other</t>
  </si>
  <si>
    <t xml:space="preserve">Total Revenue </t>
  </si>
  <si>
    <t>Copper</t>
  </si>
  <si>
    <t>Silver</t>
  </si>
  <si>
    <t>C</t>
  </si>
  <si>
    <t>G&amp;A</t>
  </si>
  <si>
    <t>Production Taxes</t>
  </si>
  <si>
    <t>DD&amp;A</t>
  </si>
  <si>
    <t xml:space="preserve">Operating Income </t>
  </si>
  <si>
    <t xml:space="preserve">Fair Value </t>
  </si>
  <si>
    <t>EBT</t>
  </si>
  <si>
    <t>Taxes</t>
  </si>
  <si>
    <t xml:space="preserve">Net Income </t>
  </si>
  <si>
    <t>Interest &amp; Other Income</t>
  </si>
  <si>
    <t>Interest &amp; Other Expense</t>
  </si>
  <si>
    <t>R Y/Y</t>
  </si>
  <si>
    <t>Gold ($/ounce)</t>
  </si>
  <si>
    <t>Silver ($/ounce)</t>
  </si>
  <si>
    <t>Gold</t>
  </si>
  <si>
    <t xml:space="preserve">Copper </t>
  </si>
  <si>
    <t>Copper ($/pound)</t>
  </si>
  <si>
    <t xml:space="preserve">Terminal </t>
  </si>
  <si>
    <t>Discount</t>
  </si>
  <si>
    <t>NPV</t>
  </si>
  <si>
    <t xml:space="preserve">Net Cash </t>
  </si>
  <si>
    <t xml:space="preserve">Total Value </t>
  </si>
  <si>
    <t>Estimate</t>
  </si>
  <si>
    <t>Supply/Demand Dynamics</t>
  </si>
  <si>
    <t>Global Production</t>
  </si>
  <si>
    <t>Mining Costs</t>
  </si>
  <si>
    <t>Jewelry and Technology Demand</t>
  </si>
  <si>
    <t>Jewelry Demand</t>
  </si>
  <si>
    <t>Industrial Use</t>
  </si>
  <si>
    <t>Central Bank Reserves</t>
  </si>
  <si>
    <t>Mining Production</t>
  </si>
  <si>
    <t>Macroeconomic Factors</t>
  </si>
  <si>
    <t>Inflation</t>
  </si>
  <si>
    <t>Interest rates</t>
  </si>
  <si>
    <t>CFFO</t>
  </si>
  <si>
    <t xml:space="preserve">Capex </t>
  </si>
  <si>
    <t xml:space="preserve">FCF </t>
  </si>
  <si>
    <t>Current</t>
  </si>
  <si>
    <t>Upside</t>
  </si>
  <si>
    <t>Gold Prod</t>
  </si>
  <si>
    <t>Property Stages</t>
  </si>
  <si>
    <t xml:space="preserve">no mineral reserves disclosed </t>
  </si>
  <si>
    <t xml:space="preserve">in production and contribute to majority of revenue </t>
  </si>
  <si>
    <t>material extraction and reserves</t>
  </si>
  <si>
    <t>material reserves, no extraction</t>
  </si>
  <si>
    <t xml:space="preserve">contain mineral resources, searching for reserves </t>
  </si>
  <si>
    <t>Principal</t>
  </si>
  <si>
    <t xml:space="preserve">Producing </t>
  </si>
  <si>
    <t xml:space="preserve">Development </t>
  </si>
  <si>
    <t>Evaluation</t>
  </si>
  <si>
    <t>Exploration</t>
  </si>
  <si>
    <t xml:space="preserve">Streaming Agreements Economics </t>
  </si>
  <si>
    <t xml:space="preserve">Mine Site Production </t>
  </si>
  <si>
    <t xml:space="preserve">production ofintermediater metal product is under control of mine operator, production is report to RGLD by the operator </t>
  </si>
  <si>
    <t xml:space="preserve">Metal Delivery </t>
  </si>
  <si>
    <t>production --&gt; smelter/refiner--&gt;quantity of refined metal is used to define the delivery obligation</t>
  </si>
  <si>
    <t>Mount Milligan and Andacollo (5m lag from production)</t>
  </si>
  <si>
    <t xml:space="preserve">Metal Sale </t>
  </si>
  <si>
    <t xml:space="preserve">once refined gold is delivered, RGLD sells the gold over the period when they expect to receive the next delivery, which means they'll realized prices over the same time period </t>
  </si>
  <si>
    <t>Mount Milligan</t>
  </si>
  <si>
    <t xml:space="preserve">Andacollo </t>
  </si>
  <si>
    <t>Pueblo Viejo</t>
  </si>
  <si>
    <t>All Other Streams</t>
  </si>
  <si>
    <t>5m</t>
  </si>
  <si>
    <t>1m</t>
  </si>
  <si>
    <t>Lag</t>
  </si>
  <si>
    <t>Streaming Agreements</t>
  </si>
  <si>
    <t xml:space="preserve">Produced Vs Payable Metal </t>
  </si>
  <si>
    <t>Produced == metal recovered from mine site operations either in concentrate or doré</t>
  </si>
  <si>
    <t xml:space="preserve">Payable == metal recovered from mine les smelter/refiner fee </t>
  </si>
  <si>
    <t>Khjoemacau</t>
  </si>
  <si>
    <t>Rainy river</t>
  </si>
  <si>
    <t>Wassa</t>
  </si>
  <si>
    <t>Xavantina</t>
  </si>
  <si>
    <t>Bogoso and Prestea</t>
  </si>
  <si>
    <t xml:space="preserve">Stream </t>
  </si>
  <si>
    <t>Metal</t>
  </si>
  <si>
    <t>Product</t>
  </si>
  <si>
    <t xml:space="preserve">Payable % </t>
  </si>
  <si>
    <t>Au</t>
  </si>
  <si>
    <t>Ag</t>
  </si>
  <si>
    <t>Au, Cu</t>
  </si>
  <si>
    <t>Au, Ag</t>
  </si>
  <si>
    <t xml:space="preserve">Concentrate </t>
  </si>
  <si>
    <t>Doré</t>
  </si>
  <si>
    <t>99.9/99</t>
  </si>
  <si>
    <t>97/&gt;=95</t>
  </si>
  <si>
    <t>Attributable Gold Equivalent Ounces</t>
  </si>
  <si>
    <t>AGEOs are a measure to describe the portion of an operstors reported reserves or resources that are attrib to stream/royalty</t>
  </si>
  <si>
    <t>calculated by taking contained metal from reserves or resources and oncert it into GEOs based on : contained metal, net metal price, gold price, payable %</t>
  </si>
  <si>
    <t xml:space="preserve">Formula | AGEOs = (Contained Metal * Net Price) / Gold Price * Payable Percentage </t>
  </si>
  <si>
    <t xml:space="preserve">Principal Assets </t>
  </si>
  <si>
    <t>Andacollo</t>
  </si>
  <si>
    <t>Cortez</t>
  </si>
  <si>
    <t>Khoemacau</t>
  </si>
  <si>
    <t>Peńasquito</t>
  </si>
  <si>
    <t xml:space="preserve">Pueblo Viejo </t>
  </si>
  <si>
    <t>Nevada</t>
  </si>
  <si>
    <t xml:space="preserve">Mexico </t>
  </si>
  <si>
    <t>DR</t>
  </si>
  <si>
    <t>Rainy River</t>
  </si>
  <si>
    <t>Total Canada</t>
  </si>
  <si>
    <t xml:space="preserve">Xavantina </t>
  </si>
  <si>
    <t>Total Latam</t>
  </si>
  <si>
    <t xml:space="preserve">Total Africa </t>
  </si>
  <si>
    <t xml:space="preserve">Total Stream Revenue </t>
  </si>
  <si>
    <t xml:space="preserve">Voisey's Bay </t>
  </si>
  <si>
    <t>Red Chris</t>
  </si>
  <si>
    <t>Canadian Malartic</t>
  </si>
  <si>
    <t>LaRonde Zone 5</t>
  </si>
  <si>
    <t>Williams</t>
  </si>
  <si>
    <t>Other - Canada</t>
  </si>
  <si>
    <t>Legacy Zone</t>
  </si>
  <si>
    <t>CC Zone</t>
  </si>
  <si>
    <t>Robinson</t>
  </si>
  <si>
    <t>Marigold</t>
  </si>
  <si>
    <t>Leeville</t>
  </si>
  <si>
    <t>Goldstrike</t>
  </si>
  <si>
    <t>Wharf</t>
  </si>
  <si>
    <t xml:space="preserve">Other </t>
  </si>
  <si>
    <t>Total U.S</t>
  </si>
  <si>
    <t xml:space="preserve">Total Royalty </t>
  </si>
  <si>
    <t>Total Revenue</t>
  </si>
  <si>
    <t xml:space="preserve">Open Pit </t>
  </si>
  <si>
    <t>Type</t>
  </si>
  <si>
    <t xml:space="preserve">Ongoing Payment </t>
  </si>
  <si>
    <t>$435/oz. for Au</t>
  </si>
  <si>
    <t xml:space="preserve">2023 asset handbook </t>
  </si>
  <si>
    <t>Cash</t>
  </si>
  <si>
    <t>TL + E</t>
  </si>
  <si>
    <t>E</t>
  </si>
  <si>
    <t>TL</t>
  </si>
  <si>
    <t>TA</t>
  </si>
  <si>
    <t>Royalty Rec</t>
  </si>
  <si>
    <t>Income Tax Rec</t>
  </si>
  <si>
    <t>Stream Inventory</t>
  </si>
  <si>
    <t>Prepaid Exp</t>
  </si>
  <si>
    <t>CA</t>
  </si>
  <si>
    <t>Stream/royalty</t>
  </si>
  <si>
    <t>OA</t>
  </si>
  <si>
    <t>A/P</t>
  </si>
  <si>
    <t>Dividends Payable</t>
  </si>
  <si>
    <t>Income Tax Payable</t>
  </si>
  <si>
    <t>OCL</t>
  </si>
  <si>
    <t>CL</t>
  </si>
  <si>
    <t>Deferred tx liab</t>
  </si>
  <si>
    <t>Mount Milligan Deferred</t>
  </si>
  <si>
    <t>OL</t>
  </si>
  <si>
    <t>Press Releases</t>
  </si>
  <si>
    <t>updated proven and probable reserves for Pipeline Mining Complex  | est gold price $325/oz</t>
  </si>
  <si>
    <t>exploration project ($2.5m invested) on island of Milos, Greeze facing delays due to Greek Ministry's rejection of the environmental impact study</t>
  </si>
  <si>
    <t>revenue increased significantly driven by royalties from Piprlinr Mining Complex</t>
  </si>
  <si>
    <t>discovery of additional gold mineralization at the crossroads area near south pipeline pit at the pipeline mining complex</t>
  </si>
  <si>
    <t xml:space="preserve">production increase at Pipeline Mining Project </t>
  </si>
  <si>
    <t>Q101, reveneu down y/y vs q100 due to lower grade/lower prod  st pipeline mining complex</t>
  </si>
  <si>
    <t>line of credit with HSBC bnk ($10m) for purposes of acquiring royalty assets.  Royalty mortgage on GSR3 royalty at Pipeline Mining Complex</t>
  </si>
  <si>
    <t>q201 non cash write down  on Bald Mountain royalty due to  placer dome (operator of the mine) lwoering gold price ass from $325/oz to $300/oz</t>
  </si>
  <si>
    <t>acquired -.37% net value royalty on the GAS claims at the pipeline mining complex for $2.1m.  Adds additional exposure to 5m oz of procen and prob gold reserves and ~49m mineralized material</t>
  </si>
  <si>
    <t xml:space="preserve">q301;still no debt , access to $10m from HSBC, 18:1 working capital ratio </t>
  </si>
  <si>
    <t>fiscal 2001 earnings. Multiple royalties at Pipeline Mining complex (GSR1,GSR2,GSR3 (fixed royalty) ..  Received royalty payments on Martha mine silver shipments in Argentina, EPA settlement</t>
  </si>
  <si>
    <t>Founded</t>
  </si>
  <si>
    <t>Founder</t>
  </si>
  <si>
    <t>Stanley Dempsey</t>
  </si>
  <si>
    <t>new gold mineralization discovered at pipeline mining complex, if extracted ---&gt; increased royalty</t>
  </si>
  <si>
    <t xml:space="preserve">q102 earnings. 84% growth </t>
  </si>
  <si>
    <t>acquiring royalty interest in copperdtone gold project from American Bonanza gold mining corp for $1.7m.  3% NSR &amp; 45%NPR</t>
  </si>
  <si>
    <t>nsr and npr deal with Bonanza Gold Mining expected to close 3/29/02</t>
  </si>
  <si>
    <t>unable to agree on final terms, negotiations terminated</t>
  </si>
  <si>
    <t>private placement 500k shares sold to Acqua Wellington NA Equities Fund</t>
  </si>
  <si>
    <t>agreement to purchase 93% of High Desert Mineral Resources common shares (1.4m) for $24m in combo of cash/stock</t>
  </si>
  <si>
    <t xml:space="preserve">signed binding agreement to purchase 93.3%  of High Desert Mineral Resources common stock </t>
  </si>
  <si>
    <t xml:space="preserve">acquired 49.4m shares of High Desert Mineral Resources from Lee Halavais.  Paid with 1.4m shares of stock and $200k in cash,.. Goal is to turn High Des into subsidiary. </t>
  </si>
  <si>
    <t xml:space="preserve">Acquisitions </t>
  </si>
  <si>
    <t>High Desert</t>
  </si>
  <si>
    <t>field short form merger with Deleware to merge subsidiary of royal gold into high desert mineral resources</t>
  </si>
  <si>
    <t>q203 results</t>
  </si>
  <si>
    <t>reserve increases</t>
  </si>
  <si>
    <t xml:space="preserve">production increases at the Pipeline Mining Complex </t>
  </si>
  <si>
    <t xml:space="preserve">2nd half dividend </t>
  </si>
  <si>
    <t>Tony Jensen appointed to COO</t>
  </si>
  <si>
    <t xml:space="preserve">Skadow as vp and cfo </t>
  </si>
  <si>
    <t>executed royalty financing term sheet with capital gold corporation to provide $13.8m as specified in the feasibility study completed 8/2003 for construction of El Chanate open pit gold mine Sonora, Mex</t>
  </si>
  <si>
    <t>form s-3: allows royald gold ot issue up to $300m woth of securities; s-4 registration for stock issuance: registeres up to 15m shares for the use in acq</t>
  </si>
  <si>
    <t>announced updated ore reserve estimates and production forecasts for its royalty properties</t>
  </si>
  <si>
    <t xml:space="preserve">agreed to terminate negotiations on a royalty financing ability for the construction of Capital Gold's El Chanate open pit gold mine </t>
  </si>
  <si>
    <t>s-4 &amp; s3 declared effective with no immediate plans to offer any securities</t>
  </si>
  <si>
    <t>acquired 31 unpatented mining claims from Quicksilver Phenomenon LLC on alnds located southeast of the Cortez area, Eureka County, Nevada</t>
  </si>
  <si>
    <t>pipeline mining complex remains cornerstone asset, reserve additions at Leeville, SJ Claims, and othe rproperties, Troy Mine and Martha Mine provide diversification through silver and copper production</t>
  </si>
  <si>
    <t xml:space="preserve">offering 2m shares of common </t>
  </si>
  <si>
    <t>term sheet for signing term sheet for financing high river gold's taparko project. Pays $35m over net year to Somita SA (90% own sub of High River gold Mines) for development of  open pit gold proekct in west africa</t>
  </si>
  <si>
    <t xml:space="preserve">strat alliance with Taranis resourcis </t>
  </si>
  <si>
    <t>finalized agreementwith Somita SA ro provide the $35m</t>
  </si>
  <si>
    <t>agreement to acquire 2 royalties from Kennecott Minerals Co $25m</t>
  </si>
  <si>
    <t>closed agreement with Kennecott Minerals to acquire 2 royalties for $25m.  Royalties consist of 3% net smelter return royalty on Robinson mine located in Nevada, and a sliding scale royalty on the Mulatosmine Sonora, Mexico.  Open pit copper mine with gold and molybdenum credits</t>
  </si>
  <si>
    <t xml:space="preserve">production decline at pipeline mining complex </t>
  </si>
  <si>
    <t>increases interest in taranis resources</t>
  </si>
  <si>
    <t>agreement to purchase sliding scale nsr from nevada star resoruce corp on gold hill project for $3.3m</t>
  </si>
  <si>
    <t xml:space="preserve">closed acqusiition with Nevada Star </t>
  </si>
  <si>
    <t xml:space="preserve">agreement with Minera Kennescott to acquire 2% NSR roualty on Pensaquito protect in Zacatecas Mexico </t>
  </si>
  <si>
    <t xml:space="preserve">acquires royalty on barrick gold Pascua Lama gold project </t>
  </si>
  <si>
    <t xml:space="preserve">Bruce Kirchhoff joining company as gen counsel </t>
  </si>
  <si>
    <t>closed transcation with Minera Kennescott to acquire Penasquito project</t>
  </si>
  <si>
    <t>battle mountain gold accepted royal gold's proposal to acquire 100% of the fully diluted shares of Battle Mountain for 1.57m shares</t>
  </si>
  <si>
    <t>closes Pascua Lama royalty transaction</t>
  </si>
  <si>
    <t xml:space="preserve">pricing of share fofering, $29.25 @ 4m shares </t>
  </si>
  <si>
    <t xml:space="preserve">intends to offer 4m shares of common </t>
  </si>
  <si>
    <t xml:space="preserve">ceo </t>
  </si>
  <si>
    <t>tony jensonm</t>
  </si>
  <si>
    <t>SJ Claims, Goldstrike Mine (Nevada) Royalty Held: 0.9% NSR, operator: Barrick Goldstrike Mine, prod e: 700oz og gold in 2007; Leeville Mining complex (Nevada) Royalty held: 1.8% NSR on most underground ops, operator: Newmont Mining corp, prod e: 337koz in 2007; Pipelne Mining complex (Nevada) Royalty held: sliding scale NSR (1.75%), operator: barrick gold, prod e: 91koz in 2007; Mulatos Mine 9Mexico) royalt held: sliding scale NSR (0.3%-1.5% deoending on gol d prices), operator: alamos gold, prod e: 150koz 2007, robinson mine (nevada); royalty held: 3% NSR, operator: Quadra Mining Ltd, prod e: 68k oz of gold and 136.3m lbs of copper in 2007; troy mine (Montana),, royalty held: 7% GSR on early prod, operator: Revett Minerals, prod e: 2m oz of silver and 16m lbs of copper in 2007; Martha MIne (Argentina), Royalty Held: 2% NSR, operator: Coer d'Alene Mines Corp, prod eL 2.7m oz of silver in 2007, Penasquito project (Mexico) royalty held: 2% NSR, operator: Godlscorp, production start late 2008; Pascua-Lama Project (Argentina/Chile) royalties held: sliding scale NSR (0.16%-1.08% depend on gold price), fixed 0.216% copper royalty starting 2017, operator Bassick Gold Corp, Production start: targeted 2010; Taparko Mine (Burkina Faso) royalties Held: GSR equiv royalties: 15% (TB-GSR1) and 4.3% (TB-GSR2), transitioning to perpetual royalties, operatorL high river gold mines), Gold Hill (Nevada) royalty held: slidng scale NSR 2% above $350/oz),operatorL Kinross Gold Corp and Barrick Gold Corp, Prod start: pending permits and equipment availability</t>
  </si>
  <si>
    <t>Battle Ground corp aghreed to have royal gold to acquire 100% of diluted shares</t>
  </si>
  <si>
    <t>additional drilling at Penasquito revealed reserve increases: provena dn probable reserves increased 31% for gold, 50% for silver, 60% for Lead and Zinc</t>
  </si>
  <si>
    <t xml:space="preserve">begin receiving royalty revenue from high gold's Tarpko mine </t>
  </si>
  <si>
    <t>S-4 registration statement to advance merger with battle mountain</t>
  </si>
  <si>
    <t xml:space="preserve">completed acquisition of battleground </t>
  </si>
  <si>
    <t xml:space="preserve">acquires Benso royalty from fairwest energy corp; 1.5% NSR </t>
  </si>
  <si>
    <t xml:space="preserve">public offering of mandatory convertible preferred stock </t>
  </si>
  <si>
    <t>closed 7.25% mandatory convertible preferred stock , gross proceeds $115m</t>
  </si>
  <si>
    <t xml:space="preserve">operator at Penasquito project has approved plans to expand mil throughput by 30% to 143000 tons of ore to acelerate construction schedule at the project </t>
  </si>
  <si>
    <t>agreeement to acquire 3 royalties from Anglogold Ashanti for 13.75m.  First is 2% NSRm 2-45 sliding scale, 10$ NPI</t>
  </si>
  <si>
    <t xml:space="preserve">converts preferred into common </t>
  </si>
  <si>
    <t xml:space="preserve">completed acquisition of 3 royalties from AngloGold Ashanti </t>
  </si>
  <si>
    <t>entered into agreement to acquire a portfolio of royalties from barrick Gold for $150m.  8 producing roylaties, 20 developed and evaluation stage, 49 exploration projects</t>
  </si>
  <si>
    <t xml:space="preserve">entered into new amended and restated credit facility </t>
  </si>
  <si>
    <t>increased reserve estimate as the Penasquito project</t>
  </si>
  <si>
    <t>William M. Zisch to VP Op</t>
  </si>
  <si>
    <t xml:space="preserve">acquire interest in the Gold Production from teck Cominco;s Andacollo Mine in Chile </t>
  </si>
  <si>
    <t>common stock offering ; will use proceeds to fund  Andacollo Mine in Chile</t>
  </si>
  <si>
    <t>prcied shares at $38/share</t>
  </si>
  <si>
    <t>substantial Reserve increases</t>
  </si>
  <si>
    <t xml:space="preserve">$100m term loan facility agreement </t>
  </si>
  <si>
    <t>completion of Andacollo Gold transaction</t>
  </si>
  <si>
    <t xml:space="preserve">amends term loan </t>
  </si>
  <si>
    <t xml:space="preserve">additional roylaty interest on the Pascua Lama Gold Project </t>
  </si>
  <si>
    <t xml:space="preserve">acquire 25% gold stream on Mt Milliganm Project </t>
  </si>
  <si>
    <t xml:space="preserve">completion of gold stream </t>
  </si>
  <si>
    <t>amend credit facility</t>
  </si>
  <si>
    <t xml:space="preserve">agreement to acquire royalty on the kerr-Sulphurets-Mitchell Project </t>
  </si>
  <si>
    <t>royal gold increases gold stream interest in Mt Milligan</t>
  </si>
  <si>
    <t xml:space="preserve">acquires gold and silver interests in  Tulsequah Chief project </t>
  </si>
  <si>
    <t xml:space="preserve">acquires gold roylaty Ruby Hill Mine </t>
  </si>
  <si>
    <t xml:space="preserve">expands and extended revolving credit facility </t>
  </si>
  <si>
    <t>$325m convertible notes</t>
  </si>
  <si>
    <t xml:space="preserve">royald gold $325m of Sr. Convertible notes </t>
  </si>
  <si>
    <t xml:space="preserve">closed 2.875% convertible senior notes offering </t>
  </si>
  <si>
    <t xml:space="preserve">updated on Pascua Lama construction </t>
  </si>
  <si>
    <t>Increases Gold Stream Interest in the Mt.Milligan project 52.25%</t>
  </si>
  <si>
    <t xml:space="preserve">completion of additional gold stream interest at Mt. Milligan </t>
  </si>
  <si>
    <t>Update on Pascua Lama ; construction work suspended</t>
  </si>
  <si>
    <t xml:space="preserve">update on Pascua - Lama </t>
  </si>
  <si>
    <t xml:space="preserve">suspended construction activities at Pascua Lama </t>
  </si>
  <si>
    <t>acquires gold stream on Rubicon Minerals Phoenix Gold Project</t>
  </si>
  <si>
    <t xml:space="preserve">update Mt. Milligan Stream </t>
  </si>
  <si>
    <t xml:space="preserve">reserve updates </t>
  </si>
  <si>
    <t xml:space="preserve">provided updates on Mt. Milligan streasm deliveries </t>
  </si>
  <si>
    <t xml:space="preserve">update mount milligan stream </t>
  </si>
  <si>
    <t xml:space="preserve">acquires gold stream on Euromax's llovitza project </t>
  </si>
  <si>
    <t xml:space="preserve">Mount Milligan &amp; Penasquito update </t>
  </si>
  <si>
    <t>update on mount milligan stream deliveries</t>
  </si>
  <si>
    <t>announces ore reserves and mineralized material</t>
  </si>
  <si>
    <t>acquires gold streams on Wassa, Bogoso, and Prestea from Golden Star Resources</t>
  </si>
  <si>
    <t xml:space="preserve">acquires gold stream on Teck's Carmen de Andacollo Mine </t>
  </si>
  <si>
    <t xml:space="preserve">sells royalty at Carmen de Andacollo </t>
  </si>
  <si>
    <t>acquires gold and silver stream on New Gold's rainy River project</t>
  </si>
  <si>
    <t xml:space="preserve">agreement to acquire gold and silver stream on barricks gold interest in Pueblo Viejo mine </t>
  </si>
  <si>
    <t xml:space="preserve">closing of pueblo viejo </t>
  </si>
  <si>
    <t xml:space="preserve">pueblo viejo update </t>
  </si>
  <si>
    <t xml:space="preserve">21% increase in reserves </t>
  </si>
  <si>
    <t xml:space="preserve">voluntary de-listing on toronto stock exchnage </t>
  </si>
  <si>
    <t xml:space="preserve">announces peak gold resource estimate </t>
  </si>
  <si>
    <t>expands debt facility</t>
  </si>
  <si>
    <t>operational update from mount milligan; mining operations halted due to lack of sufficient water resources</t>
  </si>
  <si>
    <t xml:space="preserve">neworg structure </t>
  </si>
  <si>
    <t xml:space="preserve">voisey bay royalty dispute </t>
  </si>
  <si>
    <t xml:space="preserve">acquisition of high quality silver stream on Khoemacau copper project </t>
  </si>
  <si>
    <t xml:space="preserve">estimated ore reserve update </t>
  </si>
  <si>
    <t xml:space="preserve">mount milligan update </t>
  </si>
  <si>
    <t>update from tech Resources on the resumption of operations at the Carmen de andacollo Mine</t>
  </si>
  <si>
    <t xml:space="preserve">update on revised life of mineplan for rainy river mine ; remains profitable and valuable asset for RGLD.  </t>
  </si>
  <si>
    <t xml:space="preserve">sold Peak Gold Project and stake in Contango Ore  for $61.3m; considered noncore to biz model.  Divesting and focusing on pasive royalty/streaming </t>
  </si>
  <si>
    <t>original stream agreement:single agreement with Golden Star Resources for Wassa and Orestea/Bogoso mines.  | speration: Golden star sold the Prestea/Bogoso mines to Future Global Resources July 2020.  sale required original stream agreement into two independent agreements to reflect new ownership structure</t>
  </si>
  <si>
    <t xml:space="preserve">acquires gold stream on Ero Copper's highly prospective NX Gold Mine </t>
  </si>
  <si>
    <t xml:space="preserve">acquires royalty on  red chris mine </t>
  </si>
  <si>
    <t xml:space="preserve">agreement to acquire Great Bear Royalties corp </t>
  </si>
  <si>
    <t>acquisition of royalty interest in cortez complex in nevada</t>
  </si>
  <si>
    <t>completes acquisition Great Bear Royalties</t>
  </si>
  <si>
    <t xml:space="preserve">sus[ended operations at the Penasquito mine in Mexico in rresponse to a strike action received from the nationalunion of mine and metal workers of mex republic </t>
  </si>
  <si>
    <t xml:space="preserve">commitment to acquire gold/platinum/palladium and copper/nickel royalties on producing serrote and santa rita mines in Brazil </t>
  </si>
  <si>
    <t>updated on acquisition of royalties on the serrote and santa rita mines</t>
  </si>
  <si>
    <t xml:space="preserve">additional updates on serrote and snata rita mines </t>
  </si>
  <si>
    <t xml:space="preserve">Penasquitio update ; agreement reached to end strike </t>
  </si>
  <si>
    <t xml:space="preserve">mine life extention at mount milligan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</si>
</sst>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#,##0.0"/>
  </numFmts>
  <fonts count="7">
    <font>
      <sz val="10"/>
      <color theme="1"/>
      <name val="ArialMT"/>
      <family val="2"/>
    </font>
    <font>
      <u/>
      <sz val="10"/>
      <color theme="1"/>
      <name val="ArialMT"/>
      <family val="2"/>
    </font>
    <font>
      <b/>
      <sz val="10"/>
      <color theme="1"/>
      <name val="ArialMT"/>
    </font>
    <font>
      <sz val="10"/>
      <color theme="1"/>
      <name val="ArialMT"/>
    </font>
    <font>
      <b/>
      <u/>
      <sz val="10"/>
      <color theme="1"/>
      <name val="ArialMT"/>
    </font>
    <font>
      <i/>
      <sz val="10"/>
      <color theme="1"/>
      <name val="ArialMT"/>
    </font>
    <font>
      <u/>
      <sz val="10"/>
      <color theme="10"/>
      <name val="ArialMT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3" fontId="0" fillId="0" borderId="0" xfId="0" applyNumberFormat="1"/>
    <xf numFmtId="164" fontId="0" fillId="0" borderId="0" xfId="0" applyNumberFormat="1"/>
    <xf numFmtId="3" fontId="1" fillId="0" borderId="0" xfId="0" applyNumberFormat="1" applyFont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3" fontId="0" fillId="0" borderId="4" xfId="0" applyNumberFormat="1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7" xfId="0" applyNumberFormat="1" applyBorder="1"/>
    <xf numFmtId="3" fontId="0" fillId="0" borderId="8" xfId="0" applyNumberFormat="1" applyBorder="1"/>
    <xf numFmtId="3" fontId="2" fillId="0" borderId="0" xfId="0" applyNumberFormat="1" applyFont="1"/>
    <xf numFmtId="3" fontId="3" fillId="0" borderId="0" xfId="0" applyNumberFormat="1" applyFont="1"/>
    <xf numFmtId="3" fontId="0" fillId="0" borderId="0" xfId="0" applyNumberFormat="1" applyAlignment="1">
      <alignment horizontal="left" indent="1"/>
    </xf>
    <xf numFmtId="3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1" fontId="0" fillId="0" borderId="0" xfId="0" applyNumberFormat="1"/>
    <xf numFmtId="9" fontId="2" fillId="0" borderId="0" xfId="0" applyNumberFormat="1" applyFont="1"/>
    <xf numFmtId="9" fontId="3" fillId="0" borderId="0" xfId="0" applyNumberFormat="1" applyFont="1"/>
    <xf numFmtId="10" fontId="3" fillId="0" borderId="0" xfId="0" applyNumberFormat="1" applyFont="1"/>
    <xf numFmtId="8" fontId="2" fillId="0" borderId="0" xfId="0" applyNumberFormat="1" applyFont="1"/>
    <xf numFmtId="3" fontId="4" fillId="0" borderId="0" xfId="0" applyNumberFormat="1" applyFont="1"/>
    <xf numFmtId="9" fontId="0" fillId="0" borderId="0" xfId="0" applyNumberFormat="1"/>
    <xf numFmtId="9" fontId="0" fillId="0" borderId="0" xfId="0" quotePrefix="1" applyNumberFormat="1"/>
    <xf numFmtId="9" fontId="5" fillId="0" borderId="0" xfId="0" applyNumberFormat="1" applyFont="1"/>
    <xf numFmtId="3" fontId="5" fillId="0" borderId="0" xfId="0" applyNumberFormat="1" applyFont="1"/>
    <xf numFmtId="3" fontId="6" fillId="0" borderId="0" xfId="1" applyNumberFormat="1"/>
    <xf numFmtId="14" fontId="0" fillId="0" borderId="0" xfId="0" applyNumberFormat="1"/>
    <xf numFmtId="14" fontId="1" fillId="0" borderId="0" xfId="0" applyNumberFormat="1" applyFont="1"/>
    <xf numFmtId="14" fontId="6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8217</xdr:colOff>
      <xdr:row>0</xdr:row>
      <xdr:rowOff>19423</xdr:rowOff>
    </xdr:from>
    <xdr:to>
      <xdr:col>9</xdr:col>
      <xdr:colOff>8217</xdr:colOff>
      <xdr:row>105</xdr:row>
      <xdr:rowOff>51173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902387D-F367-0088-8A00-E9DD7C960EE3}"/>
            </a:ext>
          </a:extLst>
        </xdr:cNvPr>
        <xdr:cNvCxnSpPr/>
      </xdr:nvCxnSpPr>
      <xdr:spPr>
        <a:xfrm>
          <a:off x="5966011" y="19423"/>
          <a:ext cx="0" cy="1768101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19050</xdr:colOff>
      <xdr:row>0</xdr:row>
      <xdr:rowOff>6350</xdr:rowOff>
    </xdr:from>
    <xdr:to>
      <xdr:col>36</xdr:col>
      <xdr:colOff>19050</xdr:colOff>
      <xdr:row>105</xdr:row>
      <xdr:rowOff>38100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3CE21A2-A65D-2242-867B-30E6B11E4C8E}"/>
            </a:ext>
          </a:extLst>
        </xdr:cNvPr>
        <xdr:cNvCxnSpPr/>
      </xdr:nvCxnSpPr>
      <xdr:spPr>
        <a:xfrm>
          <a:off x="11537950" y="6350"/>
          <a:ext cx="0" cy="71310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28.q4cdn.com/583965976/files/doc_news/2016/04/27/2016-Press-Release-2015-YE-Reserves-FINAL-LH.pdf" TargetMode="External"/><Relationship Id="rId21" Type="http://schemas.openxmlformats.org/officeDocument/2006/relationships/hyperlink" Target="https://s28.q4cdn.com/583965976/files/doc_news/2002/11/11/2002-11-11.pdf" TargetMode="External"/><Relationship Id="rId42" Type="http://schemas.openxmlformats.org/officeDocument/2006/relationships/hyperlink" Target="https://royalgold.com/investors/press-releases/press-release-details/2006/Royal-Gold-Closes-Deal-To-Acquire-Royalties-From-Kennecott-Minerals-01-05-2006/default.aspx" TargetMode="External"/><Relationship Id="rId63" Type="http://schemas.openxmlformats.org/officeDocument/2006/relationships/hyperlink" Target="https://royalgold.com/investors/press-releases/press-release-details/2007/Royal-Gold-Announces-the-Closing-of-its-7.25-Mandatory-Convertible-Preferred-Stock-for-Gross-Proceeds-of-115-Million--11-09-2007/default.aspx" TargetMode="External"/><Relationship Id="rId84" Type="http://schemas.openxmlformats.org/officeDocument/2006/relationships/hyperlink" Target="https://royalgold.com/investors/press-releases/press-release-details/2011/Royal-Gold-Announces-Reserve-Increases-and-Production-Forecasts-Associated-with-its-Royalty-Interests-05-05-2011/default.aspx" TargetMode="External"/><Relationship Id="rId138" Type="http://schemas.openxmlformats.org/officeDocument/2006/relationships/hyperlink" Target="https://s28.q4cdn.com/583965976/files/Serrote-and-Santa-Rita-Royalties-Update-Release-August-10-2023-FINAL-LH.pdf" TargetMode="External"/><Relationship Id="rId107" Type="http://schemas.openxmlformats.org/officeDocument/2006/relationships/hyperlink" Target="https://royalgold.com/investors/press-releases/press-release-details/2015/Royal-Gold-Provides-Update-on-Two-Principal-Properties-01-20-2015/default.aspx" TargetMode="External"/><Relationship Id="rId11" Type="http://schemas.openxmlformats.org/officeDocument/2006/relationships/hyperlink" Target="https://s28.q4cdn.com/583965976/files/doc_news/2001/05/10/2001-05-10.pdf" TargetMode="External"/><Relationship Id="rId32" Type="http://schemas.openxmlformats.org/officeDocument/2006/relationships/hyperlink" Target="https://s28.q4cdn.com/583965976/files/doc_news/2004/03/24/2004-03-24.pdf" TargetMode="External"/><Relationship Id="rId37" Type="http://schemas.openxmlformats.org/officeDocument/2006/relationships/hyperlink" Target="https://royalgold.com/investors/press-releases/press-release-details/2005/Royal-Gold-Announces-Common-Stock-Offering-09-20-2005/default.aspx" TargetMode="External"/><Relationship Id="rId53" Type="http://schemas.openxmlformats.org/officeDocument/2006/relationships/hyperlink" Target="https://royalgold.com/investors/press-releases/press-release-details/2007/Royal-Gold-Announces-Common-Stock-Offering-03-27-2007/default.aspx" TargetMode="External"/><Relationship Id="rId58" Type="http://schemas.openxmlformats.org/officeDocument/2006/relationships/hyperlink" Target="https://royalgold.com/investors/press-releases/press-release-details/2007/Royal-Gold-Announces-Substantial-Increases-in-Reserves-At-Penasquito-Royalty-Property-06-28-2007/default.aspx" TargetMode="External"/><Relationship Id="rId74" Type="http://schemas.openxmlformats.org/officeDocument/2006/relationships/hyperlink" Target="https://royalgold.com/investors/press-releases/press-release-details/2009/Royal-Gold-Announces-Pricing-of-Common-Stock-Offering-04-07-2009/default.aspx" TargetMode="External"/><Relationship Id="rId79" Type="http://schemas.openxmlformats.org/officeDocument/2006/relationships/hyperlink" Target="https://royalgold.com/investors/press-releases/press-release-details/2010/Royal-Gold-Announces-Substantial-Reserve-Increases-and-Production-Forecasts-Associated-with-Its-Royalty-Interests-06-04-2010/default.aspx" TargetMode="External"/><Relationship Id="rId102" Type="http://schemas.openxmlformats.org/officeDocument/2006/relationships/hyperlink" Target="https://royalgold.com/investors/press-releases/press-release-details/2014/Royal-Gold-Provides-Update-on-Mt.-Milligan-Stream-Deliveries-04-10-2014/default.aspx" TargetMode="External"/><Relationship Id="rId123" Type="http://schemas.openxmlformats.org/officeDocument/2006/relationships/hyperlink" Target="https://s28.q4cdn.com/583965976/files/doc_news/2018/09/19/Management-and-Gold-Forum-Press-Release-FINAL-LH-Sept-19-2018.pdf" TargetMode="External"/><Relationship Id="rId128" Type="http://schemas.openxmlformats.org/officeDocument/2006/relationships/hyperlink" Target="https://s28.q4cdn.com/583965976/files/doc_news/2020/02/13/RR-Updated-LOM-Plan-Feb-13-2020-FINAL.pdf" TargetMode="External"/><Relationship Id="rId5" Type="http://schemas.openxmlformats.org/officeDocument/2006/relationships/hyperlink" Target="https://s28.q4cdn.com/583965976/files/doc_news/2000/10/02/2000-10-02.pdf" TargetMode="External"/><Relationship Id="rId90" Type="http://schemas.openxmlformats.org/officeDocument/2006/relationships/hyperlink" Target="https://royalgold.com/investors/press-releases/press-release-details/2012/Royal-Gold-Expands-and-Extends-Revolving-Credit-Facility-05-30-2012/default.aspx" TargetMode="External"/><Relationship Id="rId95" Type="http://schemas.openxmlformats.org/officeDocument/2006/relationships/hyperlink" Target="https://royalgold.com/investors/press-releases/press-release-details/2012/Royal-Gold-Increases-Gold-Stream-Interest-in-the-Mt.-Milligan-Project-to-52.25-08-09-2012/default.aspx" TargetMode="External"/><Relationship Id="rId22" Type="http://schemas.openxmlformats.org/officeDocument/2006/relationships/hyperlink" Target="https://s28.q4cdn.com/583965976/files/doc_news/2002/12/06/2002-12-06.pdf" TargetMode="External"/><Relationship Id="rId27" Type="http://schemas.openxmlformats.org/officeDocument/2006/relationships/hyperlink" Target="https://s28.q4cdn.com/583965976/files/doc_news/2003/06/05/2003-06-05.pdf" TargetMode="External"/><Relationship Id="rId43" Type="http://schemas.openxmlformats.org/officeDocument/2006/relationships/hyperlink" Target="https://royalgold.com/investors/press-releases/press-release-details/2006/Royal-Gold-Announces-Positive-Outlook-Despite-Forecasted-Production-Decline-At-The-Pipeline-Mining-Complex--02-27-2006/default.aspx" TargetMode="External"/><Relationship Id="rId48" Type="http://schemas.openxmlformats.org/officeDocument/2006/relationships/hyperlink" Target="https://royalgold.com/investors/press-releases/press-release-details/2007/Royal-Gold-Acquires-Royalty-on-Barrick-Gold-Corporations-Pascua-Lama-Gold-Project--01-17-2007/default.aspx" TargetMode="External"/><Relationship Id="rId64" Type="http://schemas.openxmlformats.org/officeDocument/2006/relationships/hyperlink" Target="https://royalgold.com/investors/press-releases/press-release-details/2007/Royal-Gold-Announces-Impact-From-Goldcorps-Expansion-Plans-at-the-Penasquito-Project-12-05-2007/default.aspx" TargetMode="External"/><Relationship Id="rId69" Type="http://schemas.openxmlformats.org/officeDocument/2006/relationships/hyperlink" Target="https://royalgold.com/investors/press-releases/press-release-details/2008/Royal-Gold-Enters-Into-a-New-Credit-Facility-With-Increased-Availability-10-31-2008/default.aspx" TargetMode="External"/><Relationship Id="rId113" Type="http://schemas.openxmlformats.org/officeDocument/2006/relationships/hyperlink" Target="https://royalgold.com/investors/press-releases/press-release-details/2015/Royal-Gold-Acquires-Gold-and-Silver-Stream-on-New-Golds-Rainy-River-Project-07-20-2015/default.aspx" TargetMode="External"/><Relationship Id="rId118" Type="http://schemas.openxmlformats.org/officeDocument/2006/relationships/hyperlink" Target="https://s28.q4cdn.com/583965976/files/doc_news/2016/06/21/TSX-Delisting-LH-June-2016-FINAL.pdf" TargetMode="External"/><Relationship Id="rId134" Type="http://schemas.openxmlformats.org/officeDocument/2006/relationships/hyperlink" Target="https://s28.q4cdn.com/583965976/files/Cortez-Royalty-Acquisition-Release-August-2-2022-FINAL.1-LH.pdf" TargetMode="External"/><Relationship Id="rId139" Type="http://schemas.openxmlformats.org/officeDocument/2006/relationships/hyperlink" Target="https://s28.q4cdn.com/583965976/files/Serrote-and-Santa-Rita-Royalties-Update-Release-August-21-2023-FINAL-REVISED-LH.pdf" TargetMode="External"/><Relationship Id="rId80" Type="http://schemas.openxmlformats.org/officeDocument/2006/relationships/hyperlink" Target="https://royalgold.com/investors/press-releases/press-release-details/2010/Royal-Gold-Acquires-Additional-Royalty-Interests-on-the-Pascua-Lama-Gold-Project-07-06-2010/default.aspx" TargetMode="External"/><Relationship Id="rId85" Type="http://schemas.openxmlformats.org/officeDocument/2006/relationships/hyperlink" Target="https://royalgold.com/investors/press-releases/press-release-details/2011/Royal-Gold-Enters-into-an-Option-Agreement-to-Acquire-a-Royalty-on-the-Kerr-Sulphurets-Mitchell-Project-06-17-2011/default.aspx" TargetMode="External"/><Relationship Id="rId12" Type="http://schemas.openxmlformats.org/officeDocument/2006/relationships/hyperlink" Target="https://s28.q4cdn.com/583965976/files/doc_news/2001/08/09/2001-08-09.pdf" TargetMode="External"/><Relationship Id="rId17" Type="http://schemas.openxmlformats.org/officeDocument/2006/relationships/hyperlink" Target="https://s28.q4cdn.com/583965976/files/doc_news/2002/04/02/2002-04-02.pdf" TargetMode="External"/><Relationship Id="rId33" Type="http://schemas.openxmlformats.org/officeDocument/2006/relationships/hyperlink" Target="https://s28.q4cdn.com/583965976/files/doc_news/2004/04/13/2004-04-13.pdf" TargetMode="External"/><Relationship Id="rId38" Type="http://schemas.openxmlformats.org/officeDocument/2006/relationships/hyperlink" Target="https://royalgold.com/investors/press-releases/press-release-details/2005/Royal-Gold-Signs-Term-Sheet-For-Financing-High-River-Golds-Taparko-Project-10-18-2005/default.aspx" TargetMode="External"/><Relationship Id="rId59" Type="http://schemas.openxmlformats.org/officeDocument/2006/relationships/hyperlink" Target="https://royalgold.com/investors/press-releases/press-release-details/2007/Royal-Gold-Files-S-4-Registration-Statement-to-Advance-Merger-With-Battle-Mountain-Gold-Exploration-08-09-2007/default.aspx" TargetMode="External"/><Relationship Id="rId103" Type="http://schemas.openxmlformats.org/officeDocument/2006/relationships/hyperlink" Target="https://royalgold.com/investors/press-releases/press-release-details/2014/Royal-Gold-Announces-Reserve-and-Production-Forecasts-Associated-with-its-Interests-05-01-2014/default.aspx" TargetMode="External"/><Relationship Id="rId108" Type="http://schemas.openxmlformats.org/officeDocument/2006/relationships/hyperlink" Target="https://s28.q4cdn.com/583965976/files/doc_news/2015/04/16/041615-RGLD-Mt-Milligan-Deliveries-FINAL-LH_v001_p231v9.pdf" TargetMode="External"/><Relationship Id="rId124" Type="http://schemas.openxmlformats.org/officeDocument/2006/relationships/hyperlink" Target="https://s28.q4cdn.com/583965976/files/doc_news/2019/02/25/Royal-Gold-Announces-Acquisition-of-Project-Ivory-Silver-Stream-FINAL-v1-(LH)-Feb-25-2019.pdf" TargetMode="External"/><Relationship Id="rId129" Type="http://schemas.openxmlformats.org/officeDocument/2006/relationships/hyperlink" Target="https://s28.q4cdn.com/583965976/files/doc_news/2020/09/30/Peak-Divestment-September-30-2020-(FINAL.2)-LH.pdf" TargetMode="External"/><Relationship Id="rId54" Type="http://schemas.openxmlformats.org/officeDocument/2006/relationships/hyperlink" Target="https://royalgold.com/investors/press-releases/press-release-details/2007/Royal-Gold-Announces-Pricing-of-Public-Offering-of-Common-Stock-04-03-2007/default.aspx" TargetMode="External"/><Relationship Id="rId70" Type="http://schemas.openxmlformats.org/officeDocument/2006/relationships/hyperlink" Target="https://royalgold.com/investors/press-releases/press-release-details/2009/Royal-Gold-Announces-Reserve-Additions-at-Penasquito-and-Cortez-Royalty-Properties-02-23-2009/default.aspx" TargetMode="External"/><Relationship Id="rId75" Type="http://schemas.openxmlformats.org/officeDocument/2006/relationships/hyperlink" Target="https://royalgold.com/investors/press-releases/press-release-details/2009/Royal-Gold-Announces-Substantial-Reserve-Increases-and-Production-Forecasts-Associated-With-Its-Royalty-Interests-05-20-2009/default.aspx" TargetMode="External"/><Relationship Id="rId91" Type="http://schemas.openxmlformats.org/officeDocument/2006/relationships/hyperlink" Target="https://royalgold.com/investors/press-releases/press-release-details/2012/Royal-Gold-Announces-Proposed-325-Million-Convertible-Notes-Offering-06-13-2012/default.aspx" TargetMode="External"/><Relationship Id="rId96" Type="http://schemas.openxmlformats.org/officeDocument/2006/relationships/hyperlink" Target="https://royalgold.com/investors/press-releases/press-release-details/2012/Royal-Gold-Announces-Completion-of-Additional-Gold-Stream-Interest-at-Mt.-Milligan-08-13-2012/default.aspx" TargetMode="External"/><Relationship Id="rId140" Type="http://schemas.openxmlformats.org/officeDocument/2006/relationships/hyperlink" Target="https://s28.q4cdn.com/583965976/files/Mars-Update-Release-September-29-2023-FINAL-LH.pdf" TargetMode="External"/><Relationship Id="rId1" Type="http://schemas.openxmlformats.org/officeDocument/2006/relationships/hyperlink" Target="https://s28.q4cdn.com/583965976/files/doc_downloads/2024/handbook/royal-gold-asset-handbook-2023-final.pdf" TargetMode="External"/><Relationship Id="rId6" Type="http://schemas.openxmlformats.org/officeDocument/2006/relationships/hyperlink" Target="https://s28.q4cdn.com/583965976/files/doc_news/2000/10/10/2000-10-10.pdf" TargetMode="External"/><Relationship Id="rId23" Type="http://schemas.openxmlformats.org/officeDocument/2006/relationships/hyperlink" Target="https://s28.q4cdn.com/583965976/files/doc_news/2002/12/17/2002-12-17.pdf" TargetMode="External"/><Relationship Id="rId28" Type="http://schemas.openxmlformats.org/officeDocument/2006/relationships/hyperlink" Target="https://s28.q4cdn.com/583965976/files/doc_news/2003/06/16/2003-06-16.pdf" TargetMode="External"/><Relationship Id="rId49" Type="http://schemas.openxmlformats.org/officeDocument/2006/relationships/hyperlink" Target="https://royalgold.com/investors/press-releases/press-release-details/2007/Royal-Gold-Appoints-Kirchhoff-as-General-Counsel-01-22-2007/default.aspx" TargetMode="External"/><Relationship Id="rId114" Type="http://schemas.openxmlformats.org/officeDocument/2006/relationships/hyperlink" Target="https://s28.q4cdn.com/583965976/files/doc_news/2015/08/05/Pueblo-Viejo-Stream-FINAL-Aug-5-2015-LH.pdf" TargetMode="External"/><Relationship Id="rId119" Type="http://schemas.openxmlformats.org/officeDocument/2006/relationships/hyperlink" Target="https://s28.q4cdn.com/583965976/files/doc_news/2017/06/02/Peak-Gold-Resource-Estimate-2-(FINAL).pdf" TargetMode="External"/><Relationship Id="rId44" Type="http://schemas.openxmlformats.org/officeDocument/2006/relationships/hyperlink" Target="https://royalgold.com/investors/press-releases/press-release-details/2006/Royal-Gold-Increases-Interest-in-Taranis-Resources-Inc.-08-21-2006/default.aspx" TargetMode="External"/><Relationship Id="rId60" Type="http://schemas.openxmlformats.org/officeDocument/2006/relationships/hyperlink" Target="https://royalgold.com/investors/press-releases/press-release-details/2007/Royal-Gold-Completes-Acquisition-of-Battle-Mountain-10-25-2007/default.aspx" TargetMode="External"/><Relationship Id="rId65" Type="http://schemas.openxmlformats.org/officeDocument/2006/relationships/hyperlink" Target="https://royalgold.com/investors/press-releases/press-release-details/2008/Royal-Gold-Enters-Into-an-Agreement-to-Acquire-Royalty-Interests-on-Marigold-and-El-Chanate-Mines-From-AngloGold-Ashanti-01-24-2008/default.aspx" TargetMode="External"/><Relationship Id="rId81" Type="http://schemas.openxmlformats.org/officeDocument/2006/relationships/hyperlink" Target="https://royalgold.com/investors/press-releases/press-release-details/2010/Royal-Gold-Agrees-to-Acquire-25-Gold-Stream-on-the-Mt.-Milligan-Project-07-15-2010/default.aspx" TargetMode="External"/><Relationship Id="rId86" Type="http://schemas.openxmlformats.org/officeDocument/2006/relationships/hyperlink" Target="https://royalgold.com/investors/press-releases/press-release-details/2011/Royal-Gold-Increases-Gold-Stream-Interest-in-the-Mt.-Milligan-Project-12-15-2011/default.aspx" TargetMode="External"/><Relationship Id="rId130" Type="http://schemas.openxmlformats.org/officeDocument/2006/relationships/hyperlink" Target="https://s28.q4cdn.com/583965976/files/doc_news/2020/10/01/GSR-Restructure-October-1-2020-(FINAL)-LH-(002).pdf" TargetMode="External"/><Relationship Id="rId135" Type="http://schemas.openxmlformats.org/officeDocument/2006/relationships/hyperlink" Target="https://s28.q4cdn.com/583965976/files/GBR-Closing-Release-Sept-9-2022-(FINAL)-LH.pdf" TargetMode="External"/><Relationship Id="rId13" Type="http://schemas.openxmlformats.org/officeDocument/2006/relationships/hyperlink" Target="https://s28.q4cdn.com/583965976/files/doc_news/2001/08/21/2001-08-21.pdf" TargetMode="External"/><Relationship Id="rId18" Type="http://schemas.openxmlformats.org/officeDocument/2006/relationships/hyperlink" Target="https://s28.q4cdn.com/583965976/files/doc_news/2002/09/10/2002-09-10.pdf" TargetMode="External"/><Relationship Id="rId39" Type="http://schemas.openxmlformats.org/officeDocument/2006/relationships/hyperlink" Target="https://royalgold.com/investors/press-releases/press-release-details/2005/Royal-Gold-Completes-Strategic-Alliance-With-Taranis-Resources-11-10-2005/default.aspx" TargetMode="External"/><Relationship Id="rId109" Type="http://schemas.openxmlformats.org/officeDocument/2006/relationships/hyperlink" Target="https://s28.q4cdn.com/583965976/files/doc_news/2015/04/29/2015-Press-Release-2014-YE-Reserves-Apr-30-2015-FINAL-(LH)_v002_c68i9y.pdf" TargetMode="External"/><Relationship Id="rId34" Type="http://schemas.openxmlformats.org/officeDocument/2006/relationships/hyperlink" Target="https://s28.q4cdn.com/583965976/files/doc_news/2004/07/15/2004-07-15.pdf" TargetMode="External"/><Relationship Id="rId50" Type="http://schemas.openxmlformats.org/officeDocument/2006/relationships/hyperlink" Target="https://royalgold.com/investors/press-releases/press-release-details/2007/Royal-Gold-Closes-Penasquito-Royalty-Transaction-01-24-2007/default.aspx" TargetMode="External"/><Relationship Id="rId55" Type="http://schemas.openxmlformats.org/officeDocument/2006/relationships/hyperlink" Target="https://royalgold.com/investors/press-releases/press-release-details/2007/Royal-Gold-Announces-Calendar-2007-Reserve-Increases-and-Production-Forecasts-From-Its-Royalty-Operators-04-10-2007/default.aspx" TargetMode="External"/><Relationship Id="rId76" Type="http://schemas.openxmlformats.org/officeDocument/2006/relationships/hyperlink" Target="https://royalgold.com/investors/press-releases/press-release-details/2010/Royal-Gold-Enters-into-a-New-100-Million-Term-Loan-Facility-Agreement-01-21-2010/default.aspx" TargetMode="External"/><Relationship Id="rId97" Type="http://schemas.openxmlformats.org/officeDocument/2006/relationships/hyperlink" Target="https://royalgold.com/investors/press-releases/press-release-details/2013/Royal-Gold-Provides-Update-on-Pascua-Lama-04-10-2013/default.aspx" TargetMode="External"/><Relationship Id="rId104" Type="http://schemas.openxmlformats.org/officeDocument/2006/relationships/hyperlink" Target="https://s28.q4cdn.com/583965976/files/doc_news/2014/07/10/071014-Mt-Milligan-Guidance-July-10-2014_FINAL-LH_v001_m15bag.pdf" TargetMode="External"/><Relationship Id="rId120" Type="http://schemas.openxmlformats.org/officeDocument/2006/relationships/hyperlink" Target="https://s28.q4cdn.com/583965976/files/doc_news/2017/06/02/Royal-Gold-Expands-Credit-Facility-FINAL-1.pdf" TargetMode="External"/><Relationship Id="rId125" Type="http://schemas.openxmlformats.org/officeDocument/2006/relationships/hyperlink" Target="https://s28.q4cdn.com/583965976/files/doc_news/2019/05/30/Reserves-Press-Release-FINAL-LH-May-30-2019.pdf" TargetMode="External"/><Relationship Id="rId141" Type="http://schemas.openxmlformats.org/officeDocument/2006/relationships/hyperlink" Target="https://s28.q4cdn.com/583965976/files/Penasquito-Preliminary-Agreement-Release-October-9-2023-FINAL-LH.pdf" TargetMode="External"/><Relationship Id="rId7" Type="http://schemas.openxmlformats.org/officeDocument/2006/relationships/hyperlink" Target="https://s28.q4cdn.com/583965976/files/doc_news/2000/11/09/2000-11-09.pdf" TargetMode="External"/><Relationship Id="rId71" Type="http://schemas.openxmlformats.org/officeDocument/2006/relationships/hyperlink" Target="https://royalgold.com/investors/press-releases/default.aspx" TargetMode="External"/><Relationship Id="rId92" Type="http://schemas.openxmlformats.org/officeDocument/2006/relationships/hyperlink" Target="https://royalgold.com/investors/press-releases/press-release-details/2012/Royal-Gold-Prices-325-Million-of-Senior-Convertible-Notes-06-14-2012/default.aspx" TargetMode="External"/><Relationship Id="rId2" Type="http://schemas.openxmlformats.org/officeDocument/2006/relationships/hyperlink" Target="https://s28.q4cdn.com/583965976/files/doc_news/2000/03/14/2000-03-14.pdf" TargetMode="External"/><Relationship Id="rId29" Type="http://schemas.openxmlformats.org/officeDocument/2006/relationships/hyperlink" Target="https://s28.q4cdn.com/583965976/files/doc_news/2003/06/24/2003-06-24b.pdf" TargetMode="External"/><Relationship Id="rId24" Type="http://schemas.openxmlformats.org/officeDocument/2006/relationships/hyperlink" Target="https://s28.q4cdn.com/583965976/files/doc_news/2003/03/04/2003-03-04.pdf" TargetMode="External"/><Relationship Id="rId40" Type="http://schemas.openxmlformats.org/officeDocument/2006/relationships/hyperlink" Target="https://royalgold.com/investors/press-releases/press-release-details/2005/Royal-Gold-Completes-Transaction-With-High-River-Gold-For-Its-Taparko-Project-12-05-2005/default.aspx" TargetMode="External"/><Relationship Id="rId45" Type="http://schemas.openxmlformats.org/officeDocument/2006/relationships/hyperlink" Target="https://royalgold.com/investors/press-releases/press-release-details/2006/Royal-Gold-Acquires-the-Gold-Hill-Royalty-From-Nevada-Star-Resource-Corp.--10-26-2006/default.aspx" TargetMode="External"/><Relationship Id="rId66" Type="http://schemas.openxmlformats.org/officeDocument/2006/relationships/hyperlink" Target="https://royalgold.com/investors/press-releases/press-release-details/2008/Royal-Gold-Exercises-Conversion-Right-for-Its-Mandatory-Preferred-Stock-Approves-a-Stock-Repurchase-Program-Amends-Its-Credit-Facility-01-25-2008/default.aspx" TargetMode="External"/><Relationship Id="rId87" Type="http://schemas.openxmlformats.org/officeDocument/2006/relationships/hyperlink" Target="https://royalgold.com/investors/press-releases/press-release-details/2011/Royal-Gold-Acquires-Gold-and-Silver-Interests-on-the-Tulsequah-Chief-Project-12-22-2011/default.aspx" TargetMode="External"/><Relationship Id="rId110" Type="http://schemas.openxmlformats.org/officeDocument/2006/relationships/hyperlink" Target="https://royalgold.com/investors/press-releases/press-release-details/2015/Royal-Gold-Acquires-Gold-Streams-on-Wassa-Bogoso-and-Prestea-from-Golden-Star-Resources-05-07-2015/default.aspx" TargetMode="External"/><Relationship Id="rId115" Type="http://schemas.openxmlformats.org/officeDocument/2006/relationships/hyperlink" Target="https://s28.q4cdn.com/583965976/files/doc_news/2015/09/29/Pueblo-Viejo-Stream-Closing-FINAL-Sept-29-2015-LH.pdf" TargetMode="External"/><Relationship Id="rId131" Type="http://schemas.openxmlformats.org/officeDocument/2006/relationships/hyperlink" Target="https://s28.q4cdn.com/583965976/files/doc_news/2021/06/30/NX-Gold-Acquisition-Release-June-30-2021-FINAL-(LH).pdf" TargetMode="External"/><Relationship Id="rId136" Type="http://schemas.openxmlformats.org/officeDocument/2006/relationships/hyperlink" Target="https://s28.q4cdn.com/583965976/files/Penasquito-Suspension-June-8-2023-FINAL-LH.pdf" TargetMode="External"/><Relationship Id="rId61" Type="http://schemas.openxmlformats.org/officeDocument/2006/relationships/hyperlink" Target="https://royalgold.com/investors/press-releases/press-release-details/2007/Royal-Gold-Acquires-Benso-Royalty-From-FairWest-Energy-Corporation-10-31-2007/default.aspx" TargetMode="External"/><Relationship Id="rId82" Type="http://schemas.openxmlformats.org/officeDocument/2006/relationships/hyperlink" Target="https://royalgold.com/investors/press-releases/press-release-details/2010/Royal-Gold-Announces-Completion-of-the-Mt.-Milligan-Gold-Stream-Acquisition-10-20-2010/default.aspx" TargetMode="External"/><Relationship Id="rId19" Type="http://schemas.openxmlformats.org/officeDocument/2006/relationships/hyperlink" Target="https://s28.q4cdn.com/583965976/files/doc_news/2002/09/27/2002-09-27.pdf" TargetMode="External"/><Relationship Id="rId14" Type="http://schemas.openxmlformats.org/officeDocument/2006/relationships/hyperlink" Target="https://s28.q4cdn.com/583965976/files/doc_news/2001/11/08/2001-11-08.pdf" TargetMode="External"/><Relationship Id="rId30" Type="http://schemas.openxmlformats.org/officeDocument/2006/relationships/hyperlink" Target="https://s28.q4cdn.com/583965976/files/doc_news/2003/12/01/2003-12-01.pdf" TargetMode="External"/><Relationship Id="rId35" Type="http://schemas.openxmlformats.org/officeDocument/2006/relationships/hyperlink" Target="https://s28.q4cdn.com/583965976/files/doc_news/2004/07/27/2004-07-27.pdf" TargetMode="External"/><Relationship Id="rId56" Type="http://schemas.openxmlformats.org/officeDocument/2006/relationships/hyperlink" Target="https://royalgold.com/investors/press-releases/press-release-details/2007/Royal-Gold-and-Battle-Mountain-Gold-Exploration-Sign-Definitive-Merger-Agreement--04-18-2007/default.aspx" TargetMode="External"/><Relationship Id="rId77" Type="http://schemas.openxmlformats.org/officeDocument/2006/relationships/hyperlink" Target="https://royalgold.com/investors/press-releases/press-release-details/2010/Royal-Gold-Announces-the-Completion-of-the-Andacollo-Gold-Transaction-01-25-2010/default.aspx" TargetMode="External"/><Relationship Id="rId100" Type="http://schemas.openxmlformats.org/officeDocument/2006/relationships/hyperlink" Target="https://royalgold.com/investors/press-releases/press-release-details/2013/Royal-Gold-Provides-Update-on-Pascua-Lama-10-31-2013/default.aspx" TargetMode="External"/><Relationship Id="rId105" Type="http://schemas.openxmlformats.org/officeDocument/2006/relationships/hyperlink" Target="https://s28.q4cdn.com/583965976/files/doc_news/2014/10/14/101414-RGLD-Mt-Milligan-Deliveries-FINAL-Oct-14-2014_v001_c0c5zu.pdf" TargetMode="External"/><Relationship Id="rId126" Type="http://schemas.openxmlformats.org/officeDocument/2006/relationships/hyperlink" Target="https://s28.q4cdn.com/583965976/files/doc_news/2019/10/30/Update-on-Mt-Milligan-FINAL-Oct-30-2019.pdf" TargetMode="External"/><Relationship Id="rId8" Type="http://schemas.openxmlformats.org/officeDocument/2006/relationships/hyperlink" Target="https://s28.q4cdn.com/583965976/files/doc_news/2000/12/19/2000-12-19.pdf" TargetMode="External"/><Relationship Id="rId51" Type="http://schemas.openxmlformats.org/officeDocument/2006/relationships/hyperlink" Target="https://royalgold.com/investors/press-releases/press-release-details/2007/Royal-Gold-to-Acquire-Battle-Mountain-Gold-Exploration-03-05-2007/default.aspx" TargetMode="External"/><Relationship Id="rId72" Type="http://schemas.openxmlformats.org/officeDocument/2006/relationships/hyperlink" Target="https://royalgold.com/investors/press-releases/press-release-details/2009/Royal-Gold-to-Acquire-Interest-in-the-Gold-Production-from-Teck-Comincos-Andacollo-Mine-in-Chile-04-06-2009/default.aspx" TargetMode="External"/><Relationship Id="rId93" Type="http://schemas.openxmlformats.org/officeDocument/2006/relationships/hyperlink" Target="https://royalgold.com/investors/press-releases/press-release-details/2012/Royal-Gold-Announces-Closing-of-2.875-Convertible-Senior-Notes-Offering-06-20-2012/default.aspx" TargetMode="External"/><Relationship Id="rId98" Type="http://schemas.openxmlformats.org/officeDocument/2006/relationships/hyperlink" Target="https://royalgold.com/investors/press-releases/press-release-details/2013/Royal-Gold-Announces-Reserve-and-Production-Forecasts-Associated-with-its-Interests-05-02-2013/default.aspx" TargetMode="External"/><Relationship Id="rId121" Type="http://schemas.openxmlformats.org/officeDocument/2006/relationships/hyperlink" Target="https://s28.q4cdn.com/583965976/files/doc_news/2017/12/27/Royal-Gold-Receives-Update-from-Mount-Milligan-FINAL-v2-LH.pdf" TargetMode="External"/><Relationship Id="rId142" Type="http://schemas.openxmlformats.org/officeDocument/2006/relationships/hyperlink" Target="https://s28.q4cdn.com/583965976/files/Additional-Agreement-with-Centerra-February-14-2024-FINAL-1-LH.pdf" TargetMode="External"/><Relationship Id="rId3" Type="http://schemas.openxmlformats.org/officeDocument/2006/relationships/hyperlink" Target="https://s28.q4cdn.com/583965976/files/doc_news/2000/08/03/2000-08-03.pdf" TargetMode="External"/><Relationship Id="rId25" Type="http://schemas.openxmlformats.org/officeDocument/2006/relationships/hyperlink" Target="https://s28.q4cdn.com/583965976/files/doc_news/2003/02/13/2003-02-13.pdf" TargetMode="External"/><Relationship Id="rId46" Type="http://schemas.openxmlformats.org/officeDocument/2006/relationships/hyperlink" Target="https://royalgold.com/investors/press-releases/press-release-details/2006/Royal-Gold-Closes-Gold-Hill-Royalty-Transaction--12-13-2006/default.aspx" TargetMode="External"/><Relationship Id="rId67" Type="http://schemas.openxmlformats.org/officeDocument/2006/relationships/hyperlink" Target="https://royalgold.com/investors/press-releases/press-release-details/2008/Royal-Gold-Announces-the-Closing-of-the-Marigold-and-El-Chanate-Mines-Royalty-Acquisition-02-22-2008/default.aspx" TargetMode="External"/><Relationship Id="rId116" Type="http://schemas.openxmlformats.org/officeDocument/2006/relationships/hyperlink" Target="https://royalgold.com/investors/press-releases/press-release-details/2015/Royal-Gold-Provides-Update-on-Pueblo-Viejo-11-23-2015/default.aspx" TargetMode="External"/><Relationship Id="rId137" Type="http://schemas.openxmlformats.org/officeDocument/2006/relationships/hyperlink" Target="https://s28.q4cdn.com/583965976/files/doc_news/2023/06/Serrote-and-Santa-Rita-Acquisition-Release-June-12-2023-FINAL-LH.pdf" TargetMode="External"/><Relationship Id="rId20" Type="http://schemas.openxmlformats.org/officeDocument/2006/relationships/hyperlink" Target="https://s28.q4cdn.com/583965976/files/doc_news/2002/08/15/2002-08-15.pdf" TargetMode="External"/><Relationship Id="rId41" Type="http://schemas.openxmlformats.org/officeDocument/2006/relationships/hyperlink" Target="https://royalgold.com/investors/press-releases/press-release-details/2005/Royal-Gold-Agrees-To-Acquire-Royalties-From-Kennecott-Minerals-For-25.0-Million-12-23-2005/default.aspx" TargetMode="External"/><Relationship Id="rId62" Type="http://schemas.openxmlformats.org/officeDocument/2006/relationships/hyperlink" Target="https://royalgold.com/investors/press-releases/press-release-details/2007/Royal-Gold-Announces-Commencement-of-Public-Offering-of-Mandatory-Convertible-Preferred-Stock-11-05-2007/default.aspx" TargetMode="External"/><Relationship Id="rId83" Type="http://schemas.openxmlformats.org/officeDocument/2006/relationships/hyperlink" Target="https://royalgold.com/investors/press-releases/press-release-details/2011/Royal-Gold-Amends-its-Revolving-Credit-Facility-and-Term-Loan-02-02-2011/default.aspx" TargetMode="External"/><Relationship Id="rId88" Type="http://schemas.openxmlformats.org/officeDocument/2006/relationships/hyperlink" Target="https://royalgold.com/investors/press-releases/press-release-details/2012/Royal-Gold-Announces-Reserve-and-Production-Forecasts-Associated-with-its-Interests-05-02-2012/default.aspx" TargetMode="External"/><Relationship Id="rId111" Type="http://schemas.openxmlformats.org/officeDocument/2006/relationships/hyperlink" Target="https://s28.q4cdn.com/583965976/files/doc_news/2015/07/09/Royal-Gold-Acquires-Gold-Stream-on-Tecks-Carmen-de-Andacollo-Mine-FINAL-July-9-2015-LH.pdf" TargetMode="External"/><Relationship Id="rId132" Type="http://schemas.openxmlformats.org/officeDocument/2006/relationships/hyperlink" Target="https://s28.q4cdn.com/583965976/files/doc_news/2021/08/11/Red-Chris-NSR-Acquisition-Release-August-11-2021-FINAL-LH.pdf" TargetMode="External"/><Relationship Id="rId15" Type="http://schemas.openxmlformats.org/officeDocument/2006/relationships/hyperlink" Target="https://s28.q4cdn.com/583965976/files/doc_news/2002/02/15/2002-03-08.pdf" TargetMode="External"/><Relationship Id="rId36" Type="http://schemas.openxmlformats.org/officeDocument/2006/relationships/hyperlink" Target="https://royalgold.com/investors/press-releases/press-release-details/2005/Royal-Gold-Announces-Reserve-Additions-and-Production-Estimates-from-its-Royalty-Operators-04-04-2005/default.aspx" TargetMode="External"/><Relationship Id="rId57" Type="http://schemas.openxmlformats.org/officeDocument/2006/relationships/hyperlink" Target="https://royalgold.com/investors/press-releases/press-release-details/2007/Royal-Gold-to-Begin-Receiving-Royalty-Revenue-From-High-River-Golds-Taparko-Mine-07-19-2007/default.aspx" TargetMode="External"/><Relationship Id="rId106" Type="http://schemas.openxmlformats.org/officeDocument/2006/relationships/hyperlink" Target="https://s28.q4cdn.com/583965976/files/doc_news/2014/10/21/102114-Royal-Gold-Acquires-Stream-on-Ilovitza-FINAL-(2)_v001_m41vlj.pdf" TargetMode="External"/><Relationship Id="rId127" Type="http://schemas.openxmlformats.org/officeDocument/2006/relationships/hyperlink" Target="https://s28.q4cdn.com/583965976/files/doc_news/2019/12/05/Andacollo-Strike-Update-Dec-5-2019-FINAL-LH.pdf" TargetMode="External"/><Relationship Id="rId10" Type="http://schemas.openxmlformats.org/officeDocument/2006/relationships/hyperlink" Target="https://s28.q4cdn.com/583965976/files/doc_news/2001/04/09/2001-04-09.pdf" TargetMode="External"/><Relationship Id="rId31" Type="http://schemas.openxmlformats.org/officeDocument/2006/relationships/hyperlink" Target="https://s28.q4cdn.com/583965976/files/doc_news/2003/12/29/2003-12-29.pdf" TargetMode="External"/><Relationship Id="rId52" Type="http://schemas.openxmlformats.org/officeDocument/2006/relationships/hyperlink" Target="https://royalgold.com/investors/press-releases/press-release-details/2007/Royal-Gold-Closes-Pascua-Lama-Royalty-Transaction-03-12-2007/default.aspx" TargetMode="External"/><Relationship Id="rId73" Type="http://schemas.openxmlformats.org/officeDocument/2006/relationships/hyperlink" Target="https://royalgold.com/investors/press-releases/press-release-details/2009/Royal-Gold-Announces-Common-Stock-Offering-04-06-2009/default.aspx" TargetMode="External"/><Relationship Id="rId78" Type="http://schemas.openxmlformats.org/officeDocument/2006/relationships/hyperlink" Target="https://royalgold.com/investors/press-releases/press-release-details/2010/Royal-Gold-Amends-Its-Term-Loan-and-Retires-Debentures-03-29-2010/default.aspx" TargetMode="External"/><Relationship Id="rId94" Type="http://schemas.openxmlformats.org/officeDocument/2006/relationships/hyperlink" Target="https://royalgold.com/investors/press-releases/press-release-details/2012/Royal-Gold-Provides-Update-on-Pascua-Lama-Construction-07-26-2012/default.aspx" TargetMode="External"/><Relationship Id="rId99" Type="http://schemas.openxmlformats.org/officeDocument/2006/relationships/hyperlink" Target="https://royalgold.com/investors/press-releases/press-release-details/2013/Royal-Gold-Provides-Update-on-Pascua-Lama-07-01-2013/default.aspx" TargetMode="External"/><Relationship Id="rId101" Type="http://schemas.openxmlformats.org/officeDocument/2006/relationships/hyperlink" Target="https://royalgold.com/investors/press-releases/press-release-details/2014/Royal-Gold-Acquires-Gold-Stream-on-Rubicon-Minerals-Phoenix-Gold-Project-02-11-2014/default.aspx" TargetMode="External"/><Relationship Id="rId122" Type="http://schemas.openxmlformats.org/officeDocument/2006/relationships/hyperlink" Target="https://s28.q4cdn.com/583965976/files/doc_news/2018/06/01/New-Org-structure-WEBSITE-June-1-2018.pdf" TargetMode="External"/><Relationship Id="rId4" Type="http://schemas.openxmlformats.org/officeDocument/2006/relationships/hyperlink" Target="https://s28.q4cdn.com/583965976/files/doc_news/2000/08/10/2000-08-10.pdf" TargetMode="External"/><Relationship Id="rId9" Type="http://schemas.openxmlformats.org/officeDocument/2006/relationships/hyperlink" Target="https://royalgold.com/investors/press-releases/press-release-details/2001/Royal-Gold-Reports-Second-Quarter-Profit-02-08-2001/default.aspx" TargetMode="External"/><Relationship Id="rId26" Type="http://schemas.openxmlformats.org/officeDocument/2006/relationships/hyperlink" Target="https://s28.q4cdn.com/583965976/files/doc_news/2003/05/08/2003-05-08.pdf" TargetMode="External"/><Relationship Id="rId47" Type="http://schemas.openxmlformats.org/officeDocument/2006/relationships/hyperlink" Target="https://royalgold.com/investors/press-releases/press-release-details/2006/Royal-Gold-Acquires-Penasquito-Royalty-and-Rights-to-Additional-Royalties-From-Minera-Kennecott-12-29-2006/default.aspx" TargetMode="External"/><Relationship Id="rId68" Type="http://schemas.openxmlformats.org/officeDocument/2006/relationships/hyperlink" Target="https://s28.q4cdn.com/583965976/files/doc_news/2008/07/31/856rl25511.PDF" TargetMode="External"/><Relationship Id="rId89" Type="http://schemas.openxmlformats.org/officeDocument/2006/relationships/hyperlink" Target="https://royalgold.com/investors/press-releases/press-release-details/2012/Royal-Gold-Acquires-Gold-Royalty-on-Ruby-Hill-Mine-in-Nevada-05-23-2012/default.aspx" TargetMode="External"/><Relationship Id="rId112" Type="http://schemas.openxmlformats.org/officeDocument/2006/relationships/hyperlink" Target="https://s28.q4cdn.com/583965976/files/doc_news/2015/07/09/Royal-Gold-Sells-Royalty-at-Carmen-de-Andacollo-FINAL-July-9-2015-LH.pdf" TargetMode="External"/><Relationship Id="rId133" Type="http://schemas.openxmlformats.org/officeDocument/2006/relationships/hyperlink" Target="https://s28.q4cdn.com/583965976/files/GBR-NSR-Acquisition-Release-July-11-2022-FINAL.1.pdf" TargetMode="External"/><Relationship Id="rId16" Type="http://schemas.openxmlformats.org/officeDocument/2006/relationships/hyperlink" Target="https://s28.q4cdn.com/583965976/files/doc_news/2002/03/08/2002-03-08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EEC7-F208-284C-830A-AF756081B9B9}">
  <dimension ref="B2:J145"/>
  <sheetViews>
    <sheetView topLeftCell="A79" zoomScale="156" workbookViewId="0">
      <selection activeCell="I146" sqref="I146"/>
    </sheetView>
  </sheetViews>
  <sheetFormatPr baseColWidth="10" defaultRowHeight="13"/>
  <cols>
    <col min="1" max="1" width="2" style="1" customWidth="1"/>
    <col min="2" max="2" width="27" style="1" customWidth="1"/>
    <col min="3" max="3" width="32.83203125" style="1" bestFit="1" customWidth="1"/>
    <col min="4" max="4" width="26" style="1" bestFit="1" customWidth="1"/>
    <col min="5" max="5" width="14.5" style="1" bestFit="1" customWidth="1"/>
    <col min="6" max="6" width="6.6640625" style="1" bestFit="1" customWidth="1"/>
    <col min="7" max="7" width="5.5" style="1" bestFit="1" customWidth="1"/>
    <col min="8" max="8" width="10.83203125" style="1"/>
    <col min="9" max="9" width="13.1640625" style="28" bestFit="1" customWidth="1"/>
    <col min="10" max="16384" width="10.83203125" style="1"/>
  </cols>
  <sheetData>
    <row r="2" spans="2:10">
      <c r="D2" s="27" t="s">
        <v>162</v>
      </c>
    </row>
    <row r="3" spans="2:10">
      <c r="C3" s="1" t="s">
        <v>241</v>
      </c>
    </row>
    <row r="4" spans="2:10">
      <c r="C4" s="1" t="s">
        <v>242</v>
      </c>
      <c r="E4" s="1" t="s">
        <v>0</v>
      </c>
      <c r="F4" s="2">
        <v>144</v>
      </c>
      <c r="I4" s="29" t="s">
        <v>183</v>
      </c>
    </row>
    <row r="5" spans="2:10">
      <c r="E5" s="1" t="s">
        <v>1</v>
      </c>
      <c r="F5" s="1">
        <v>65.756834999999995</v>
      </c>
      <c r="G5" s="1" t="s">
        <v>12</v>
      </c>
      <c r="I5" s="30">
        <v>36599</v>
      </c>
      <c r="J5" s="1" t="s">
        <v>184</v>
      </c>
    </row>
    <row r="6" spans="2:10">
      <c r="B6" s="3" t="s">
        <v>49</v>
      </c>
      <c r="E6" s="1" t="s">
        <v>2</v>
      </c>
      <c r="F6" s="1">
        <f>+F4*F5</f>
        <v>9468.9842399999998</v>
      </c>
      <c r="I6" s="30">
        <v>36741</v>
      </c>
      <c r="J6" s="1" t="s">
        <v>185</v>
      </c>
    </row>
    <row r="7" spans="2:10">
      <c r="B7" s="12" t="s">
        <v>58</v>
      </c>
      <c r="E7" s="1" t="s">
        <v>3</v>
      </c>
      <c r="F7" s="1">
        <v>127.88200000000001</v>
      </c>
      <c r="G7" s="1" t="str">
        <f>+G5</f>
        <v>Q324</v>
      </c>
      <c r="I7" s="30">
        <v>36748</v>
      </c>
      <c r="J7" s="1" t="s">
        <v>186</v>
      </c>
    </row>
    <row r="8" spans="2:10">
      <c r="B8" s="1" t="s">
        <v>65</v>
      </c>
      <c r="E8" s="1" t="s">
        <v>4</v>
      </c>
      <c r="G8" s="1" t="str">
        <f>+G7</f>
        <v>Q324</v>
      </c>
      <c r="I8" s="30">
        <v>36801</v>
      </c>
      <c r="J8" s="1" t="s">
        <v>187</v>
      </c>
    </row>
    <row r="9" spans="2:10">
      <c r="B9" s="14" t="s">
        <v>59</v>
      </c>
      <c r="E9" s="1" t="s">
        <v>5</v>
      </c>
      <c r="F9" s="1">
        <f>+F6-F7+F8</f>
        <v>9341.1022400000002</v>
      </c>
      <c r="I9" s="30">
        <v>36809</v>
      </c>
      <c r="J9" s="1" t="s">
        <v>188</v>
      </c>
    </row>
    <row r="10" spans="2:10">
      <c r="B10" s="14" t="s">
        <v>60</v>
      </c>
      <c r="I10" s="30">
        <v>36839</v>
      </c>
      <c r="J10" s="1" t="s">
        <v>189</v>
      </c>
    </row>
    <row r="11" spans="2:10">
      <c r="B11" s="1" t="s">
        <v>61</v>
      </c>
      <c r="I11" s="30">
        <v>36879</v>
      </c>
      <c r="J11" s="1" t="s">
        <v>190</v>
      </c>
    </row>
    <row r="12" spans="2:10">
      <c r="B12" s="14" t="s">
        <v>62</v>
      </c>
      <c r="E12" s="1" t="s">
        <v>195</v>
      </c>
      <c r="F12" s="1">
        <v>1981</v>
      </c>
      <c r="I12" s="30">
        <v>36930</v>
      </c>
      <c r="J12" s="1" t="s">
        <v>191</v>
      </c>
    </row>
    <row r="13" spans="2:10">
      <c r="B13" s="14" t="s">
        <v>63</v>
      </c>
      <c r="E13" s="1" t="s">
        <v>196</v>
      </c>
      <c r="F13" s="1" t="s">
        <v>197</v>
      </c>
      <c r="I13" s="30">
        <v>44295</v>
      </c>
      <c r="J13" s="1" t="s">
        <v>192</v>
      </c>
    </row>
    <row r="14" spans="2:10">
      <c r="B14" s="14" t="s">
        <v>64</v>
      </c>
      <c r="E14" s="1" t="s">
        <v>17</v>
      </c>
      <c r="I14" s="30">
        <v>37021</v>
      </c>
      <c r="J14" s="1" t="s">
        <v>193</v>
      </c>
    </row>
    <row r="15" spans="2:10">
      <c r="B15" s="12" t="s">
        <v>66</v>
      </c>
      <c r="E15" s="1" t="s">
        <v>18</v>
      </c>
      <c r="I15" s="30">
        <v>37112</v>
      </c>
      <c r="J15" s="1" t="s">
        <v>194</v>
      </c>
    </row>
    <row r="16" spans="2:10">
      <c r="B16" s="1" t="s">
        <v>67</v>
      </c>
      <c r="I16" s="30">
        <v>37124</v>
      </c>
      <c r="J16" s="1" t="s">
        <v>198</v>
      </c>
    </row>
    <row r="17" spans="2:10">
      <c r="B17" s="1" t="s">
        <v>68</v>
      </c>
      <c r="E17" s="3" t="s">
        <v>207</v>
      </c>
      <c r="I17" s="30">
        <v>37203</v>
      </c>
      <c r="J17" s="1" t="s">
        <v>199</v>
      </c>
    </row>
    <row r="18" spans="2:10">
      <c r="E18" s="1" t="s">
        <v>208</v>
      </c>
      <c r="F18" s="23">
        <v>0.93300000000000005</v>
      </c>
      <c r="I18" s="30">
        <v>37302</v>
      </c>
      <c r="J18" s="1" t="s">
        <v>200</v>
      </c>
    </row>
    <row r="19" spans="2:10">
      <c r="I19" s="30">
        <v>37323</v>
      </c>
      <c r="J19" s="1" t="s">
        <v>201</v>
      </c>
    </row>
    <row r="20" spans="2:10">
      <c r="B20" s="9" t="s">
        <v>19</v>
      </c>
      <c r="C20" s="10" t="s">
        <v>20</v>
      </c>
      <c r="D20" s="11" t="s">
        <v>21</v>
      </c>
      <c r="I20" s="30">
        <v>37348</v>
      </c>
      <c r="J20" s="1" t="s">
        <v>202</v>
      </c>
    </row>
    <row r="21" spans="2:10">
      <c r="B21" s="4" t="s">
        <v>22</v>
      </c>
      <c r="C21" s="1" t="s">
        <v>25</v>
      </c>
      <c r="D21" s="5" t="s">
        <v>28</v>
      </c>
      <c r="I21" s="30">
        <v>37483</v>
      </c>
    </row>
    <row r="22" spans="2:10">
      <c r="B22" s="4" t="s">
        <v>23</v>
      </c>
      <c r="C22" s="1" t="s">
        <v>26</v>
      </c>
      <c r="D22" s="5" t="s">
        <v>29</v>
      </c>
      <c r="I22" s="30">
        <v>37509</v>
      </c>
      <c r="J22" s="1" t="s">
        <v>203</v>
      </c>
    </row>
    <row r="23" spans="2:10">
      <c r="B23" s="6" t="s">
        <v>24</v>
      </c>
      <c r="C23" s="7" t="s">
        <v>27</v>
      </c>
      <c r="D23" s="8" t="s">
        <v>30</v>
      </c>
      <c r="I23" s="30">
        <v>37526</v>
      </c>
      <c r="J23" s="1" t="s">
        <v>204</v>
      </c>
    </row>
    <row r="24" spans="2:10">
      <c r="I24" s="30">
        <v>37571</v>
      </c>
      <c r="J24" s="1" t="s">
        <v>205</v>
      </c>
    </row>
    <row r="25" spans="2:10">
      <c r="B25" s="3" t="s">
        <v>75</v>
      </c>
      <c r="I25" s="30">
        <v>37596</v>
      </c>
      <c r="J25" s="1" t="s">
        <v>206</v>
      </c>
    </row>
    <row r="26" spans="2:10">
      <c r="B26" s="1" t="s">
        <v>81</v>
      </c>
      <c r="C26" s="1" t="s">
        <v>77</v>
      </c>
      <c r="I26" s="30">
        <v>37607</v>
      </c>
      <c r="J26" s="1" t="s">
        <v>209</v>
      </c>
    </row>
    <row r="27" spans="2:10">
      <c r="B27" s="1" t="s">
        <v>82</v>
      </c>
      <c r="C27" s="1" t="s">
        <v>78</v>
      </c>
      <c r="I27" s="30">
        <v>37665</v>
      </c>
      <c r="J27" s="1" t="s">
        <v>210</v>
      </c>
    </row>
    <row r="28" spans="2:10">
      <c r="B28" s="1" t="s">
        <v>83</v>
      </c>
      <c r="C28" s="1" t="s">
        <v>79</v>
      </c>
      <c r="I28" s="30">
        <v>37684</v>
      </c>
      <c r="J28" s="1" t="s">
        <v>211</v>
      </c>
    </row>
    <row r="29" spans="2:10">
      <c r="B29" s="1" t="s">
        <v>84</v>
      </c>
      <c r="C29" s="1" t="s">
        <v>80</v>
      </c>
      <c r="I29" s="30">
        <v>37749</v>
      </c>
      <c r="J29" s="1" t="s">
        <v>212</v>
      </c>
    </row>
    <row r="30" spans="2:10">
      <c r="B30" s="1" t="s">
        <v>85</v>
      </c>
      <c r="C30" s="1" t="s">
        <v>76</v>
      </c>
      <c r="I30" s="30">
        <v>37777</v>
      </c>
      <c r="J30" s="1" t="s">
        <v>213</v>
      </c>
    </row>
    <row r="31" spans="2:10">
      <c r="I31" s="30">
        <v>37788</v>
      </c>
      <c r="J31" s="1" t="s">
        <v>214</v>
      </c>
    </row>
    <row r="32" spans="2:10">
      <c r="I32" s="30">
        <v>37796</v>
      </c>
      <c r="J32" s="1" t="s">
        <v>215</v>
      </c>
    </row>
    <row r="33" spans="2:10">
      <c r="I33" s="30">
        <v>37956</v>
      </c>
      <c r="J33" s="1" t="s">
        <v>216</v>
      </c>
    </row>
    <row r="34" spans="2:10">
      <c r="B34" s="22" t="s">
        <v>86</v>
      </c>
      <c r="I34" s="30">
        <v>37984</v>
      </c>
      <c r="J34" s="1" t="s">
        <v>217</v>
      </c>
    </row>
    <row r="35" spans="2:10">
      <c r="B35" s="1" t="s">
        <v>87</v>
      </c>
      <c r="C35" s="1" t="s">
        <v>88</v>
      </c>
      <c r="I35" s="30">
        <v>38070</v>
      </c>
      <c r="J35" s="1" t="s">
        <v>218</v>
      </c>
    </row>
    <row r="36" spans="2:10">
      <c r="B36" s="1" t="s">
        <v>89</v>
      </c>
      <c r="C36" s="1" t="s">
        <v>90</v>
      </c>
      <c r="I36" s="30">
        <v>38090</v>
      </c>
      <c r="J36" s="1" t="s">
        <v>219</v>
      </c>
    </row>
    <row r="37" spans="2:10">
      <c r="C37" s="1" t="s">
        <v>91</v>
      </c>
      <c r="I37" s="30">
        <v>38183</v>
      </c>
      <c r="J37" s="1" t="s">
        <v>220</v>
      </c>
    </row>
    <row r="38" spans="2:10">
      <c r="B38" s="1" t="s">
        <v>92</v>
      </c>
      <c r="C38" s="1" t="s">
        <v>93</v>
      </c>
      <c r="I38" s="30">
        <v>38195</v>
      </c>
      <c r="J38" s="1" t="s">
        <v>221</v>
      </c>
    </row>
    <row r="39" spans="2:10">
      <c r="I39" s="30">
        <v>38446</v>
      </c>
      <c r="J39" s="1" t="s">
        <v>222</v>
      </c>
    </row>
    <row r="40" spans="2:10">
      <c r="B40" s="12" t="s">
        <v>101</v>
      </c>
      <c r="C40" s="12" t="s">
        <v>100</v>
      </c>
      <c r="I40" s="30">
        <v>38615</v>
      </c>
      <c r="J40" s="1" t="s">
        <v>223</v>
      </c>
    </row>
    <row r="41" spans="2:10">
      <c r="B41" s="1" t="s">
        <v>94</v>
      </c>
      <c r="C41" s="1" t="s">
        <v>98</v>
      </c>
      <c r="I41" s="30">
        <v>38643</v>
      </c>
      <c r="J41" s="1" t="s">
        <v>224</v>
      </c>
    </row>
    <row r="42" spans="2:10">
      <c r="B42" s="1" t="s">
        <v>95</v>
      </c>
      <c r="C42" s="1" t="s">
        <v>98</v>
      </c>
      <c r="I42" s="30">
        <v>38666</v>
      </c>
      <c r="J42" s="1" t="s">
        <v>225</v>
      </c>
    </row>
    <row r="43" spans="2:10">
      <c r="B43" s="1" t="s">
        <v>96</v>
      </c>
      <c r="C43" s="1" t="s">
        <v>99</v>
      </c>
      <c r="I43" s="30">
        <v>38691</v>
      </c>
      <c r="J43" s="1" t="s">
        <v>226</v>
      </c>
    </row>
    <row r="44" spans="2:10">
      <c r="B44" s="1" t="s">
        <v>97</v>
      </c>
      <c r="C44" s="1" t="s">
        <v>99</v>
      </c>
      <c r="I44" s="30">
        <v>38709</v>
      </c>
      <c r="J44" s="1" t="s">
        <v>227</v>
      </c>
    </row>
    <row r="45" spans="2:10">
      <c r="I45" s="30">
        <v>38722</v>
      </c>
      <c r="J45" s="1" t="s">
        <v>228</v>
      </c>
    </row>
    <row r="46" spans="2:10">
      <c r="B46" s="22" t="s">
        <v>102</v>
      </c>
      <c r="I46" s="30">
        <v>38775</v>
      </c>
      <c r="J46" s="1" t="s">
        <v>229</v>
      </c>
    </row>
    <row r="47" spans="2:10">
      <c r="B47" s="1" t="s">
        <v>103</v>
      </c>
      <c r="I47" s="30">
        <v>38950</v>
      </c>
      <c r="J47" s="1" t="s">
        <v>230</v>
      </c>
    </row>
    <row r="48" spans="2:10">
      <c r="B48" s="1" t="s">
        <v>104</v>
      </c>
      <c r="I48" s="30">
        <v>39016</v>
      </c>
      <c r="J48" s="1" t="s">
        <v>231</v>
      </c>
    </row>
    <row r="49" spans="2:10">
      <c r="I49" s="30">
        <v>39064</v>
      </c>
      <c r="J49" s="1" t="s">
        <v>232</v>
      </c>
    </row>
    <row r="50" spans="2:10">
      <c r="B50" s="1" t="s">
        <v>110</v>
      </c>
      <c r="C50" s="1" t="s">
        <v>111</v>
      </c>
      <c r="D50" s="1" t="s">
        <v>112</v>
      </c>
      <c r="E50" s="1" t="s">
        <v>113</v>
      </c>
      <c r="I50" s="30">
        <v>39080</v>
      </c>
      <c r="J50" s="1" t="s">
        <v>233</v>
      </c>
    </row>
    <row r="51" spans="2:10">
      <c r="B51" s="1" t="s">
        <v>95</v>
      </c>
      <c r="C51" s="1" t="s">
        <v>114</v>
      </c>
      <c r="D51" s="1" t="s">
        <v>118</v>
      </c>
      <c r="E51" s="23">
        <v>0.89</v>
      </c>
      <c r="I51" s="30">
        <v>39099</v>
      </c>
      <c r="J51" s="1" t="s">
        <v>234</v>
      </c>
    </row>
    <row r="52" spans="2:10">
      <c r="B52" s="1" t="s">
        <v>105</v>
      </c>
      <c r="C52" s="1" t="s">
        <v>115</v>
      </c>
      <c r="D52" s="1" t="s">
        <v>118</v>
      </c>
      <c r="E52" s="23">
        <v>0.9</v>
      </c>
      <c r="I52" s="30">
        <v>39104</v>
      </c>
      <c r="J52" s="1" t="s">
        <v>235</v>
      </c>
    </row>
    <row r="53" spans="2:10">
      <c r="B53" s="1" t="s">
        <v>94</v>
      </c>
      <c r="C53" s="1" t="s">
        <v>116</v>
      </c>
      <c r="D53" s="1" t="s">
        <v>118</v>
      </c>
      <c r="E53" s="24" t="s">
        <v>121</v>
      </c>
      <c r="I53" s="30">
        <v>39106</v>
      </c>
      <c r="J53" s="1" t="s">
        <v>236</v>
      </c>
    </row>
    <row r="54" spans="2:10">
      <c r="B54" s="1" t="s">
        <v>96</v>
      </c>
      <c r="C54" s="1" t="s">
        <v>117</v>
      </c>
      <c r="D54" s="1" t="s">
        <v>119</v>
      </c>
      <c r="E54" s="24" t="s">
        <v>120</v>
      </c>
      <c r="I54" s="30">
        <v>39146</v>
      </c>
      <c r="J54" s="1" t="s">
        <v>237</v>
      </c>
    </row>
    <row r="55" spans="2:10">
      <c r="B55" s="1" t="s">
        <v>106</v>
      </c>
      <c r="C55" s="1" t="s">
        <v>117</v>
      </c>
      <c r="D55" s="1" t="s">
        <v>119</v>
      </c>
      <c r="E55" s="23">
        <v>1</v>
      </c>
      <c r="I55" s="30">
        <v>39153</v>
      </c>
      <c r="J55" s="1" t="s">
        <v>238</v>
      </c>
    </row>
    <row r="56" spans="2:10">
      <c r="B56" s="1" t="s">
        <v>107</v>
      </c>
      <c r="C56" s="1" t="s">
        <v>114</v>
      </c>
      <c r="D56" s="1" t="s">
        <v>119</v>
      </c>
      <c r="E56" s="23">
        <v>0.995</v>
      </c>
      <c r="I56" s="30">
        <v>39168</v>
      </c>
      <c r="J56" s="1" t="s">
        <v>240</v>
      </c>
    </row>
    <row r="57" spans="2:10">
      <c r="B57" s="1" t="s">
        <v>108</v>
      </c>
      <c r="C57" s="1" t="s">
        <v>114</v>
      </c>
      <c r="D57" s="1" t="s">
        <v>119</v>
      </c>
      <c r="E57" s="23">
        <v>0.99</v>
      </c>
      <c r="I57" s="30">
        <v>39175</v>
      </c>
      <c r="J57" s="1" t="s">
        <v>239</v>
      </c>
    </row>
    <row r="58" spans="2:10">
      <c r="B58" s="1" t="s">
        <v>109</v>
      </c>
      <c r="C58" s="1" t="s">
        <v>114</v>
      </c>
      <c r="D58" s="1" t="s">
        <v>119</v>
      </c>
      <c r="E58" s="23">
        <v>0.995</v>
      </c>
      <c r="I58" s="30">
        <v>39182</v>
      </c>
      <c r="J58" s="1" t="s">
        <v>243</v>
      </c>
    </row>
    <row r="59" spans="2:10">
      <c r="I59" s="30">
        <v>39190</v>
      </c>
      <c r="J59" s="1" t="s">
        <v>244</v>
      </c>
    </row>
    <row r="60" spans="2:10">
      <c r="I60" s="30">
        <v>39261</v>
      </c>
      <c r="J60" s="1" t="s">
        <v>245</v>
      </c>
    </row>
    <row r="61" spans="2:10">
      <c r="B61" s="22" t="s">
        <v>122</v>
      </c>
      <c r="I61" s="30">
        <v>39282</v>
      </c>
      <c r="J61" s="1" t="s">
        <v>246</v>
      </c>
    </row>
    <row r="62" spans="2:10">
      <c r="B62" s="1" t="s">
        <v>123</v>
      </c>
      <c r="I62" s="30">
        <v>39303</v>
      </c>
      <c r="J62" s="1" t="s">
        <v>247</v>
      </c>
    </row>
    <row r="63" spans="2:10">
      <c r="B63" s="1" t="s">
        <v>124</v>
      </c>
      <c r="I63" s="30">
        <v>39380</v>
      </c>
      <c r="J63" s="1" t="s">
        <v>248</v>
      </c>
    </row>
    <row r="64" spans="2:10">
      <c r="I64" s="30">
        <v>39386</v>
      </c>
      <c r="J64" s="1" t="s">
        <v>249</v>
      </c>
    </row>
    <row r="65" spans="2:10">
      <c r="B65" s="1" t="s">
        <v>125</v>
      </c>
      <c r="I65" s="30">
        <v>39391</v>
      </c>
      <c r="J65" s="1" t="s">
        <v>250</v>
      </c>
    </row>
    <row r="66" spans="2:10">
      <c r="I66" s="30">
        <v>39395</v>
      </c>
      <c r="J66" s="1" t="s">
        <v>251</v>
      </c>
    </row>
    <row r="67" spans="2:10">
      <c r="B67" s="12" t="s">
        <v>126</v>
      </c>
      <c r="D67" s="1" t="s">
        <v>159</v>
      </c>
      <c r="E67" s="1" t="s">
        <v>160</v>
      </c>
      <c r="I67" s="30">
        <v>39421</v>
      </c>
      <c r="J67" s="1" t="s">
        <v>252</v>
      </c>
    </row>
    <row r="68" spans="2:10">
      <c r="B68" s="1" t="s">
        <v>127</v>
      </c>
      <c r="C68" s="1" t="s">
        <v>16</v>
      </c>
      <c r="I68" s="30">
        <v>39471</v>
      </c>
      <c r="J68" s="1" t="s">
        <v>253</v>
      </c>
    </row>
    <row r="69" spans="2:10">
      <c r="B69" s="1" t="s">
        <v>128</v>
      </c>
      <c r="C69" s="1" t="s">
        <v>132</v>
      </c>
      <c r="I69" s="30">
        <v>39472</v>
      </c>
      <c r="J69" s="1" t="s">
        <v>254</v>
      </c>
    </row>
    <row r="70" spans="2:10">
      <c r="B70" s="1" t="s">
        <v>129</v>
      </c>
      <c r="C70" s="1" t="s">
        <v>14</v>
      </c>
      <c r="I70" s="30">
        <v>39500</v>
      </c>
      <c r="J70" s="1" t="s">
        <v>255</v>
      </c>
    </row>
    <row r="71" spans="2:10">
      <c r="B71" s="1" t="s">
        <v>94</v>
      </c>
      <c r="C71" s="1" t="s">
        <v>15</v>
      </c>
      <c r="D71" s="1" t="s">
        <v>158</v>
      </c>
      <c r="E71" s="1" t="s">
        <v>161</v>
      </c>
      <c r="I71" s="30">
        <v>39660</v>
      </c>
      <c r="J71" s="1" t="s">
        <v>256</v>
      </c>
    </row>
    <row r="72" spans="2:10">
      <c r="B72" s="1" t="s">
        <v>130</v>
      </c>
      <c r="C72" s="1" t="s">
        <v>133</v>
      </c>
      <c r="I72" s="30">
        <v>39752</v>
      </c>
      <c r="J72" s="1" t="s">
        <v>257</v>
      </c>
    </row>
    <row r="73" spans="2:10">
      <c r="B73" s="1" t="s">
        <v>131</v>
      </c>
      <c r="C73" s="1" t="s">
        <v>134</v>
      </c>
      <c r="I73" s="30">
        <v>39867</v>
      </c>
      <c r="J73" s="1" t="s">
        <v>258</v>
      </c>
    </row>
    <row r="74" spans="2:10">
      <c r="I74" s="30">
        <v>39898</v>
      </c>
      <c r="J74" s="1" t="s">
        <v>259</v>
      </c>
    </row>
    <row r="75" spans="2:10">
      <c r="I75" s="30">
        <v>39909</v>
      </c>
      <c r="J75" s="1" t="s">
        <v>260</v>
      </c>
    </row>
    <row r="76" spans="2:10">
      <c r="I76" s="30">
        <v>39909</v>
      </c>
      <c r="J76" s="1" t="s">
        <v>261</v>
      </c>
    </row>
    <row r="77" spans="2:10">
      <c r="I77" s="30">
        <v>39910</v>
      </c>
      <c r="J77" s="1" t="s">
        <v>262</v>
      </c>
    </row>
    <row r="78" spans="2:10">
      <c r="I78" s="30">
        <v>39953</v>
      </c>
      <c r="J78" s="1" t="s">
        <v>263</v>
      </c>
    </row>
    <row r="79" spans="2:10">
      <c r="I79" s="30">
        <v>40199</v>
      </c>
      <c r="J79" s="1" t="s">
        <v>264</v>
      </c>
    </row>
    <row r="80" spans="2:10">
      <c r="I80" s="30">
        <v>40203</v>
      </c>
      <c r="J80" s="1" t="s">
        <v>265</v>
      </c>
    </row>
    <row r="81" spans="9:10">
      <c r="I81" s="30">
        <v>40266</v>
      </c>
      <c r="J81" s="1" t="s">
        <v>266</v>
      </c>
    </row>
    <row r="82" spans="9:10">
      <c r="I82" s="30">
        <v>40333</v>
      </c>
      <c r="J82" s="1" t="s">
        <v>211</v>
      </c>
    </row>
    <row r="83" spans="9:10">
      <c r="I83" s="30">
        <v>40365</v>
      </c>
      <c r="J83" s="1" t="s">
        <v>267</v>
      </c>
    </row>
    <row r="84" spans="9:10">
      <c r="I84" s="30">
        <v>40374</v>
      </c>
      <c r="J84" s="1" t="s">
        <v>268</v>
      </c>
    </row>
    <row r="85" spans="9:10">
      <c r="I85" s="30">
        <v>40471</v>
      </c>
      <c r="J85" s="1" t="s">
        <v>269</v>
      </c>
    </row>
    <row r="86" spans="9:10">
      <c r="I86" s="30">
        <v>40576</v>
      </c>
      <c r="J86" s="1" t="s">
        <v>270</v>
      </c>
    </row>
    <row r="87" spans="9:10">
      <c r="I87" s="30">
        <v>40668</v>
      </c>
      <c r="J87" s="1" t="s">
        <v>211</v>
      </c>
    </row>
    <row r="88" spans="9:10">
      <c r="I88" s="30">
        <v>40711</v>
      </c>
      <c r="J88" s="1" t="s">
        <v>271</v>
      </c>
    </row>
    <row r="89" spans="9:10">
      <c r="I89" s="30">
        <v>40892</v>
      </c>
      <c r="J89" s="1" t="s">
        <v>272</v>
      </c>
    </row>
    <row r="90" spans="9:10">
      <c r="I90" s="30">
        <v>40899</v>
      </c>
      <c r="J90" s="1" t="s">
        <v>273</v>
      </c>
    </row>
    <row r="91" spans="9:10">
      <c r="I91" s="30">
        <v>41031</v>
      </c>
      <c r="J91" s="1" t="s">
        <v>211</v>
      </c>
    </row>
    <row r="92" spans="9:10">
      <c r="I92" s="30">
        <v>41052</v>
      </c>
      <c r="J92" s="1" t="s">
        <v>274</v>
      </c>
    </row>
    <row r="93" spans="9:10">
      <c r="I93" s="30">
        <v>41059</v>
      </c>
      <c r="J93" s="1" t="s">
        <v>275</v>
      </c>
    </row>
    <row r="94" spans="9:10">
      <c r="I94" s="30">
        <v>41073</v>
      </c>
      <c r="J94" s="1" t="s">
        <v>276</v>
      </c>
    </row>
    <row r="95" spans="9:10">
      <c r="I95" s="30">
        <v>41074</v>
      </c>
      <c r="J95" s="1" t="s">
        <v>277</v>
      </c>
    </row>
    <row r="96" spans="9:10">
      <c r="I96" s="30">
        <v>41080</v>
      </c>
      <c r="J96" s="1" t="s">
        <v>278</v>
      </c>
    </row>
    <row r="97" spans="9:10">
      <c r="I97" s="30">
        <v>41116</v>
      </c>
      <c r="J97" s="1" t="s">
        <v>279</v>
      </c>
    </row>
    <row r="98" spans="9:10">
      <c r="I98" s="30">
        <v>41130</v>
      </c>
      <c r="J98" s="1" t="s">
        <v>280</v>
      </c>
    </row>
    <row r="99" spans="9:10">
      <c r="I99" s="30">
        <v>41134</v>
      </c>
      <c r="J99" s="1" t="s">
        <v>281</v>
      </c>
    </row>
    <row r="100" spans="9:10">
      <c r="I100" s="30">
        <v>41374</v>
      </c>
      <c r="J100" s="1" t="s">
        <v>282</v>
      </c>
    </row>
    <row r="101" spans="9:10">
      <c r="I101" s="30">
        <v>41396</v>
      </c>
      <c r="J101" s="1" t="s">
        <v>211</v>
      </c>
    </row>
    <row r="102" spans="9:10">
      <c r="I102" s="30">
        <v>41456</v>
      </c>
      <c r="J102" s="1" t="s">
        <v>283</v>
      </c>
    </row>
    <row r="103" spans="9:10">
      <c r="I103" s="30">
        <v>41578</v>
      </c>
      <c r="J103" s="1" t="s">
        <v>284</v>
      </c>
    </row>
    <row r="104" spans="9:10">
      <c r="I104" s="30">
        <v>41681</v>
      </c>
      <c r="J104" s="1" t="s">
        <v>285</v>
      </c>
    </row>
    <row r="105" spans="9:10">
      <c r="I105" s="30">
        <v>41739</v>
      </c>
      <c r="J105" s="1" t="s">
        <v>286</v>
      </c>
    </row>
    <row r="106" spans="9:10">
      <c r="I106" s="30">
        <v>41760</v>
      </c>
      <c r="J106" s="1" t="s">
        <v>287</v>
      </c>
    </row>
    <row r="107" spans="9:10">
      <c r="I107" s="30">
        <v>41830</v>
      </c>
      <c r="J107" s="1" t="s">
        <v>288</v>
      </c>
    </row>
    <row r="108" spans="9:10">
      <c r="I108" s="30">
        <v>41926</v>
      </c>
      <c r="J108" s="1" t="s">
        <v>289</v>
      </c>
    </row>
    <row r="109" spans="9:10">
      <c r="I109" s="30">
        <v>41933</v>
      </c>
      <c r="J109" s="1" t="s">
        <v>290</v>
      </c>
    </row>
    <row r="110" spans="9:10">
      <c r="I110" s="30">
        <v>42024</v>
      </c>
      <c r="J110" s="1" t="s">
        <v>291</v>
      </c>
    </row>
    <row r="111" spans="9:10">
      <c r="I111" s="30">
        <v>42110</v>
      </c>
      <c r="J111" s="1" t="s">
        <v>292</v>
      </c>
    </row>
    <row r="112" spans="9:10">
      <c r="I112" s="30">
        <v>42123</v>
      </c>
      <c r="J112" s="1" t="s">
        <v>293</v>
      </c>
    </row>
    <row r="113" spans="4:10">
      <c r="I113" s="30">
        <v>42131</v>
      </c>
      <c r="J113" s="1" t="s">
        <v>294</v>
      </c>
    </row>
    <row r="114" spans="4:10">
      <c r="D114" s="1">
        <v>2454</v>
      </c>
      <c r="I114" s="30">
        <v>42194</v>
      </c>
      <c r="J114" s="1" t="s">
        <v>295</v>
      </c>
    </row>
    <row r="115" spans="4:10">
      <c r="D115" s="1">
        <f>+D114+655+55</f>
        <v>3164</v>
      </c>
      <c r="I115" s="30">
        <v>42194</v>
      </c>
      <c r="J115" s="1" t="s">
        <v>296</v>
      </c>
    </row>
    <row r="116" spans="4:10">
      <c r="I116" s="30">
        <v>42205</v>
      </c>
      <c r="J116" s="1" t="s">
        <v>297</v>
      </c>
    </row>
    <row r="117" spans="4:10">
      <c r="I117" s="30">
        <v>42221</v>
      </c>
      <c r="J117" s="1" t="s">
        <v>298</v>
      </c>
    </row>
    <row r="118" spans="4:10">
      <c r="I118" s="30">
        <v>42276</v>
      </c>
      <c r="J118" s="1" t="s">
        <v>299</v>
      </c>
    </row>
    <row r="119" spans="4:10">
      <c r="I119" s="30">
        <v>42331</v>
      </c>
      <c r="J119" s="1" t="s">
        <v>300</v>
      </c>
    </row>
    <row r="120" spans="4:10">
      <c r="I120" s="30">
        <v>42487</v>
      </c>
      <c r="J120" s="1" t="s">
        <v>301</v>
      </c>
    </row>
    <row r="121" spans="4:10">
      <c r="I121" s="30">
        <v>42542</v>
      </c>
      <c r="J121" s="1" t="s">
        <v>302</v>
      </c>
    </row>
    <row r="122" spans="4:10">
      <c r="I122" s="30">
        <v>42888</v>
      </c>
      <c r="J122" s="1" t="s">
        <v>303</v>
      </c>
    </row>
    <row r="123" spans="4:10">
      <c r="I123" s="30">
        <v>42888</v>
      </c>
      <c r="J123" s="1" t="s">
        <v>304</v>
      </c>
    </row>
    <row r="124" spans="4:10">
      <c r="I124" s="30">
        <v>43096</v>
      </c>
      <c r="J124" s="1" t="s">
        <v>305</v>
      </c>
    </row>
    <row r="125" spans="4:10">
      <c r="I125" s="30">
        <v>43252</v>
      </c>
      <c r="J125" s="1" t="s">
        <v>306</v>
      </c>
    </row>
    <row r="126" spans="4:10">
      <c r="I126" s="30">
        <v>43357</v>
      </c>
      <c r="J126" s="1" t="s">
        <v>307</v>
      </c>
    </row>
    <row r="127" spans="4:10">
      <c r="I127" s="30">
        <v>43521</v>
      </c>
      <c r="J127" s="1" t="s">
        <v>308</v>
      </c>
    </row>
    <row r="128" spans="4:10">
      <c r="I128" s="30">
        <v>43615</v>
      </c>
      <c r="J128" s="1" t="s">
        <v>309</v>
      </c>
    </row>
    <row r="129" spans="9:10">
      <c r="I129" s="30">
        <v>43768</v>
      </c>
      <c r="J129" s="1" t="s">
        <v>310</v>
      </c>
    </row>
    <row r="130" spans="9:10">
      <c r="I130" s="30">
        <v>43804</v>
      </c>
      <c r="J130" s="1" t="s">
        <v>311</v>
      </c>
    </row>
    <row r="131" spans="9:10">
      <c r="I131" s="30">
        <v>43874</v>
      </c>
      <c r="J131" s="1" t="s">
        <v>312</v>
      </c>
    </row>
    <row r="132" spans="9:10">
      <c r="I132" s="30">
        <v>44104</v>
      </c>
      <c r="J132" s="1" t="s">
        <v>313</v>
      </c>
    </row>
    <row r="133" spans="9:10">
      <c r="I133" s="30">
        <v>44105</v>
      </c>
      <c r="J133" s="1" t="s">
        <v>314</v>
      </c>
    </row>
    <row r="134" spans="9:10">
      <c r="I134" s="30">
        <v>44377</v>
      </c>
      <c r="J134" s="1" t="s">
        <v>315</v>
      </c>
    </row>
    <row r="135" spans="9:10">
      <c r="I135" s="30">
        <v>44419</v>
      </c>
      <c r="J135" s="1" t="s">
        <v>316</v>
      </c>
    </row>
    <row r="136" spans="9:10">
      <c r="I136" s="30">
        <v>44753</v>
      </c>
      <c r="J136" s="1" t="s">
        <v>317</v>
      </c>
    </row>
    <row r="137" spans="9:10">
      <c r="I137" s="30">
        <v>44775</v>
      </c>
      <c r="J137" s="1" t="s">
        <v>318</v>
      </c>
    </row>
    <row r="138" spans="9:10">
      <c r="I138" s="30">
        <v>44813</v>
      </c>
      <c r="J138" s="1" t="s">
        <v>319</v>
      </c>
    </row>
    <row r="139" spans="9:10">
      <c r="I139" s="30">
        <v>45085</v>
      </c>
      <c r="J139" s="1" t="s">
        <v>320</v>
      </c>
    </row>
    <row r="140" spans="9:10">
      <c r="I140" s="30">
        <v>45089</v>
      </c>
      <c r="J140" s="1" t="s">
        <v>321</v>
      </c>
    </row>
    <row r="141" spans="9:10">
      <c r="I141" s="30">
        <v>45148</v>
      </c>
      <c r="J141" s="1" t="s">
        <v>322</v>
      </c>
    </row>
    <row r="142" spans="9:10">
      <c r="I142" s="30">
        <v>45159</v>
      </c>
      <c r="J142" s="1" t="s">
        <v>323</v>
      </c>
    </row>
    <row r="143" spans="9:10">
      <c r="I143" s="30">
        <v>45198</v>
      </c>
      <c r="J143" s="1" t="s">
        <v>323</v>
      </c>
    </row>
    <row r="144" spans="9:10">
      <c r="I144" s="30">
        <v>45208</v>
      </c>
      <c r="J144" s="1" t="s">
        <v>324</v>
      </c>
    </row>
    <row r="145" spans="9:10">
      <c r="I145" s="30">
        <v>45336</v>
      </c>
      <c r="J145" s="1" t="s">
        <v>325</v>
      </c>
    </row>
  </sheetData>
  <hyperlinks>
    <hyperlink ref="D2" r:id="rId1" xr:uid="{FAE5506F-048E-D945-B8C2-53E00560374E}"/>
    <hyperlink ref="I5" r:id="rId2" display="https://s28.q4cdn.com/583965976/files/doc_news/2000/03/14/2000-03-14.pdf" xr:uid="{6E6CC0A7-49E2-8441-8E9A-9DEE6C4CA9F1}"/>
    <hyperlink ref="I6" r:id="rId3" display="https://s28.q4cdn.com/583965976/files/doc_news/2000/08/03/2000-08-03.pdf" xr:uid="{3B12C65A-D37C-B046-A43E-E688BCB3ED1D}"/>
    <hyperlink ref="I7" r:id="rId4" display="https://s28.q4cdn.com/583965976/files/doc_news/2000/08/10/2000-08-10.pdf" xr:uid="{845F2415-5EF5-624E-893E-14933522617C}"/>
    <hyperlink ref="I8" r:id="rId5" display="https://s28.q4cdn.com/583965976/files/doc_news/2000/10/02/2000-10-02.pdf" xr:uid="{F6AABB56-EE59-F44C-B4BC-2B3657F80047}"/>
    <hyperlink ref="I9" r:id="rId6" display="https://s28.q4cdn.com/583965976/files/doc_news/2000/10/10/2000-10-10.pdf" xr:uid="{483F89B2-FB80-3247-A3A7-8B2EFF69D5BE}"/>
    <hyperlink ref="I10" r:id="rId7" display="https://s28.q4cdn.com/583965976/files/doc_news/2000/11/09/2000-11-09.pdf" xr:uid="{91055302-49FB-3F4C-A2A4-8BF61856E617}"/>
    <hyperlink ref="I11" r:id="rId8" display="https://s28.q4cdn.com/583965976/files/doc_news/2000/12/19/2000-12-19.pdf" xr:uid="{E04E9C00-C78F-8046-A4F0-61E07FE4FFA4}"/>
    <hyperlink ref="I12" r:id="rId9" display="https://royalgold.com/investors/press-releases/press-release-details/2001/Royal-Gold-Reports-Second-Quarter-Profit-02-08-2001/default.aspx" xr:uid="{27AF9E3B-8E82-124C-B014-41D03F4A26A6}"/>
    <hyperlink ref="I13" r:id="rId10" display="https://s28.q4cdn.com/583965976/files/doc_news/2001/04/09/2001-04-09.pdf" xr:uid="{01EE99A8-EDED-4949-AC3C-5A9228A3D97F}"/>
    <hyperlink ref="I14" r:id="rId11" display="https://s28.q4cdn.com/583965976/files/doc_news/2001/05/10/2001-05-10.pdf" xr:uid="{D34A2E48-3065-F742-A471-A95912AD6419}"/>
    <hyperlink ref="I15" r:id="rId12" display="https://s28.q4cdn.com/583965976/files/doc_news/2001/08/09/2001-08-09.pdf" xr:uid="{1CB4309C-E9DC-F34B-A97F-E3E250A96F2F}"/>
    <hyperlink ref="I16" r:id="rId13" display="https://s28.q4cdn.com/583965976/files/doc_news/2001/08/21/2001-08-21.pdf" xr:uid="{570377F1-A0F6-764D-8A1A-D034B324330C}"/>
    <hyperlink ref="I17" r:id="rId14" display="https://s28.q4cdn.com/583965976/files/doc_news/2001/11/08/2001-11-08.pdf" xr:uid="{7F24131E-42F3-E948-B744-45683CD3EA9F}"/>
    <hyperlink ref="I18" r:id="rId15" display="https://s28.q4cdn.com/583965976/files/doc_news/2002/02/15/2002-03-08.pdf" xr:uid="{6638BCE0-B3DA-284C-A330-AAEA946B8064}"/>
    <hyperlink ref="I19" r:id="rId16" display="https://s28.q4cdn.com/583965976/files/doc_news/2002/03/08/2002-03-08.pdf" xr:uid="{C16B1C33-8BCC-8B47-8E9C-22069AA7284E}"/>
    <hyperlink ref="I20" r:id="rId17" display="https://s28.q4cdn.com/583965976/files/doc_news/2002/04/02/2002-04-02.pdf" xr:uid="{7A62E09C-37F4-F84A-9D72-5DDE3A6694A3}"/>
    <hyperlink ref="I22" r:id="rId18" display="https://s28.q4cdn.com/583965976/files/doc_news/2002/09/10/2002-09-10.pdf" xr:uid="{102E480B-E316-B049-9E4E-F62247B262A7}"/>
    <hyperlink ref="I23" r:id="rId19" display="https://s28.q4cdn.com/583965976/files/doc_news/2002/09/27/2002-09-27.pdf" xr:uid="{7C9EB467-AD1D-D149-98D4-3457FD7C60F3}"/>
    <hyperlink ref="I21" r:id="rId20" display="https://s28.q4cdn.com/583965976/files/doc_news/2002/08/15/2002-08-15.pdf" xr:uid="{541A3AA7-A79E-3F4E-A2E6-CB3EA4D9CDC7}"/>
    <hyperlink ref="I24" r:id="rId21" display="https://s28.q4cdn.com/583965976/files/doc_news/2002/11/11/2002-11-11.pdf" xr:uid="{74600B22-FD1A-7D44-A2F6-309B3A55EA3E}"/>
    <hyperlink ref="I25" r:id="rId22" display="https://s28.q4cdn.com/583965976/files/doc_news/2002/12/06/2002-12-06.pdf" xr:uid="{775C6E48-BA21-4641-A52A-8291D457C11B}"/>
    <hyperlink ref="I26" r:id="rId23" display="https://s28.q4cdn.com/583965976/files/doc_news/2002/12/17/2002-12-17.pdf" xr:uid="{D543DC2C-D56D-4B4C-9FD7-BDC3D26B1EA8}"/>
    <hyperlink ref="I28" r:id="rId24" display="https://s28.q4cdn.com/583965976/files/doc_news/2003/03/04/2003-03-04.pdf" xr:uid="{CC8B7499-D092-3642-8D3D-48BEA234128B}"/>
    <hyperlink ref="I27" r:id="rId25" display="https://s28.q4cdn.com/583965976/files/doc_news/2003/02/13/2003-02-13.pdf" xr:uid="{4DCCAFAE-8CDC-C240-95DA-7459CB3D712D}"/>
    <hyperlink ref="I29" r:id="rId26" display="https://s28.q4cdn.com/583965976/files/doc_news/2003/05/08/2003-05-08.pdf" xr:uid="{159D3394-7235-964A-8953-7693BBA609B4}"/>
    <hyperlink ref="I30" r:id="rId27" display="https://s28.q4cdn.com/583965976/files/doc_news/2003/06/05/2003-06-05.pdf" xr:uid="{79528A7B-3E9A-A24D-9381-C1D4AB3A5BFB}"/>
    <hyperlink ref="I31" r:id="rId28" display="https://s28.q4cdn.com/583965976/files/doc_news/2003/06/16/2003-06-16.pdf" xr:uid="{0E72514F-05A6-B34F-84EE-7277F302028F}"/>
    <hyperlink ref="I32" r:id="rId29" display="https://s28.q4cdn.com/583965976/files/doc_news/2003/06/24/2003-06-24b.pdf" xr:uid="{E412FC01-E7CB-D242-B59E-65CE8B558E0C}"/>
    <hyperlink ref="I33" r:id="rId30" display="https://s28.q4cdn.com/583965976/files/doc_news/2003/12/01/2003-12-01.pdf" xr:uid="{2A19DA55-0FF3-D04A-A718-247AA40BB914}"/>
    <hyperlink ref="I34" r:id="rId31" display="https://s28.q4cdn.com/583965976/files/doc_news/2003/12/29/2003-12-29.pdf" xr:uid="{37908841-53A7-F946-9E45-0B8776CBBDF5}"/>
    <hyperlink ref="I35" r:id="rId32" display="https://s28.q4cdn.com/583965976/files/doc_news/2004/03/24/2004-03-24.pdf" xr:uid="{47913171-BC5A-3E4A-A491-5D342A1D5668}"/>
    <hyperlink ref="I36" r:id="rId33" display="https://s28.q4cdn.com/583965976/files/doc_news/2004/04/13/2004-04-13.pdf" xr:uid="{CCF02FE0-48CC-5141-AA81-909B5FF314F9}"/>
    <hyperlink ref="I37" r:id="rId34" display="https://s28.q4cdn.com/583965976/files/doc_news/2004/07/15/2004-07-15.pdf" xr:uid="{27673DA0-0596-3540-9BE6-D29F48B2606A}"/>
    <hyperlink ref="I38" r:id="rId35" display="https://s28.q4cdn.com/583965976/files/doc_news/2004/07/27/2004-07-27.pdf" xr:uid="{75B8A824-9C27-A049-A47E-0947AF90175F}"/>
    <hyperlink ref="I39" r:id="rId36" display="https://royalgold.com/investors/press-releases/press-release-details/2005/Royal-Gold-Announces-Reserve-Additions-and-Production-Estimates-from-its-Royalty-Operators-04-04-2005/default.aspx" xr:uid="{16C6B12A-9246-DD4B-BFF7-C4686D8C8701}"/>
    <hyperlink ref="I40" r:id="rId37" display="https://royalgold.com/investors/press-releases/press-release-details/2005/Royal-Gold-Announces-Common-Stock-Offering-09-20-2005/default.aspx" xr:uid="{A6E34D28-9C3A-864C-A2EF-84B4EB8C17AC}"/>
    <hyperlink ref="I41" r:id="rId38" display="https://royalgold.com/investors/press-releases/press-release-details/2005/Royal-Gold-Signs-Term-Sheet-For-Financing-High-River-Golds-Taparko-Project-10-18-2005/default.aspx" xr:uid="{233FD1D2-57EF-A344-B462-527A25E67044}"/>
    <hyperlink ref="I42" r:id="rId39" display="https://royalgold.com/investors/press-releases/press-release-details/2005/Royal-Gold-Completes-Strategic-Alliance-With-Taranis-Resources-11-10-2005/default.aspx" xr:uid="{C38480CC-F994-F148-8D26-B9859EA5858F}"/>
    <hyperlink ref="I43" r:id="rId40" display="https://royalgold.com/investors/press-releases/press-release-details/2005/Royal-Gold-Completes-Transaction-With-High-River-Gold-For-Its-Taparko-Project-12-05-2005/default.aspx" xr:uid="{A21EDDF6-4916-6E40-B3AC-6FDF45913FDE}"/>
    <hyperlink ref="I44" r:id="rId41" display="https://royalgold.com/investors/press-releases/press-release-details/2005/Royal-Gold-Agrees-To-Acquire-Royalties-From-Kennecott-Minerals-For-25.0-Million-12-23-2005/default.aspx" xr:uid="{440B4789-0755-214E-ACB2-E4A14BE06111}"/>
    <hyperlink ref="I45" r:id="rId42" display="https://royalgold.com/investors/press-releases/press-release-details/2006/Royal-Gold-Closes-Deal-To-Acquire-Royalties-From-Kennecott-Minerals-01-05-2006/default.aspx" xr:uid="{ED5C69A3-3DFD-F141-BBAF-1EDBB1D5D287}"/>
    <hyperlink ref="I46" r:id="rId43" display="https://royalgold.com/investors/press-releases/press-release-details/2006/Royal-Gold-Announces-Positive-Outlook-Despite-Forecasted-Production-Decline-At-The-Pipeline-Mining-Complex--02-27-2006/default.aspx" xr:uid="{2A5C72EB-E1B4-3942-A2C0-2C73CDD665E7}"/>
    <hyperlink ref="I47" r:id="rId44" display="https://royalgold.com/investors/press-releases/press-release-details/2006/Royal-Gold-Increases-Interest-in-Taranis-Resources-Inc.-08-21-2006/default.aspx" xr:uid="{903EBDE0-18A3-6E4A-823F-C47E5FB28E02}"/>
    <hyperlink ref="I48" r:id="rId45" display="https://royalgold.com/investors/press-releases/press-release-details/2006/Royal-Gold-Acquires-the-Gold-Hill-Royalty-From-Nevada-Star-Resource-Corp.--10-26-2006/default.aspx" xr:uid="{EB9C2D23-8F83-5140-8741-9E7C8A5B7B4F}"/>
    <hyperlink ref="I49" r:id="rId46" display="https://royalgold.com/investors/press-releases/press-release-details/2006/Royal-Gold-Closes-Gold-Hill-Royalty-Transaction--12-13-2006/default.aspx" xr:uid="{7921C735-C2C3-A349-9460-63AFA5A68450}"/>
    <hyperlink ref="I50" r:id="rId47" display="https://royalgold.com/investors/press-releases/press-release-details/2006/Royal-Gold-Acquires-Penasquito-Royalty-and-Rights-to-Additional-Royalties-From-Minera-Kennecott-12-29-2006/default.aspx" xr:uid="{215BBA4B-6A4A-8B4D-820E-8B9F6C1D3636}"/>
    <hyperlink ref="I51" r:id="rId48" display="https://royalgold.com/investors/press-releases/press-release-details/2007/Royal-Gold-Acquires-Royalty-on-Barrick-Gold-Corporations-Pascua-Lama-Gold-Project--01-17-2007/default.aspx" xr:uid="{AE6C76ED-AEFA-CE49-92B9-160BE6F90D21}"/>
    <hyperlink ref="I52" r:id="rId49" display="https://royalgold.com/investors/press-releases/press-release-details/2007/Royal-Gold-Appoints-Kirchhoff-as-General-Counsel-01-22-2007/default.aspx" xr:uid="{3790B3F9-AA65-CF46-A1E6-B942A2962272}"/>
    <hyperlink ref="I53" r:id="rId50" display="https://royalgold.com/investors/press-releases/press-release-details/2007/Royal-Gold-Closes-Penasquito-Royalty-Transaction-01-24-2007/default.aspx" xr:uid="{10416F4B-45FB-1C4E-9467-6C4CB9A8A3AE}"/>
    <hyperlink ref="I54" r:id="rId51" display="https://royalgold.com/investors/press-releases/press-release-details/2007/Royal-Gold-to-Acquire-Battle-Mountain-Gold-Exploration-03-05-2007/default.aspx" xr:uid="{5C18C4D5-071D-4343-AC35-D4A67671CAB7}"/>
    <hyperlink ref="I55" r:id="rId52" display="https://royalgold.com/investors/press-releases/press-release-details/2007/Royal-Gold-Closes-Pascua-Lama-Royalty-Transaction-03-12-2007/default.aspx" xr:uid="{DC7BE76A-315A-9242-839F-71062D1D86AE}"/>
    <hyperlink ref="I56" r:id="rId53" display="https://royalgold.com/investors/press-releases/press-release-details/2007/Royal-Gold-Announces-Common-Stock-Offering-03-27-2007/default.aspx" xr:uid="{3B14F2C5-4641-D148-92BB-04DD9DE8AA0D}"/>
    <hyperlink ref="I57" r:id="rId54" display="https://royalgold.com/investors/press-releases/press-release-details/2007/Royal-Gold-Announces-Pricing-of-Public-Offering-of-Common-Stock-04-03-2007/default.aspx" xr:uid="{CEDD8C24-2E5C-D24D-B19E-C255C2C25EA8}"/>
    <hyperlink ref="I58" r:id="rId55" display="https://royalgold.com/investors/press-releases/press-release-details/2007/Royal-Gold-Announces-Calendar-2007-Reserve-Increases-and-Production-Forecasts-From-Its-Royalty-Operators-04-10-2007/default.aspx" xr:uid="{E28840C5-02C4-1141-B2F3-D3D0D9DD0552}"/>
    <hyperlink ref="I59" r:id="rId56" display="https://royalgold.com/investors/press-releases/press-release-details/2007/Royal-Gold-and-Battle-Mountain-Gold-Exploration-Sign-Definitive-Merger-Agreement--04-18-2007/default.aspx" xr:uid="{E3A56F8B-730F-1E4E-9FB9-C559C6413476}"/>
    <hyperlink ref="I61" r:id="rId57" display="https://royalgold.com/investors/press-releases/press-release-details/2007/Royal-Gold-to-Begin-Receiving-Royalty-Revenue-From-High-River-Golds-Taparko-Mine-07-19-2007/default.aspx" xr:uid="{F542A8D2-F1B4-3F49-880C-07E97C03131A}"/>
    <hyperlink ref="I60" r:id="rId58" display="https://royalgold.com/investors/press-releases/press-release-details/2007/Royal-Gold-Announces-Substantial-Increases-in-Reserves-At-Penasquito-Royalty-Property-06-28-2007/default.aspx" xr:uid="{1C4436F6-81DC-C64B-9050-BA36E8FC5E25}"/>
    <hyperlink ref="I62" r:id="rId59" display="https://royalgold.com/investors/press-releases/press-release-details/2007/Royal-Gold-Files-S-4-Registration-Statement-to-Advance-Merger-With-Battle-Mountain-Gold-Exploration-08-09-2007/default.aspx" xr:uid="{8DE2C28F-E61C-224D-A417-18F3982BD8A0}"/>
    <hyperlink ref="I63" r:id="rId60" display="https://royalgold.com/investors/press-releases/press-release-details/2007/Royal-Gold-Completes-Acquisition-of-Battle-Mountain-10-25-2007/default.aspx" xr:uid="{B20E4AC3-F974-974B-86A5-FA041E6629EE}"/>
    <hyperlink ref="I64" r:id="rId61" display="https://royalgold.com/investors/press-releases/press-release-details/2007/Royal-Gold-Acquires-Benso-Royalty-From-FairWest-Energy-Corporation-10-31-2007/default.aspx" xr:uid="{C5D6D94A-D875-A940-AECA-634B3E505885}"/>
    <hyperlink ref="I65" r:id="rId62" display="https://royalgold.com/investors/press-releases/press-release-details/2007/Royal-Gold-Announces-Commencement-of-Public-Offering-of-Mandatory-Convertible-Preferred-Stock-11-05-2007/default.aspx" xr:uid="{60AF01C8-B2E7-5B45-B99A-CA3B926D7F0A}"/>
    <hyperlink ref="I66" r:id="rId63" display="https://royalgold.com/investors/press-releases/press-release-details/2007/Royal-Gold-Announces-the-Closing-of-its-7.25-Mandatory-Convertible-Preferred-Stock-for-Gross-Proceeds-of-115-Million--11-09-2007/default.aspx" xr:uid="{74F1756A-6FEB-B442-BA50-46352370D463}"/>
    <hyperlink ref="I67" r:id="rId64" display="https://royalgold.com/investors/press-releases/press-release-details/2007/Royal-Gold-Announces-Impact-From-Goldcorps-Expansion-Plans-at-the-Penasquito-Project-12-05-2007/default.aspx" xr:uid="{17CCA8B8-7095-E645-A812-8A12243907EC}"/>
    <hyperlink ref="I68" r:id="rId65" display="https://royalgold.com/investors/press-releases/press-release-details/2008/Royal-Gold-Enters-Into-an-Agreement-to-Acquire-Royalty-Interests-on-Marigold-and-El-Chanate-Mines-From-AngloGold-Ashanti-01-24-2008/default.aspx" xr:uid="{B0B160A5-56F7-FD4F-88D2-C6EC395645F9}"/>
    <hyperlink ref="I69" r:id="rId66" display="https://royalgold.com/investors/press-releases/press-release-details/2008/Royal-Gold-Exercises-Conversion-Right-for-Its-Mandatory-Preferred-Stock-Approves-a-Stock-Repurchase-Program-Amends-Its-Credit-Facility-01-25-2008/default.aspx" xr:uid="{B4BFE92C-E419-7048-9E6D-D949209EC402}"/>
    <hyperlink ref="I70" r:id="rId67" display="https://royalgold.com/investors/press-releases/press-release-details/2008/Royal-Gold-Announces-the-Closing-of-the-Marigold-and-El-Chanate-Mines-Royalty-Acquisition-02-22-2008/default.aspx" xr:uid="{D8C71149-BCBF-E14C-A5AB-BF9707B80284}"/>
    <hyperlink ref="I71" r:id="rId68" display="https://s28.q4cdn.com/583965976/files/doc_news/2008/07/31/856rl25511.PDF" xr:uid="{6902EF1C-1B07-1E4F-9B38-AECC65F81E21}"/>
    <hyperlink ref="I72" r:id="rId69" display="https://royalgold.com/investors/press-releases/press-release-details/2008/Royal-Gold-Enters-Into-a-New-Credit-Facility-With-Increased-Availability-10-31-2008/default.aspx" xr:uid="{C5F54B91-2F49-EB4D-96B6-3EA313B8A5FB}"/>
    <hyperlink ref="I73" r:id="rId70" display="https://royalgold.com/investors/press-releases/press-release-details/2009/Royal-Gold-Announces-Reserve-Additions-at-Penasquito-and-Cortez-Royalty-Properties-02-23-2009/default.aspx" xr:uid="{83261061-2EBE-E14D-A196-D42B3FF34AFF}"/>
    <hyperlink ref="I74" r:id="rId71" display="https://royalgold.com/investors/press-releases/default.aspx" xr:uid="{AA815004-5D66-6A4F-85D0-13363B0732AF}"/>
    <hyperlink ref="I75" r:id="rId72" display="https://royalgold.com/investors/press-releases/press-release-details/2009/Royal-Gold-to-Acquire-Interest-in-the-Gold-Production-from-Teck-Comincos-Andacollo-Mine-in-Chile-04-06-2009/default.aspx" xr:uid="{1AB43CBD-2E2E-F24A-B65F-D52EE4872E4F}"/>
    <hyperlink ref="I76" r:id="rId73" display="https://royalgold.com/investors/press-releases/press-release-details/2009/Royal-Gold-Announces-Common-Stock-Offering-04-06-2009/default.aspx" xr:uid="{C10EEFEA-EF07-164A-A8DA-077272E8E12B}"/>
    <hyperlink ref="I77" r:id="rId74" display="https://royalgold.com/investors/press-releases/press-release-details/2009/Royal-Gold-Announces-Pricing-of-Common-Stock-Offering-04-07-2009/default.aspx" xr:uid="{81DAD004-77C0-6647-84D0-CA91B9BA6BC6}"/>
    <hyperlink ref="I78" r:id="rId75" display="https://royalgold.com/investors/press-releases/press-release-details/2009/Royal-Gold-Announces-Substantial-Reserve-Increases-and-Production-Forecasts-Associated-With-Its-Royalty-Interests-05-20-2009/default.aspx" xr:uid="{F53DF762-BD6E-8944-8FAE-693ED217C33D}"/>
    <hyperlink ref="I79" r:id="rId76" display="https://royalgold.com/investors/press-releases/press-release-details/2010/Royal-Gold-Enters-into-a-New-100-Million-Term-Loan-Facility-Agreement-01-21-2010/default.aspx" xr:uid="{0F865312-2C58-FC49-A1F5-B7A313CF0275}"/>
    <hyperlink ref="I80" r:id="rId77" display="https://royalgold.com/investors/press-releases/press-release-details/2010/Royal-Gold-Announces-the-Completion-of-the-Andacollo-Gold-Transaction-01-25-2010/default.aspx" xr:uid="{B23EE525-C178-9D44-A2A4-804D262FB793}"/>
    <hyperlink ref="I81" r:id="rId78" display="https://royalgold.com/investors/press-releases/press-release-details/2010/Royal-Gold-Amends-Its-Term-Loan-and-Retires-Debentures-03-29-2010/default.aspx" xr:uid="{AD7B621B-DA4E-6D4E-964B-08E47B13D935}"/>
    <hyperlink ref="I82" r:id="rId79" display="https://royalgold.com/investors/press-releases/press-release-details/2010/Royal-Gold-Announces-Substantial-Reserve-Increases-and-Production-Forecasts-Associated-with-Its-Royalty-Interests-06-04-2010/default.aspx" xr:uid="{0CB75B5F-0BA5-E74D-9283-6226DD65F761}"/>
    <hyperlink ref="I83" r:id="rId80" display="https://royalgold.com/investors/press-releases/press-release-details/2010/Royal-Gold-Acquires-Additional-Royalty-Interests-on-the-Pascua-Lama-Gold-Project-07-06-2010/default.aspx" xr:uid="{93ECB32B-6375-584F-89D8-ECFF5DB19F26}"/>
    <hyperlink ref="I84" r:id="rId81" display="https://royalgold.com/investors/press-releases/press-release-details/2010/Royal-Gold-Agrees-to-Acquire-25-Gold-Stream-on-the-Mt.-Milligan-Project-07-15-2010/default.aspx" xr:uid="{AB92C050-76FB-644E-B02E-9FA2B640EB1B}"/>
    <hyperlink ref="I85" r:id="rId82" display="https://royalgold.com/investors/press-releases/press-release-details/2010/Royal-Gold-Announces-Completion-of-the-Mt.-Milligan-Gold-Stream-Acquisition-10-20-2010/default.aspx" xr:uid="{035732F3-C17D-9947-A48D-38F20CD89518}"/>
    <hyperlink ref="I86" r:id="rId83" display="https://royalgold.com/investors/press-releases/press-release-details/2011/Royal-Gold-Amends-its-Revolving-Credit-Facility-and-Term-Loan-02-02-2011/default.aspx" xr:uid="{7E1622A8-4780-E345-8B8D-75086F986C5A}"/>
    <hyperlink ref="I87" r:id="rId84" display="https://royalgold.com/investors/press-releases/press-release-details/2011/Royal-Gold-Announces-Reserve-Increases-and-Production-Forecasts-Associated-with-its-Royalty-Interests-05-05-2011/default.aspx" xr:uid="{80BD7EA5-C9C6-6C4A-969C-03DD4D64C423}"/>
    <hyperlink ref="I88" r:id="rId85" display="https://royalgold.com/investors/press-releases/press-release-details/2011/Royal-Gold-Enters-into-an-Option-Agreement-to-Acquire-a-Royalty-on-the-Kerr-Sulphurets-Mitchell-Project-06-17-2011/default.aspx" xr:uid="{9FC1A216-E3A1-BE49-98A4-DFA8DDD3906B}"/>
    <hyperlink ref="I89" r:id="rId86" display="https://royalgold.com/investors/press-releases/press-release-details/2011/Royal-Gold-Increases-Gold-Stream-Interest-in-the-Mt.-Milligan-Project-12-15-2011/default.aspx" xr:uid="{A0F771E9-0F9C-1E4E-87DE-B86ABA970914}"/>
    <hyperlink ref="I90" r:id="rId87" display="https://royalgold.com/investors/press-releases/press-release-details/2011/Royal-Gold-Acquires-Gold-and-Silver-Interests-on-the-Tulsequah-Chief-Project-12-22-2011/default.aspx" xr:uid="{55D9722C-8B5C-E24A-AC93-145498AF34F1}"/>
    <hyperlink ref="I91" r:id="rId88" display="https://royalgold.com/investors/press-releases/press-release-details/2012/Royal-Gold-Announces-Reserve-and-Production-Forecasts-Associated-with-its-Interests-05-02-2012/default.aspx" xr:uid="{57097250-B24A-9D44-9EA7-7B7DC6C4E90F}"/>
    <hyperlink ref="I92" r:id="rId89" display="https://royalgold.com/investors/press-releases/press-release-details/2012/Royal-Gold-Acquires-Gold-Royalty-on-Ruby-Hill-Mine-in-Nevada-05-23-2012/default.aspx" xr:uid="{E56A325D-3A7B-DE49-A76E-81363BFBD53D}"/>
    <hyperlink ref="I93" r:id="rId90" display="https://royalgold.com/investors/press-releases/press-release-details/2012/Royal-Gold-Expands-and-Extends-Revolving-Credit-Facility-05-30-2012/default.aspx" xr:uid="{A2B0CE43-D95C-D548-8279-188CB146E550}"/>
    <hyperlink ref="I94" r:id="rId91" display="https://royalgold.com/investors/press-releases/press-release-details/2012/Royal-Gold-Announces-Proposed-325-Million-Convertible-Notes-Offering-06-13-2012/default.aspx" xr:uid="{D1C245CE-14CE-154E-9FFC-467BF1397D3C}"/>
    <hyperlink ref="I95" r:id="rId92" display="https://royalgold.com/investors/press-releases/press-release-details/2012/Royal-Gold-Prices-325-Million-of-Senior-Convertible-Notes-06-14-2012/default.aspx" xr:uid="{A468568A-4003-FF4B-B1CB-6077FB1A5B78}"/>
    <hyperlink ref="I96" r:id="rId93" display="https://royalgold.com/investors/press-releases/press-release-details/2012/Royal-Gold-Announces-Closing-of-2.875-Convertible-Senior-Notes-Offering-06-20-2012/default.aspx" xr:uid="{51D83CA3-BD3B-384A-B1FA-1E30EF2721C5}"/>
    <hyperlink ref="I97" r:id="rId94" display="https://royalgold.com/investors/press-releases/press-release-details/2012/Royal-Gold-Provides-Update-on-Pascua-Lama-Construction-07-26-2012/default.aspx" xr:uid="{C83EF857-62BF-8244-8B61-373940685667}"/>
    <hyperlink ref="I98" r:id="rId95" display="https://royalgold.com/investors/press-releases/press-release-details/2012/Royal-Gold-Increases-Gold-Stream-Interest-in-the-Mt.-Milligan-Project-to-52.25-08-09-2012/default.aspx" xr:uid="{247E341A-9F1E-EC4F-BA40-B45870D0227A}"/>
    <hyperlink ref="I99" r:id="rId96" display="https://royalgold.com/investors/press-releases/press-release-details/2012/Royal-Gold-Announces-Completion-of-Additional-Gold-Stream-Interest-at-Mt.-Milligan-08-13-2012/default.aspx" xr:uid="{2288A4B3-8A16-374F-84EE-AC9001DF2C6B}"/>
    <hyperlink ref="I100" r:id="rId97" display="https://royalgold.com/investors/press-releases/press-release-details/2013/Royal-Gold-Provides-Update-on-Pascua-Lama-04-10-2013/default.aspx" xr:uid="{212E466C-68AA-D244-9AE9-30CF0B72B7B9}"/>
    <hyperlink ref="I101" r:id="rId98" display="https://royalgold.com/investors/press-releases/press-release-details/2013/Royal-Gold-Announces-Reserve-and-Production-Forecasts-Associated-with-its-Interests-05-02-2013/default.aspx" xr:uid="{42D90782-67DE-EB44-AD21-4FD8951EA9CF}"/>
    <hyperlink ref="I102" r:id="rId99" display="https://royalgold.com/investors/press-releases/press-release-details/2013/Royal-Gold-Provides-Update-on-Pascua-Lama-07-01-2013/default.aspx" xr:uid="{734A391B-53E8-5949-9AD2-C38AF80B79D6}"/>
    <hyperlink ref="I103" r:id="rId100" display="https://royalgold.com/investors/press-releases/press-release-details/2013/Royal-Gold-Provides-Update-on-Pascua-Lama-10-31-2013/default.aspx" xr:uid="{EA7156CC-C5C6-D544-964E-94549745DBEB}"/>
    <hyperlink ref="I104" r:id="rId101" display="https://royalgold.com/investors/press-releases/press-release-details/2014/Royal-Gold-Acquires-Gold-Stream-on-Rubicon-Minerals-Phoenix-Gold-Project-02-11-2014/default.aspx" xr:uid="{D2580599-F99D-F540-AE14-7E86D91DE8C7}"/>
    <hyperlink ref="I105" r:id="rId102" display="https://royalgold.com/investors/press-releases/press-release-details/2014/Royal-Gold-Provides-Update-on-Mt.-Milligan-Stream-Deliveries-04-10-2014/default.aspx" xr:uid="{44506342-43C6-F04C-BD8D-5E3233AF8E09}"/>
    <hyperlink ref="I106" r:id="rId103" display="https://royalgold.com/investors/press-releases/press-release-details/2014/Royal-Gold-Announces-Reserve-and-Production-Forecasts-Associated-with-its-Interests-05-01-2014/default.aspx" xr:uid="{2DC9E216-DC69-DD4B-9266-CF4DB4A835E9}"/>
    <hyperlink ref="I107" r:id="rId104" display="https://s28.q4cdn.com/583965976/files/doc_news/2014/07/10/071014-Mt-Milligan-Guidance-July-10-2014_FINAL-LH_v001_m15bag.pdf" xr:uid="{FEC93F96-F218-D647-9D18-7B7DAFD3FF5D}"/>
    <hyperlink ref="I108" r:id="rId105" display="https://s28.q4cdn.com/583965976/files/doc_news/2014/10/14/101414-RGLD-Mt-Milligan-Deliveries-FINAL-Oct-14-2014_v001_c0c5zu.pdf" xr:uid="{C1E34025-EF14-C647-A3ED-973BE3278AF4}"/>
    <hyperlink ref="I109" r:id="rId106" display="https://s28.q4cdn.com/583965976/files/doc_news/2014/10/21/102114-Royal-Gold-Acquires-Stream-on-Ilovitza-FINAL-(2)_v001_m41vlj.pdf" xr:uid="{83B5A67F-B695-2D44-9E1C-6E69D6E6ED52}"/>
    <hyperlink ref="I110" r:id="rId107" display="https://royalgold.com/investors/press-releases/press-release-details/2015/Royal-Gold-Provides-Update-on-Two-Principal-Properties-01-20-2015/default.aspx" xr:uid="{BBFA9676-2803-3A47-A523-318F764D7863}"/>
    <hyperlink ref="I111" r:id="rId108" display="https://s28.q4cdn.com/583965976/files/doc_news/2015/04/16/041615-RGLD-Mt-Milligan-Deliveries-FINAL-LH_v001_p231v9.pdf" xr:uid="{90EC6EAF-09BB-B146-B96A-F8056B4AF98A}"/>
    <hyperlink ref="I112" r:id="rId109" display="https://s28.q4cdn.com/583965976/files/doc_news/2015/04/29/2015-Press-Release-2014-YE-Reserves-Apr-30-2015-FINAL-(LH)_v002_c68i9y.pdf" xr:uid="{A8737F44-D1BF-F04F-8EFE-3A380B649E4B}"/>
    <hyperlink ref="I113" r:id="rId110" display="https://royalgold.com/investors/press-releases/press-release-details/2015/Royal-Gold-Acquires-Gold-Streams-on-Wassa-Bogoso-and-Prestea-from-Golden-Star-Resources-05-07-2015/default.aspx" xr:uid="{5067EAA1-AD46-CA47-BA67-759646D15E17}"/>
    <hyperlink ref="I114" r:id="rId111" display="https://s28.q4cdn.com/583965976/files/doc_news/2015/07/09/Royal-Gold-Acquires-Gold-Stream-on-Tecks-Carmen-de-Andacollo-Mine-FINAL-July-9-2015-LH.pdf" xr:uid="{31816FAE-4B1F-9549-82AF-6E087C07FE30}"/>
    <hyperlink ref="I115" r:id="rId112" display="https://s28.q4cdn.com/583965976/files/doc_news/2015/07/09/Royal-Gold-Sells-Royalty-at-Carmen-de-Andacollo-FINAL-July-9-2015-LH.pdf" xr:uid="{1BF40952-ACE5-E34E-B366-86CE2AB8585A}"/>
    <hyperlink ref="I116" r:id="rId113" display="https://royalgold.com/investors/press-releases/press-release-details/2015/Royal-Gold-Acquires-Gold-and-Silver-Stream-on-New-Golds-Rainy-River-Project-07-20-2015/default.aspx" xr:uid="{832D062D-572C-AA43-8870-9763D6A72D93}"/>
    <hyperlink ref="I117" r:id="rId114" display="https://s28.q4cdn.com/583965976/files/doc_news/2015/08/05/Pueblo-Viejo-Stream-FINAL-Aug-5-2015-LH.pdf" xr:uid="{9864E024-E6D9-1D4C-A0AF-01D42DD21E79}"/>
    <hyperlink ref="I118" r:id="rId115" display="https://s28.q4cdn.com/583965976/files/doc_news/2015/09/29/Pueblo-Viejo-Stream-Closing-FINAL-Sept-29-2015-LH.pdf" xr:uid="{527E8A5C-0E6F-2142-A75F-DCF3AA2C3D8F}"/>
    <hyperlink ref="I119" r:id="rId116" display="https://royalgold.com/investors/press-releases/press-release-details/2015/Royal-Gold-Provides-Update-on-Pueblo-Viejo-11-23-2015/default.aspx" xr:uid="{36ED63DA-F08E-D747-A75B-3A3869FC4A51}"/>
    <hyperlink ref="I120" r:id="rId117" display="https://s28.q4cdn.com/583965976/files/doc_news/2016/04/27/2016-Press-Release-2015-YE-Reserves-FINAL-LH.pdf" xr:uid="{AD7F8D83-9277-3346-853B-7CC5E52ED2F5}"/>
    <hyperlink ref="I121" r:id="rId118" display="https://s28.q4cdn.com/583965976/files/doc_news/2016/06/21/TSX-Delisting-LH-June-2016-FINAL.pdf" xr:uid="{2E461FD0-B6B3-7B4C-897D-44E32E87FBC8}"/>
    <hyperlink ref="I122" r:id="rId119" display="https://s28.q4cdn.com/583965976/files/doc_news/2017/06/02/Peak-Gold-Resource-Estimate-2-(FINAL).pdf" xr:uid="{993CF414-1B4A-C04A-9EB2-6E672B83D048}"/>
    <hyperlink ref="I123" r:id="rId120" display="https://s28.q4cdn.com/583965976/files/doc_news/2017/06/02/Royal-Gold-Expands-Credit-Facility-FINAL-1.pdf" xr:uid="{C8964111-7DC5-854A-854E-38A24DA28125}"/>
    <hyperlink ref="I124" r:id="rId121" display="https://s28.q4cdn.com/583965976/files/doc_news/2017/12/27/Royal-Gold-Receives-Update-from-Mount-Milligan-FINAL-v2-LH.pdf" xr:uid="{4B9674E4-17A0-DE43-9206-10323360390B}"/>
    <hyperlink ref="I125" r:id="rId122" display="https://s28.q4cdn.com/583965976/files/doc_news/2018/06/01/New-Org-structure-WEBSITE-June-1-2018.pdf" xr:uid="{D7AE0239-9A64-254A-B511-9A2AD8C38019}"/>
    <hyperlink ref="I126" r:id="rId123" display="https://s28.q4cdn.com/583965976/files/doc_news/2018/09/19/Management-and-Gold-Forum-Press-Release-FINAL-LH-Sept-19-2018.pdf" xr:uid="{1E4DC7B9-39EF-714D-AEB8-C9A88C69890D}"/>
    <hyperlink ref="I127" r:id="rId124" display="https://s28.q4cdn.com/583965976/files/doc_news/2019/02/25/Royal-Gold-Announces-Acquisition-of-Project-Ivory-Silver-Stream-FINAL-v1-(LH)-Feb-25-2019.pdf" xr:uid="{6207F65E-4843-9444-8A6E-F459B98C5C55}"/>
    <hyperlink ref="I128" r:id="rId125" display="https://s28.q4cdn.com/583965976/files/doc_news/2019/05/30/Reserves-Press-Release-FINAL-LH-May-30-2019.pdf" xr:uid="{124A9B5E-B12B-1242-A91A-018F0D745706}"/>
    <hyperlink ref="I129" r:id="rId126" display="https://s28.q4cdn.com/583965976/files/doc_news/2019/10/30/Update-on-Mt-Milligan-FINAL-Oct-30-2019.pdf" xr:uid="{7A40F329-8EE9-7F4C-B1AA-C11F70355AD9}"/>
    <hyperlink ref="I130" r:id="rId127" display="https://s28.q4cdn.com/583965976/files/doc_news/2019/12/05/Andacollo-Strike-Update-Dec-5-2019-FINAL-LH.pdf" xr:uid="{EC4D4236-4060-5444-B22F-1C76BB1DE144}"/>
    <hyperlink ref="I131" r:id="rId128" display="https://s28.q4cdn.com/583965976/files/doc_news/2020/02/13/RR-Updated-LOM-Plan-Feb-13-2020-FINAL.pdf" xr:uid="{7087EEB4-22CA-3948-BB5F-EC4ED5E540F1}"/>
    <hyperlink ref="I132" r:id="rId129" display="https://s28.q4cdn.com/583965976/files/doc_news/2020/09/30/Peak-Divestment-September-30-2020-(FINAL.2)-LH.pdf" xr:uid="{E14C2372-389D-F74D-9FAC-38B6F6E91BE6}"/>
    <hyperlink ref="I133" r:id="rId130" display="https://s28.q4cdn.com/583965976/files/doc_news/2020/10/01/GSR-Restructure-October-1-2020-(FINAL)-LH-(002).pdf" xr:uid="{5155A533-ED99-F24E-9C67-9E8C5F0A618A}"/>
    <hyperlink ref="I134" r:id="rId131" display="https://s28.q4cdn.com/583965976/files/doc_news/2021/06/30/NX-Gold-Acquisition-Release-June-30-2021-FINAL-(LH).pdf" xr:uid="{09FF1C1B-95D8-C64C-BD64-F229DFFEE551}"/>
    <hyperlink ref="I135" r:id="rId132" display="https://s28.q4cdn.com/583965976/files/doc_news/2021/08/11/Red-Chris-NSR-Acquisition-Release-August-11-2021-FINAL-LH.pdf" xr:uid="{7AB14BD8-050B-6840-9AD2-9068E6C8BE42}"/>
    <hyperlink ref="I136" r:id="rId133" display="https://s28.q4cdn.com/583965976/files/GBR-NSR-Acquisition-Release-July-11-2022-FINAL.1.pdf" xr:uid="{F0B879E1-07AE-774F-A254-0EFB6455A12F}"/>
    <hyperlink ref="I137" r:id="rId134" display="https://s28.q4cdn.com/583965976/files/Cortez-Royalty-Acquisition-Release-August-2-2022-FINAL.1-LH.pdf" xr:uid="{12909FA9-C8B8-214D-96E2-6BC38009DB80}"/>
    <hyperlink ref="I138" r:id="rId135" display="https://s28.q4cdn.com/583965976/files/GBR-Closing-Release-Sept-9-2022-(FINAL)-LH.pdf" xr:uid="{45ACCD34-3E22-D74B-822E-304945585C38}"/>
    <hyperlink ref="I139" r:id="rId136" display="https://s28.q4cdn.com/583965976/files/Penasquito-Suspension-June-8-2023-FINAL-LH.pdf" xr:uid="{7A95D8B7-9D71-494E-9422-95A2CC08F6CE}"/>
    <hyperlink ref="I140" r:id="rId137" display="https://s28.q4cdn.com/583965976/files/doc_news/2023/06/Serrote-and-Santa-Rita-Acquisition-Release-June-12-2023-FINAL-LH.pdf" xr:uid="{560A5599-2020-3949-8940-5FC76FD67190}"/>
    <hyperlink ref="I141" r:id="rId138" display="https://s28.q4cdn.com/583965976/files/Serrote-and-Santa-Rita-Royalties-Update-Release-August-10-2023-FINAL-LH.pdf" xr:uid="{B6A56437-48C2-2E48-A4E9-33CF6F101FF1}"/>
    <hyperlink ref="I142" r:id="rId139" display="https://s28.q4cdn.com/583965976/files/Serrote-and-Santa-Rita-Royalties-Update-Release-August-21-2023-FINAL-REVISED-LH.pdf" xr:uid="{AAF95673-CC6C-8C49-9187-34597A4B45B3}"/>
    <hyperlink ref="I143" r:id="rId140" display="https://s28.q4cdn.com/583965976/files/Mars-Update-Release-September-29-2023-FINAL-LH.pdf" xr:uid="{71CD778D-0CF1-C441-BA7B-78AEAFD3E684}"/>
    <hyperlink ref="I144" r:id="rId141" display="https://s28.q4cdn.com/583965976/files/Penasquito-Preliminary-Agreement-Release-October-9-2023-FINAL-LH.pdf" xr:uid="{B42927A4-A040-9644-9A0C-249B1BF6E187}"/>
    <hyperlink ref="I145" r:id="rId142" display="https://s28.q4cdn.com/583965976/files/Additional-Agreement-with-Centerra-February-14-2024-FINAL-1-LH.pdf" xr:uid="{045E5FF4-4143-FE47-B248-8D5D66EAAEA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BE943-427C-674F-96A1-131A71553C49}">
  <dimension ref="A1"/>
  <sheetViews>
    <sheetView workbookViewId="0"/>
  </sheetViews>
  <sheetFormatPr baseColWidth="10" defaultRowHeight="1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6138E-AC5F-9C40-BD44-E7C1C036F97A}">
  <dimension ref="B2:IL97"/>
  <sheetViews>
    <sheetView tabSelected="1" zoomScale="135" zoomScaleNormal="90" workbookViewId="0">
      <pane xSplit="2" ySplit="2" topLeftCell="AN41" activePane="bottomRight" state="frozen"/>
      <selection pane="topRight" activeCell="C1" sqref="C1"/>
      <selection pane="bottomLeft" activeCell="A3" sqref="A3"/>
      <selection pane="bottomRight" activeCell="AX68" sqref="AX68"/>
    </sheetView>
  </sheetViews>
  <sheetFormatPr baseColWidth="10" defaultRowHeight="13"/>
  <cols>
    <col min="1" max="1" width="1.6640625" style="1" customWidth="1"/>
    <col min="2" max="2" width="21" style="1" bestFit="1" customWidth="1"/>
    <col min="3" max="5" width="7.6640625" style="1" bestFit="1" customWidth="1"/>
    <col min="6" max="9" width="9.1640625" style="1" bestFit="1" customWidth="1"/>
    <col min="10" max="10" width="7.6640625" style="1" bestFit="1" customWidth="1"/>
    <col min="11" max="11" width="5.5" style="1" bestFit="1" customWidth="1"/>
    <col min="12" max="14" width="5.5" style="1" customWidth="1"/>
    <col min="15" max="19" width="6.6640625" style="1" bestFit="1" customWidth="1"/>
    <col min="20" max="24" width="5.5" style="1" customWidth="1"/>
    <col min="25" max="26" width="7.6640625" style="1" bestFit="1" customWidth="1"/>
    <col min="27" max="30" width="5.5" style="1" customWidth="1"/>
    <col min="31" max="31" width="7.6640625" style="1" bestFit="1" customWidth="1"/>
    <col min="32" max="32" width="10.83203125" style="1"/>
    <col min="33" max="34" width="7.6640625" style="1" bestFit="1" customWidth="1"/>
    <col min="35" max="36" width="9.1640625" style="1" bestFit="1" customWidth="1"/>
    <col min="37" max="37" width="7.6640625" style="1" bestFit="1" customWidth="1"/>
    <col min="38" max="38" width="9.1640625" style="1" bestFit="1" customWidth="1"/>
    <col min="39" max="40" width="7.6640625" style="1" bestFit="1" customWidth="1"/>
    <col min="41" max="46" width="9.1640625" style="1" bestFit="1" customWidth="1"/>
    <col min="47" max="49" width="7.6640625" style="1" bestFit="1" customWidth="1"/>
    <col min="50" max="50" width="10.5" style="1" bestFit="1" customWidth="1"/>
    <col min="51" max="51" width="14.1640625" style="1" bestFit="1" customWidth="1"/>
    <col min="52" max="53" width="5.1640625" style="1" bestFit="1" customWidth="1"/>
    <col min="54" max="16384" width="10.83203125" style="1"/>
  </cols>
  <sheetData>
    <row r="2" spans="2:246" s="17" customFormat="1">
      <c r="C2" s="17" t="s">
        <v>6</v>
      </c>
      <c r="D2" s="17" t="s">
        <v>7</v>
      </c>
      <c r="E2" s="17" t="s">
        <v>8</v>
      </c>
      <c r="F2" s="17" t="s">
        <v>9</v>
      </c>
      <c r="G2" s="17" t="s">
        <v>10</v>
      </c>
      <c r="H2" s="17" t="s">
        <v>11</v>
      </c>
      <c r="I2" s="17" t="s">
        <v>12</v>
      </c>
      <c r="J2" s="17" t="s">
        <v>13</v>
      </c>
      <c r="L2" s="17">
        <v>1999</v>
      </c>
      <c r="M2" s="17">
        <v>2000</v>
      </c>
      <c r="N2" s="17">
        <v>2001</v>
      </c>
      <c r="O2" s="17">
        <v>2002</v>
      </c>
      <c r="P2" s="17">
        <v>2003</v>
      </c>
      <c r="Q2" s="17">
        <v>2004</v>
      </c>
      <c r="R2" s="17">
        <v>2005</v>
      </c>
      <c r="S2" s="17">
        <v>2006</v>
      </c>
      <c r="T2" s="17">
        <v>2007</v>
      </c>
      <c r="U2" s="17">
        <v>2008</v>
      </c>
      <c r="V2" s="17">
        <v>2009</v>
      </c>
      <c r="W2" s="17">
        <v>2010</v>
      </c>
      <c r="X2" s="17">
        <v>2011</v>
      </c>
      <c r="Y2" s="17">
        <v>2012</v>
      </c>
      <c r="Z2" s="17">
        <v>2013</v>
      </c>
      <c r="AA2" s="17">
        <v>2014</v>
      </c>
      <c r="AB2" s="17">
        <v>2015</v>
      </c>
      <c r="AC2" s="17">
        <v>2016</v>
      </c>
      <c r="AD2" s="17">
        <v>2017</v>
      </c>
      <c r="AE2" s="17">
        <v>2018</v>
      </c>
      <c r="AF2" s="17">
        <v>2019</v>
      </c>
      <c r="AG2" s="17">
        <v>2020</v>
      </c>
      <c r="AH2" s="17">
        <f>+AG2+1</f>
        <v>2021</v>
      </c>
      <c r="AI2" s="17">
        <f t="shared" ref="AI2:AT2" si="0">+AH2+1</f>
        <v>2022</v>
      </c>
      <c r="AJ2" s="17">
        <f t="shared" si="0"/>
        <v>2023</v>
      </c>
      <c r="AK2" s="17">
        <f t="shared" si="0"/>
        <v>2024</v>
      </c>
      <c r="AL2" s="17">
        <f t="shared" si="0"/>
        <v>2025</v>
      </c>
      <c r="AM2" s="17">
        <f t="shared" si="0"/>
        <v>2026</v>
      </c>
      <c r="AN2" s="17">
        <f t="shared" si="0"/>
        <v>2027</v>
      </c>
      <c r="AO2" s="17">
        <f t="shared" si="0"/>
        <v>2028</v>
      </c>
      <c r="AP2" s="17">
        <f t="shared" si="0"/>
        <v>2029</v>
      </c>
      <c r="AQ2" s="17">
        <f t="shared" si="0"/>
        <v>2030</v>
      </c>
      <c r="AR2" s="17">
        <f t="shared" si="0"/>
        <v>2031</v>
      </c>
      <c r="AS2" s="17">
        <f t="shared" si="0"/>
        <v>2032</v>
      </c>
      <c r="AT2" s="17">
        <f t="shared" si="0"/>
        <v>2033</v>
      </c>
      <c r="AU2" s="17">
        <f>+AT2+1</f>
        <v>2034</v>
      </c>
      <c r="AV2" s="17">
        <f>+AU2+1</f>
        <v>2035</v>
      </c>
      <c r="AW2" s="17">
        <f>+AV2+1</f>
        <v>2036</v>
      </c>
      <c r="AX2" s="17">
        <f t="shared" ref="AX2:BB2" si="1">+AW2+1</f>
        <v>2037</v>
      </c>
      <c r="AY2" s="17">
        <f t="shared" si="1"/>
        <v>2038</v>
      </c>
      <c r="AZ2" s="17">
        <f t="shared" si="1"/>
        <v>2039</v>
      </c>
      <c r="BA2" s="17">
        <f t="shared" si="1"/>
        <v>2040</v>
      </c>
      <c r="BB2" s="17">
        <f t="shared" si="1"/>
        <v>2041</v>
      </c>
      <c r="BC2" s="17">
        <f t="shared" ref="BC2:DN2" si="2">+BB2+1</f>
        <v>2042</v>
      </c>
      <c r="BD2" s="17">
        <f t="shared" si="2"/>
        <v>2043</v>
      </c>
      <c r="BE2" s="17">
        <f t="shared" si="2"/>
        <v>2044</v>
      </c>
      <c r="BF2" s="17">
        <f t="shared" si="2"/>
        <v>2045</v>
      </c>
      <c r="BG2" s="17">
        <f t="shared" si="2"/>
        <v>2046</v>
      </c>
      <c r="BH2" s="17">
        <f t="shared" si="2"/>
        <v>2047</v>
      </c>
      <c r="BI2" s="17">
        <f t="shared" si="2"/>
        <v>2048</v>
      </c>
      <c r="BJ2" s="17">
        <f t="shared" si="2"/>
        <v>2049</v>
      </c>
      <c r="BK2" s="17">
        <f t="shared" si="2"/>
        <v>2050</v>
      </c>
      <c r="BL2" s="17">
        <f t="shared" si="2"/>
        <v>2051</v>
      </c>
      <c r="BM2" s="17">
        <f t="shared" si="2"/>
        <v>2052</v>
      </c>
      <c r="BN2" s="17">
        <f t="shared" si="2"/>
        <v>2053</v>
      </c>
      <c r="BO2" s="17">
        <f t="shared" si="2"/>
        <v>2054</v>
      </c>
      <c r="BP2" s="17">
        <f t="shared" si="2"/>
        <v>2055</v>
      </c>
      <c r="BQ2" s="17">
        <f t="shared" si="2"/>
        <v>2056</v>
      </c>
      <c r="BR2" s="17">
        <f t="shared" si="2"/>
        <v>2057</v>
      </c>
      <c r="BS2" s="17">
        <f t="shared" si="2"/>
        <v>2058</v>
      </c>
      <c r="BT2" s="17">
        <f t="shared" si="2"/>
        <v>2059</v>
      </c>
      <c r="BU2" s="17">
        <f t="shared" si="2"/>
        <v>2060</v>
      </c>
      <c r="BV2" s="17">
        <f t="shared" si="2"/>
        <v>2061</v>
      </c>
      <c r="BW2" s="17">
        <f t="shared" si="2"/>
        <v>2062</v>
      </c>
      <c r="BX2" s="17">
        <f t="shared" si="2"/>
        <v>2063</v>
      </c>
      <c r="BY2" s="17">
        <f t="shared" si="2"/>
        <v>2064</v>
      </c>
      <c r="BZ2" s="17">
        <f t="shared" si="2"/>
        <v>2065</v>
      </c>
      <c r="CA2" s="17">
        <f t="shared" si="2"/>
        <v>2066</v>
      </c>
      <c r="CB2" s="17">
        <f t="shared" si="2"/>
        <v>2067</v>
      </c>
      <c r="CC2" s="17">
        <f t="shared" si="2"/>
        <v>2068</v>
      </c>
      <c r="CD2" s="17">
        <f t="shared" si="2"/>
        <v>2069</v>
      </c>
      <c r="CE2" s="17">
        <f t="shared" si="2"/>
        <v>2070</v>
      </c>
      <c r="CF2" s="17">
        <f t="shared" si="2"/>
        <v>2071</v>
      </c>
      <c r="CG2" s="17">
        <f t="shared" si="2"/>
        <v>2072</v>
      </c>
      <c r="CH2" s="17">
        <f t="shared" si="2"/>
        <v>2073</v>
      </c>
      <c r="CI2" s="17">
        <f t="shared" si="2"/>
        <v>2074</v>
      </c>
      <c r="CJ2" s="17">
        <f t="shared" si="2"/>
        <v>2075</v>
      </c>
      <c r="CK2" s="17">
        <f t="shared" si="2"/>
        <v>2076</v>
      </c>
      <c r="CL2" s="17">
        <f t="shared" si="2"/>
        <v>2077</v>
      </c>
      <c r="CM2" s="17">
        <f t="shared" si="2"/>
        <v>2078</v>
      </c>
      <c r="CN2" s="17">
        <f t="shared" si="2"/>
        <v>2079</v>
      </c>
      <c r="CO2" s="17">
        <f t="shared" si="2"/>
        <v>2080</v>
      </c>
      <c r="CP2" s="17">
        <f t="shared" si="2"/>
        <v>2081</v>
      </c>
      <c r="CQ2" s="17">
        <f t="shared" si="2"/>
        <v>2082</v>
      </c>
      <c r="CR2" s="17">
        <f t="shared" si="2"/>
        <v>2083</v>
      </c>
      <c r="CS2" s="17">
        <f t="shared" si="2"/>
        <v>2084</v>
      </c>
      <c r="CT2" s="17">
        <f t="shared" si="2"/>
        <v>2085</v>
      </c>
      <c r="CU2" s="17">
        <f t="shared" si="2"/>
        <v>2086</v>
      </c>
      <c r="CV2" s="17">
        <f t="shared" si="2"/>
        <v>2087</v>
      </c>
      <c r="CW2" s="17">
        <f t="shared" si="2"/>
        <v>2088</v>
      </c>
      <c r="CX2" s="17">
        <f t="shared" si="2"/>
        <v>2089</v>
      </c>
      <c r="CY2" s="17">
        <f t="shared" si="2"/>
        <v>2090</v>
      </c>
      <c r="CZ2" s="17">
        <f t="shared" si="2"/>
        <v>2091</v>
      </c>
      <c r="DA2" s="17">
        <f t="shared" si="2"/>
        <v>2092</v>
      </c>
      <c r="DB2" s="17">
        <f t="shared" si="2"/>
        <v>2093</v>
      </c>
      <c r="DC2" s="17">
        <f t="shared" si="2"/>
        <v>2094</v>
      </c>
      <c r="DD2" s="17">
        <f t="shared" si="2"/>
        <v>2095</v>
      </c>
      <c r="DE2" s="17">
        <f t="shared" si="2"/>
        <v>2096</v>
      </c>
      <c r="DF2" s="17">
        <f t="shared" si="2"/>
        <v>2097</v>
      </c>
      <c r="DG2" s="17">
        <f t="shared" si="2"/>
        <v>2098</v>
      </c>
      <c r="DH2" s="17">
        <f t="shared" si="2"/>
        <v>2099</v>
      </c>
      <c r="DI2" s="17">
        <f t="shared" si="2"/>
        <v>2100</v>
      </c>
      <c r="DJ2" s="17">
        <f t="shared" si="2"/>
        <v>2101</v>
      </c>
      <c r="DK2" s="17">
        <f t="shared" si="2"/>
        <v>2102</v>
      </c>
      <c r="DL2" s="17">
        <f t="shared" si="2"/>
        <v>2103</v>
      </c>
      <c r="DM2" s="17">
        <f t="shared" si="2"/>
        <v>2104</v>
      </c>
      <c r="DN2" s="17">
        <f t="shared" si="2"/>
        <v>2105</v>
      </c>
      <c r="DO2" s="17">
        <f t="shared" ref="DO2:FZ2" si="3">+DN2+1</f>
        <v>2106</v>
      </c>
      <c r="DP2" s="17">
        <f t="shared" si="3"/>
        <v>2107</v>
      </c>
      <c r="DQ2" s="17">
        <f t="shared" si="3"/>
        <v>2108</v>
      </c>
      <c r="DR2" s="17">
        <f t="shared" si="3"/>
        <v>2109</v>
      </c>
      <c r="DS2" s="17">
        <f t="shared" si="3"/>
        <v>2110</v>
      </c>
      <c r="DT2" s="17">
        <f t="shared" si="3"/>
        <v>2111</v>
      </c>
      <c r="DU2" s="17">
        <f t="shared" si="3"/>
        <v>2112</v>
      </c>
      <c r="DV2" s="17">
        <f t="shared" si="3"/>
        <v>2113</v>
      </c>
      <c r="DW2" s="17">
        <f t="shared" si="3"/>
        <v>2114</v>
      </c>
      <c r="DX2" s="17">
        <f t="shared" si="3"/>
        <v>2115</v>
      </c>
      <c r="DY2" s="17">
        <f t="shared" si="3"/>
        <v>2116</v>
      </c>
      <c r="DZ2" s="17">
        <f t="shared" si="3"/>
        <v>2117</v>
      </c>
      <c r="EA2" s="17">
        <f t="shared" si="3"/>
        <v>2118</v>
      </c>
      <c r="EB2" s="17">
        <f t="shared" si="3"/>
        <v>2119</v>
      </c>
      <c r="EC2" s="17">
        <f t="shared" si="3"/>
        <v>2120</v>
      </c>
      <c r="ED2" s="17">
        <f t="shared" si="3"/>
        <v>2121</v>
      </c>
      <c r="EE2" s="17">
        <f t="shared" si="3"/>
        <v>2122</v>
      </c>
      <c r="EF2" s="17">
        <f t="shared" si="3"/>
        <v>2123</v>
      </c>
      <c r="EG2" s="17">
        <f t="shared" si="3"/>
        <v>2124</v>
      </c>
      <c r="EH2" s="17">
        <f t="shared" si="3"/>
        <v>2125</v>
      </c>
      <c r="EI2" s="17">
        <f t="shared" si="3"/>
        <v>2126</v>
      </c>
      <c r="EJ2" s="17">
        <f t="shared" si="3"/>
        <v>2127</v>
      </c>
      <c r="EK2" s="17">
        <f t="shared" si="3"/>
        <v>2128</v>
      </c>
      <c r="EL2" s="17">
        <f t="shared" si="3"/>
        <v>2129</v>
      </c>
      <c r="EM2" s="17">
        <f t="shared" si="3"/>
        <v>2130</v>
      </c>
      <c r="EN2" s="17">
        <f t="shared" si="3"/>
        <v>2131</v>
      </c>
      <c r="EO2" s="17">
        <f t="shared" si="3"/>
        <v>2132</v>
      </c>
      <c r="EP2" s="17">
        <f t="shared" si="3"/>
        <v>2133</v>
      </c>
      <c r="EQ2" s="17">
        <f t="shared" si="3"/>
        <v>2134</v>
      </c>
      <c r="ER2" s="17">
        <f t="shared" si="3"/>
        <v>2135</v>
      </c>
      <c r="ES2" s="17">
        <f t="shared" si="3"/>
        <v>2136</v>
      </c>
      <c r="ET2" s="17">
        <f t="shared" si="3"/>
        <v>2137</v>
      </c>
      <c r="EU2" s="17">
        <f t="shared" si="3"/>
        <v>2138</v>
      </c>
      <c r="EV2" s="17">
        <f t="shared" si="3"/>
        <v>2139</v>
      </c>
      <c r="EW2" s="17">
        <f t="shared" si="3"/>
        <v>2140</v>
      </c>
      <c r="EX2" s="17">
        <f t="shared" si="3"/>
        <v>2141</v>
      </c>
      <c r="EY2" s="17">
        <f t="shared" si="3"/>
        <v>2142</v>
      </c>
      <c r="EZ2" s="17">
        <f t="shared" si="3"/>
        <v>2143</v>
      </c>
      <c r="FA2" s="17">
        <f t="shared" si="3"/>
        <v>2144</v>
      </c>
      <c r="FB2" s="17">
        <f t="shared" si="3"/>
        <v>2145</v>
      </c>
      <c r="FC2" s="17">
        <f t="shared" si="3"/>
        <v>2146</v>
      </c>
      <c r="FD2" s="17">
        <f t="shared" si="3"/>
        <v>2147</v>
      </c>
      <c r="FE2" s="17">
        <f t="shared" si="3"/>
        <v>2148</v>
      </c>
      <c r="FF2" s="17">
        <f t="shared" si="3"/>
        <v>2149</v>
      </c>
      <c r="FG2" s="17">
        <f t="shared" si="3"/>
        <v>2150</v>
      </c>
      <c r="FH2" s="17">
        <f t="shared" si="3"/>
        <v>2151</v>
      </c>
      <c r="FI2" s="17">
        <f t="shared" si="3"/>
        <v>2152</v>
      </c>
      <c r="FJ2" s="17">
        <f t="shared" si="3"/>
        <v>2153</v>
      </c>
      <c r="FK2" s="17">
        <f t="shared" si="3"/>
        <v>2154</v>
      </c>
      <c r="FL2" s="17">
        <f t="shared" si="3"/>
        <v>2155</v>
      </c>
      <c r="FM2" s="17">
        <f t="shared" si="3"/>
        <v>2156</v>
      </c>
      <c r="FN2" s="17">
        <f t="shared" si="3"/>
        <v>2157</v>
      </c>
      <c r="FO2" s="17">
        <f t="shared" si="3"/>
        <v>2158</v>
      </c>
      <c r="FP2" s="17">
        <f t="shared" si="3"/>
        <v>2159</v>
      </c>
      <c r="FQ2" s="17">
        <f t="shared" si="3"/>
        <v>2160</v>
      </c>
      <c r="FR2" s="17">
        <f t="shared" si="3"/>
        <v>2161</v>
      </c>
      <c r="FS2" s="17">
        <f t="shared" si="3"/>
        <v>2162</v>
      </c>
      <c r="FT2" s="17">
        <f t="shared" si="3"/>
        <v>2163</v>
      </c>
      <c r="FU2" s="17">
        <f t="shared" si="3"/>
        <v>2164</v>
      </c>
      <c r="FV2" s="17">
        <f t="shared" si="3"/>
        <v>2165</v>
      </c>
      <c r="FW2" s="17">
        <f t="shared" si="3"/>
        <v>2166</v>
      </c>
      <c r="FX2" s="17">
        <f t="shared" si="3"/>
        <v>2167</v>
      </c>
      <c r="FY2" s="17">
        <f t="shared" si="3"/>
        <v>2168</v>
      </c>
      <c r="FZ2" s="17">
        <f t="shared" si="3"/>
        <v>2169</v>
      </c>
      <c r="GA2" s="17">
        <f t="shared" ref="GA2:GJ2" si="4">+FZ2+1</f>
        <v>2170</v>
      </c>
      <c r="GB2" s="17">
        <f t="shared" si="4"/>
        <v>2171</v>
      </c>
      <c r="GC2" s="17">
        <f t="shared" si="4"/>
        <v>2172</v>
      </c>
      <c r="GD2" s="17">
        <f t="shared" si="4"/>
        <v>2173</v>
      </c>
      <c r="GE2" s="17">
        <f t="shared" si="4"/>
        <v>2174</v>
      </c>
      <c r="GF2" s="17">
        <f t="shared" si="4"/>
        <v>2175</v>
      </c>
      <c r="GG2" s="17">
        <f t="shared" si="4"/>
        <v>2176</v>
      </c>
      <c r="GH2" s="17">
        <f t="shared" si="4"/>
        <v>2177</v>
      </c>
      <c r="GI2" s="17">
        <f t="shared" si="4"/>
        <v>2178</v>
      </c>
      <c r="GJ2" s="17">
        <f t="shared" si="4"/>
        <v>2179</v>
      </c>
      <c r="GK2" s="17">
        <f t="shared" ref="GK2:IL2" si="5">+GJ2+1</f>
        <v>2180</v>
      </c>
      <c r="GL2" s="17">
        <f t="shared" si="5"/>
        <v>2181</v>
      </c>
      <c r="GM2" s="17">
        <f t="shared" si="5"/>
        <v>2182</v>
      </c>
      <c r="GN2" s="17">
        <f t="shared" si="5"/>
        <v>2183</v>
      </c>
      <c r="GO2" s="17">
        <f t="shared" si="5"/>
        <v>2184</v>
      </c>
      <c r="GP2" s="17">
        <f t="shared" si="5"/>
        <v>2185</v>
      </c>
      <c r="GQ2" s="17">
        <f t="shared" si="5"/>
        <v>2186</v>
      </c>
      <c r="GR2" s="17">
        <f t="shared" si="5"/>
        <v>2187</v>
      </c>
      <c r="GS2" s="17">
        <f t="shared" si="5"/>
        <v>2188</v>
      </c>
      <c r="GT2" s="17">
        <f t="shared" si="5"/>
        <v>2189</v>
      </c>
      <c r="GU2" s="17">
        <f t="shared" si="5"/>
        <v>2190</v>
      </c>
      <c r="GV2" s="17">
        <f t="shared" si="5"/>
        <v>2191</v>
      </c>
      <c r="GW2" s="17">
        <f t="shared" si="5"/>
        <v>2192</v>
      </c>
      <c r="GX2" s="17">
        <f t="shared" si="5"/>
        <v>2193</v>
      </c>
      <c r="GY2" s="17">
        <f t="shared" si="5"/>
        <v>2194</v>
      </c>
      <c r="GZ2" s="17">
        <f t="shared" si="5"/>
        <v>2195</v>
      </c>
      <c r="HA2" s="17">
        <f t="shared" si="5"/>
        <v>2196</v>
      </c>
      <c r="HB2" s="17">
        <f t="shared" si="5"/>
        <v>2197</v>
      </c>
      <c r="HC2" s="17">
        <f t="shared" si="5"/>
        <v>2198</v>
      </c>
      <c r="HD2" s="17">
        <f t="shared" si="5"/>
        <v>2199</v>
      </c>
      <c r="HE2" s="17">
        <f t="shared" si="5"/>
        <v>2200</v>
      </c>
      <c r="HF2" s="17">
        <f t="shared" si="5"/>
        <v>2201</v>
      </c>
      <c r="HG2" s="17">
        <f t="shared" si="5"/>
        <v>2202</v>
      </c>
      <c r="HH2" s="17">
        <f t="shared" si="5"/>
        <v>2203</v>
      </c>
      <c r="HI2" s="17">
        <f t="shared" si="5"/>
        <v>2204</v>
      </c>
      <c r="HJ2" s="17">
        <f t="shared" si="5"/>
        <v>2205</v>
      </c>
      <c r="HK2" s="17">
        <f t="shared" si="5"/>
        <v>2206</v>
      </c>
      <c r="HL2" s="17">
        <f t="shared" si="5"/>
        <v>2207</v>
      </c>
      <c r="HM2" s="17">
        <f t="shared" si="5"/>
        <v>2208</v>
      </c>
      <c r="HN2" s="17">
        <f t="shared" si="5"/>
        <v>2209</v>
      </c>
      <c r="HO2" s="17">
        <f t="shared" si="5"/>
        <v>2210</v>
      </c>
      <c r="HP2" s="17">
        <f t="shared" si="5"/>
        <v>2211</v>
      </c>
      <c r="HQ2" s="17">
        <f t="shared" si="5"/>
        <v>2212</v>
      </c>
      <c r="HR2" s="17">
        <f t="shared" si="5"/>
        <v>2213</v>
      </c>
      <c r="HS2" s="17">
        <f t="shared" si="5"/>
        <v>2214</v>
      </c>
      <c r="HT2" s="17">
        <f t="shared" si="5"/>
        <v>2215</v>
      </c>
      <c r="HU2" s="17">
        <f t="shared" si="5"/>
        <v>2216</v>
      </c>
      <c r="HV2" s="17">
        <f t="shared" si="5"/>
        <v>2217</v>
      </c>
      <c r="HW2" s="17">
        <f t="shared" si="5"/>
        <v>2218</v>
      </c>
      <c r="HX2" s="17">
        <f t="shared" si="5"/>
        <v>2219</v>
      </c>
      <c r="HY2" s="17">
        <f t="shared" si="5"/>
        <v>2220</v>
      </c>
      <c r="HZ2" s="17">
        <f t="shared" si="5"/>
        <v>2221</v>
      </c>
      <c r="IA2" s="17">
        <f t="shared" si="5"/>
        <v>2222</v>
      </c>
      <c r="IB2" s="17">
        <f t="shared" si="5"/>
        <v>2223</v>
      </c>
      <c r="IC2" s="17">
        <f t="shared" si="5"/>
        <v>2224</v>
      </c>
      <c r="ID2" s="17">
        <f t="shared" si="5"/>
        <v>2225</v>
      </c>
      <c r="IE2" s="17">
        <f t="shared" si="5"/>
        <v>2226</v>
      </c>
      <c r="IF2" s="17">
        <f t="shared" si="5"/>
        <v>2227</v>
      </c>
      <c r="IG2" s="17">
        <f t="shared" si="5"/>
        <v>2228</v>
      </c>
      <c r="IH2" s="17">
        <f t="shared" si="5"/>
        <v>2229</v>
      </c>
      <c r="II2" s="17">
        <f t="shared" si="5"/>
        <v>2230</v>
      </c>
      <c r="IJ2" s="17">
        <f t="shared" si="5"/>
        <v>2231</v>
      </c>
      <c r="IK2" s="17">
        <f t="shared" si="5"/>
        <v>2232</v>
      </c>
      <c r="IL2" s="17">
        <f t="shared" si="5"/>
        <v>2233</v>
      </c>
    </row>
    <row r="3" spans="2:246">
      <c r="B3" s="1" t="s">
        <v>94</v>
      </c>
      <c r="AE3" s="1">
        <v>133534</v>
      </c>
      <c r="AF3" s="1">
        <v>125121</v>
      </c>
      <c r="AG3" s="1">
        <v>149631</v>
      </c>
      <c r="AH3" s="1">
        <v>173114</v>
      </c>
      <c r="AI3" s="1">
        <v>180543</v>
      </c>
      <c r="AJ3" s="1">
        <v>158167</v>
      </c>
    </row>
    <row r="4" spans="2:246">
      <c r="B4" s="1" t="s">
        <v>135</v>
      </c>
      <c r="AF4" s="1">
        <v>26875</v>
      </c>
      <c r="AG4" s="1">
        <v>29139</v>
      </c>
      <c r="AH4" s="1">
        <v>37079</v>
      </c>
      <c r="AI4" s="1">
        <v>31826</v>
      </c>
      <c r="AJ4" s="1">
        <v>38794</v>
      </c>
    </row>
    <row r="5" spans="2:246" s="12" customFormat="1">
      <c r="B5" s="12" t="s">
        <v>136</v>
      </c>
      <c r="AE5" s="12">
        <f t="shared" ref="AE5:AJ5" si="6">+SUM(AE3:AE4)</f>
        <v>133534</v>
      </c>
      <c r="AF5" s="12">
        <f t="shared" si="6"/>
        <v>151996</v>
      </c>
      <c r="AG5" s="12">
        <f t="shared" si="6"/>
        <v>178770</v>
      </c>
      <c r="AH5" s="12">
        <f t="shared" si="6"/>
        <v>210193</v>
      </c>
      <c r="AI5" s="12">
        <f t="shared" si="6"/>
        <v>212369</v>
      </c>
      <c r="AJ5" s="12">
        <f t="shared" si="6"/>
        <v>196961</v>
      </c>
    </row>
    <row r="6" spans="2:246">
      <c r="B6" s="1" t="s">
        <v>96</v>
      </c>
      <c r="AE6" s="1">
        <v>95055</v>
      </c>
      <c r="AF6" s="1">
        <v>90359</v>
      </c>
      <c r="AG6" s="1">
        <v>110571</v>
      </c>
      <c r="AH6" s="1">
        <v>109716</v>
      </c>
      <c r="AI6" s="1">
        <v>85863</v>
      </c>
      <c r="AJ6" s="1">
        <v>76247</v>
      </c>
    </row>
    <row r="7" spans="2:246">
      <c r="B7" s="1" t="s">
        <v>127</v>
      </c>
      <c r="AF7" s="1">
        <v>75155</v>
      </c>
      <c r="AG7" s="1">
        <v>74225</v>
      </c>
      <c r="AH7" s="1">
        <v>68965</v>
      </c>
      <c r="AI7" s="1">
        <v>47347</v>
      </c>
      <c r="AJ7" s="1">
        <v>48920</v>
      </c>
    </row>
    <row r="8" spans="2:246">
      <c r="B8" s="1" t="s">
        <v>137</v>
      </c>
      <c r="AF8" s="1">
        <v>0</v>
      </c>
      <c r="AG8" s="1">
        <v>0</v>
      </c>
      <c r="AH8" s="1">
        <v>7746</v>
      </c>
      <c r="AI8" s="1">
        <v>18427</v>
      </c>
      <c r="AJ8" s="1">
        <v>25395</v>
      </c>
    </row>
    <row r="9" spans="2:246" s="12" customFormat="1">
      <c r="B9" s="12" t="s">
        <v>138</v>
      </c>
      <c r="AE9" s="12">
        <f t="shared" ref="AE9:AJ9" si="7">SUM(AE6:AE8)</f>
        <v>95055</v>
      </c>
      <c r="AF9" s="12">
        <f t="shared" si="7"/>
        <v>165514</v>
      </c>
      <c r="AG9" s="12">
        <f t="shared" si="7"/>
        <v>184796</v>
      </c>
      <c r="AH9" s="12">
        <f t="shared" si="7"/>
        <v>186427</v>
      </c>
      <c r="AI9" s="12">
        <f t="shared" si="7"/>
        <v>151637</v>
      </c>
      <c r="AJ9" s="12">
        <f t="shared" si="7"/>
        <v>150562</v>
      </c>
    </row>
    <row r="10" spans="2:246">
      <c r="B10" s="1" t="s">
        <v>129</v>
      </c>
      <c r="AF10" s="1">
        <v>0</v>
      </c>
      <c r="AG10" s="1">
        <v>0</v>
      </c>
      <c r="AH10" s="1">
        <v>5096</v>
      </c>
      <c r="AI10" s="1">
        <v>18786</v>
      </c>
      <c r="AJ10" s="1">
        <v>34602</v>
      </c>
    </row>
    <row r="11" spans="2:246">
      <c r="B11" s="1" t="s">
        <v>107</v>
      </c>
      <c r="AF11" s="1">
        <v>20427</v>
      </c>
      <c r="AG11" s="1">
        <v>28960</v>
      </c>
      <c r="AH11" s="1">
        <v>31594</v>
      </c>
      <c r="AI11" s="1">
        <v>31152</v>
      </c>
      <c r="AJ11" s="1">
        <v>32815</v>
      </c>
    </row>
    <row r="12" spans="2:246">
      <c r="B12" s="1" t="s">
        <v>109</v>
      </c>
      <c r="AF12" s="1">
        <v>6777</v>
      </c>
      <c r="AG12" s="1">
        <v>4960</v>
      </c>
      <c r="AH12" s="1">
        <v>3008</v>
      </c>
      <c r="AI12" s="1">
        <v>3849</v>
      </c>
      <c r="AJ12" s="1">
        <v>3340</v>
      </c>
    </row>
    <row r="13" spans="2:246" s="12" customFormat="1">
      <c r="B13" s="12" t="s">
        <v>139</v>
      </c>
      <c r="AE13" s="12">
        <f t="shared" ref="AE13:AJ13" si="8">+SUM(AE10:AE12)</f>
        <v>0</v>
      </c>
      <c r="AF13" s="12">
        <f t="shared" si="8"/>
        <v>27204</v>
      </c>
      <c r="AG13" s="12">
        <f t="shared" si="8"/>
        <v>33920</v>
      </c>
      <c r="AH13" s="12">
        <f t="shared" si="8"/>
        <v>39698</v>
      </c>
      <c r="AI13" s="12">
        <f t="shared" si="8"/>
        <v>53787</v>
      </c>
      <c r="AJ13" s="12">
        <f t="shared" si="8"/>
        <v>70757</v>
      </c>
    </row>
    <row r="15" spans="2:246" s="12" customFormat="1">
      <c r="B15" s="12" t="s">
        <v>140</v>
      </c>
      <c r="AF15" s="12">
        <f>SUM(AF5,AF9,AF13)</f>
        <v>344714</v>
      </c>
      <c r="AG15" s="12">
        <f>SUM(AG5,AG9,AG13)</f>
        <v>397486</v>
      </c>
      <c r="AH15" s="12">
        <f>SUM(AH5,AH9,AH13)</f>
        <v>436318</v>
      </c>
      <c r="AI15" s="12">
        <f>SUM(AI5,AI9,AI13)</f>
        <v>417793</v>
      </c>
      <c r="AJ15" s="12">
        <f>SUM(AJ5,AJ9,AJ13)</f>
        <v>418280</v>
      </c>
    </row>
    <row r="16" spans="2:246" s="25" customFormat="1">
      <c r="AG16" s="25">
        <f t="shared" ref="AG16:AI16" si="9">+AG15/AF15-1</f>
        <v>0.15308922759156873</v>
      </c>
      <c r="AH16" s="25">
        <f t="shared" si="9"/>
        <v>9.7694006832945046E-2</v>
      </c>
      <c r="AI16" s="25">
        <f t="shared" si="9"/>
        <v>-4.2457565353709925E-2</v>
      </c>
      <c r="AJ16" s="25">
        <f>+AJ15/AI15-1</f>
        <v>1.165649017575765E-3</v>
      </c>
    </row>
    <row r="17" spans="2:36" s="13" customFormat="1">
      <c r="B17" s="13" t="s">
        <v>141</v>
      </c>
      <c r="AF17" s="13">
        <v>9706</v>
      </c>
      <c r="AG17" s="13">
        <v>7654</v>
      </c>
      <c r="AH17" s="13">
        <v>18682</v>
      </c>
      <c r="AI17" s="13">
        <v>14450</v>
      </c>
      <c r="AJ17" s="13">
        <v>5309</v>
      </c>
    </row>
    <row r="18" spans="2:36" s="13" customFormat="1">
      <c r="B18" s="13" t="s">
        <v>142</v>
      </c>
      <c r="AF18" s="13">
        <v>0</v>
      </c>
      <c r="AG18" s="13">
        <v>0</v>
      </c>
      <c r="AH18" s="13">
        <v>0</v>
      </c>
      <c r="AI18" s="13">
        <v>3432</v>
      </c>
      <c r="AJ18" s="13">
        <v>3170</v>
      </c>
    </row>
    <row r="19" spans="2:36" s="13" customFormat="1">
      <c r="B19" s="13" t="s">
        <v>143</v>
      </c>
      <c r="AF19" s="13">
        <v>6745</v>
      </c>
      <c r="AG19" s="13">
        <v>7377</v>
      </c>
      <c r="AH19" s="13">
        <v>7526</v>
      </c>
      <c r="AI19" s="13">
        <v>4689</v>
      </c>
      <c r="AJ19" s="13">
        <v>1463</v>
      </c>
    </row>
    <row r="20" spans="2:36" s="13" customFormat="1">
      <c r="B20" s="13" t="s">
        <v>144</v>
      </c>
      <c r="AF20" s="13">
        <v>1810</v>
      </c>
      <c r="AG20" s="13">
        <v>2044</v>
      </c>
      <c r="AH20" s="13">
        <v>2169</v>
      </c>
      <c r="AI20" s="13">
        <v>2486</v>
      </c>
      <c r="AJ20" s="13">
        <v>2461</v>
      </c>
    </row>
    <row r="21" spans="2:36" s="13" customFormat="1">
      <c r="B21" s="13" t="s">
        <v>145</v>
      </c>
      <c r="AF21" s="13">
        <v>2252</v>
      </c>
      <c r="AG21" s="13">
        <v>3074</v>
      </c>
      <c r="AH21" s="13">
        <v>2278</v>
      </c>
      <c r="AI21" s="13">
        <v>882</v>
      </c>
      <c r="AJ21" s="13">
        <v>-987</v>
      </c>
    </row>
    <row r="22" spans="2:36" s="13" customFormat="1">
      <c r="B22" s="13" t="s">
        <v>146</v>
      </c>
      <c r="AF22" s="13">
        <v>11331</v>
      </c>
      <c r="AG22" s="13">
        <v>6875</v>
      </c>
      <c r="AH22" s="13">
        <v>1314</v>
      </c>
      <c r="AI22" s="13">
        <v>1271</v>
      </c>
      <c r="AJ22" s="13">
        <v>1296</v>
      </c>
    </row>
    <row r="23" spans="2:36" s="12" customFormat="1">
      <c r="B23" s="12" t="s">
        <v>136</v>
      </c>
      <c r="AE23" s="12">
        <f t="shared" ref="AE23:AJ23" si="10">+SUM(AE17:AE22)</f>
        <v>0</v>
      </c>
      <c r="AF23" s="12">
        <f t="shared" si="10"/>
        <v>31844</v>
      </c>
      <c r="AG23" s="12">
        <f t="shared" si="10"/>
        <v>27024</v>
      </c>
      <c r="AH23" s="12">
        <f t="shared" si="10"/>
        <v>31969</v>
      </c>
      <c r="AI23" s="12">
        <f t="shared" si="10"/>
        <v>27210</v>
      </c>
      <c r="AJ23" s="12">
        <f t="shared" si="10"/>
        <v>12712</v>
      </c>
    </row>
    <row r="24" spans="2:36" s="26" customFormat="1"/>
    <row r="25" spans="2:36" s="13" customFormat="1">
      <c r="B25" s="13" t="s">
        <v>147</v>
      </c>
      <c r="AF25" s="13">
        <v>16155</v>
      </c>
      <c r="AG25" s="13">
        <v>28444</v>
      </c>
      <c r="AH25" s="13">
        <v>56116</v>
      </c>
      <c r="AI25" s="13">
        <v>47769</v>
      </c>
      <c r="AJ25" s="13">
        <v>79920</v>
      </c>
    </row>
    <row r="26" spans="2:36" s="26" customFormat="1">
      <c r="B26" s="26" t="s">
        <v>148</v>
      </c>
      <c r="AF26" s="26">
        <v>0</v>
      </c>
      <c r="AG26" s="26">
        <v>0</v>
      </c>
      <c r="AH26" s="26">
        <v>0</v>
      </c>
      <c r="AI26" s="26">
        <v>2790</v>
      </c>
      <c r="AJ26" s="26">
        <v>14626</v>
      </c>
    </row>
    <row r="27" spans="2:36">
      <c r="B27" s="1" t="s">
        <v>149</v>
      </c>
      <c r="AF27" s="1">
        <v>8337</v>
      </c>
      <c r="AG27" s="1">
        <v>10669</v>
      </c>
      <c r="AH27" s="1">
        <v>13280</v>
      </c>
      <c r="AI27" s="1">
        <v>11659</v>
      </c>
      <c r="AJ27" s="1">
        <v>9109</v>
      </c>
    </row>
    <row r="28" spans="2:36">
      <c r="B28" s="1" t="s">
        <v>150</v>
      </c>
      <c r="AF28" s="1">
        <v>6057</v>
      </c>
      <c r="AG28" s="1">
        <v>8134</v>
      </c>
      <c r="AH28" s="1">
        <v>8284</v>
      </c>
      <c r="AI28" s="1">
        <v>6061</v>
      </c>
      <c r="AJ28" s="1">
        <v>5110</v>
      </c>
    </row>
    <row r="29" spans="2:36">
      <c r="B29" s="1" t="s">
        <v>151</v>
      </c>
      <c r="AF29" s="1">
        <v>1150</v>
      </c>
      <c r="AG29" s="1">
        <v>1584</v>
      </c>
      <c r="AH29" s="1">
        <v>5117</v>
      </c>
      <c r="AI29" s="1">
        <v>4004</v>
      </c>
      <c r="AJ29" s="1">
        <v>5712</v>
      </c>
    </row>
    <row r="30" spans="2:36">
      <c r="B30" s="1" t="s">
        <v>152</v>
      </c>
      <c r="AF30" s="1">
        <v>3359</v>
      </c>
      <c r="AG30" s="1">
        <v>3419</v>
      </c>
      <c r="AH30" s="1">
        <v>3045</v>
      </c>
      <c r="AI30" s="1">
        <v>3117</v>
      </c>
      <c r="AJ30" s="1">
        <v>1575</v>
      </c>
    </row>
    <row r="31" spans="2:36">
      <c r="B31" s="1" t="s">
        <v>153</v>
      </c>
      <c r="AF31" s="1">
        <v>2384</v>
      </c>
      <c r="AG31" s="1">
        <v>3340</v>
      </c>
      <c r="AH31" s="1">
        <v>3224</v>
      </c>
      <c r="AI31" s="1">
        <v>2485</v>
      </c>
      <c r="AJ31" s="1">
        <v>3630</v>
      </c>
    </row>
    <row r="32" spans="2:36">
      <c r="B32" s="1" t="s">
        <v>154</v>
      </c>
      <c r="AF32" s="1">
        <v>3678</v>
      </c>
      <c r="AG32" s="1">
        <v>3276</v>
      </c>
      <c r="AH32" s="1">
        <v>2803</v>
      </c>
      <c r="AI32" s="1">
        <v>3757</v>
      </c>
      <c r="AJ32" s="1">
        <v>4008</v>
      </c>
    </row>
    <row r="33" spans="2:46" s="12" customFormat="1">
      <c r="B33" s="12" t="s">
        <v>155</v>
      </c>
      <c r="AE33" s="12">
        <f t="shared" ref="AE33:AJ33" si="11">+SUM(AE25:AE32)</f>
        <v>0</v>
      </c>
      <c r="AF33" s="12">
        <f t="shared" si="11"/>
        <v>41120</v>
      </c>
      <c r="AG33" s="12">
        <f t="shared" si="11"/>
        <v>58866</v>
      </c>
      <c r="AH33" s="12">
        <f t="shared" si="11"/>
        <v>91869</v>
      </c>
      <c r="AI33" s="12">
        <f t="shared" si="11"/>
        <v>81642</v>
      </c>
      <c r="AJ33" s="12">
        <f t="shared" si="11"/>
        <v>123690</v>
      </c>
    </row>
    <row r="34" spans="2:46" s="17" customFormat="1"/>
    <row r="35" spans="2:46" s="12" customFormat="1">
      <c r="B35" s="12" t="s">
        <v>156</v>
      </c>
      <c r="AE35" s="12">
        <f>+SUM(AE23,AE33)</f>
        <v>0</v>
      </c>
      <c r="AF35" s="12">
        <f>+SUM(AF23,AF33)</f>
        <v>72964</v>
      </c>
      <c r="AG35" s="12">
        <f t="shared" ref="AG35:AH35" si="12">+SUM(AG23,AG33)</f>
        <v>85890</v>
      </c>
      <c r="AH35" s="12">
        <f t="shared" si="12"/>
        <v>123838</v>
      </c>
      <c r="AI35" s="12">
        <f t="shared" ref="AI35:AJ35" si="13">+SUM(AI23,AI33)</f>
        <v>108852</v>
      </c>
      <c r="AJ35" s="12">
        <f t="shared" si="13"/>
        <v>136402</v>
      </c>
    </row>
    <row r="36" spans="2:46" s="12" customFormat="1">
      <c r="B36" s="12" t="s">
        <v>157</v>
      </c>
      <c r="AE36" s="12">
        <f t="shared" ref="AE36:AJ36" si="14">+SUM(AE35,AE15)</f>
        <v>0</v>
      </c>
      <c r="AF36" s="12">
        <f t="shared" si="14"/>
        <v>417678</v>
      </c>
      <c r="AG36" s="12">
        <f t="shared" si="14"/>
        <v>483376</v>
      </c>
      <c r="AH36" s="12">
        <f t="shared" si="14"/>
        <v>560156</v>
      </c>
      <c r="AI36" s="12">
        <f t="shared" si="14"/>
        <v>526645</v>
      </c>
      <c r="AJ36" s="12">
        <f t="shared" si="14"/>
        <v>554682</v>
      </c>
    </row>
    <row r="37" spans="2:46" s="17" customFormat="1"/>
    <row r="38" spans="2:46" s="13" customFormat="1">
      <c r="B38" s="15" t="s">
        <v>47</v>
      </c>
      <c r="C38" s="13">
        <v>1890</v>
      </c>
      <c r="D38" s="13">
        <v>1976</v>
      </c>
      <c r="E38" s="13">
        <v>1928</v>
      </c>
      <c r="F38" s="13">
        <f>+AI38</f>
        <v>1800</v>
      </c>
      <c r="G38" s="13">
        <v>2070</v>
      </c>
      <c r="H38" s="13">
        <v>2338</v>
      </c>
      <c r="I38" s="13">
        <v>2474</v>
      </c>
      <c r="J38" s="13">
        <v>2500</v>
      </c>
      <c r="AH38" s="13">
        <v>1799</v>
      </c>
      <c r="AI38" s="13">
        <v>1800</v>
      </c>
      <c r="AJ38" s="13">
        <v>1941</v>
      </c>
      <c r="AK38" s="13">
        <f>AVERAGE(G38:J38)</f>
        <v>2345.5</v>
      </c>
      <c r="AL38" s="13">
        <v>2500</v>
      </c>
      <c r="AM38" s="13">
        <f t="shared" ref="AM38:AT40" si="15">+AL38*1.01</f>
        <v>2525</v>
      </c>
      <c r="AN38" s="13">
        <f t="shared" si="15"/>
        <v>2550.25</v>
      </c>
      <c r="AO38" s="13">
        <f t="shared" si="15"/>
        <v>2575.7525000000001</v>
      </c>
      <c r="AP38" s="13">
        <f t="shared" si="15"/>
        <v>2601.510025</v>
      </c>
      <c r="AQ38" s="13">
        <f t="shared" si="15"/>
        <v>2627.5251252500002</v>
      </c>
      <c r="AR38" s="13">
        <f t="shared" si="15"/>
        <v>2653.8003765025001</v>
      </c>
      <c r="AS38" s="13">
        <f t="shared" si="15"/>
        <v>2680.3383802675253</v>
      </c>
      <c r="AT38" s="13">
        <f t="shared" si="15"/>
        <v>2707.1417640702007</v>
      </c>
    </row>
    <row r="39" spans="2:46" s="2" customFormat="1">
      <c r="B39" s="16" t="s">
        <v>48</v>
      </c>
      <c r="C39" s="2">
        <v>22.55</v>
      </c>
      <c r="D39" s="2">
        <v>24.13</v>
      </c>
      <c r="E39" s="2">
        <v>23.57</v>
      </c>
      <c r="F39" s="13">
        <f>+AI39</f>
        <v>21.73</v>
      </c>
      <c r="G39" s="2">
        <v>23.34</v>
      </c>
      <c r="H39" s="2">
        <v>28.84</v>
      </c>
      <c r="I39" s="2">
        <v>29.43</v>
      </c>
      <c r="J39" s="13">
        <v>29</v>
      </c>
      <c r="AH39" s="2">
        <v>25.14</v>
      </c>
      <c r="AI39" s="2">
        <v>21.73</v>
      </c>
      <c r="AJ39" s="2">
        <v>23.35</v>
      </c>
      <c r="AK39" s="13">
        <f>AVERAGE(G39:J39)</f>
        <v>27.6525</v>
      </c>
      <c r="AL39" s="13">
        <f>+AK39*1.01</f>
        <v>27.929024999999999</v>
      </c>
      <c r="AM39" s="13">
        <f t="shared" si="15"/>
        <v>28.208315249999998</v>
      </c>
      <c r="AN39" s="13">
        <f t="shared" si="15"/>
        <v>28.490398402499999</v>
      </c>
      <c r="AO39" s="13">
        <f t="shared" si="15"/>
        <v>28.775302386524999</v>
      </c>
      <c r="AP39" s="13">
        <f t="shared" si="15"/>
        <v>29.063055410390248</v>
      </c>
      <c r="AQ39" s="13">
        <f t="shared" si="15"/>
        <v>29.353685964494151</v>
      </c>
      <c r="AR39" s="13">
        <f t="shared" si="15"/>
        <v>29.647222824139092</v>
      </c>
      <c r="AS39" s="13">
        <f t="shared" si="15"/>
        <v>29.943695052380484</v>
      </c>
      <c r="AT39" s="13">
        <f t="shared" si="15"/>
        <v>30.243132002904289</v>
      </c>
    </row>
    <row r="40" spans="2:46" s="2" customFormat="1">
      <c r="B40" s="16" t="s">
        <v>51</v>
      </c>
      <c r="C40" s="2">
        <v>4.05</v>
      </c>
      <c r="D40" s="2">
        <v>3.84</v>
      </c>
      <c r="E40" s="2">
        <v>3.79</v>
      </c>
      <c r="F40" s="13">
        <f>+AI40</f>
        <v>3.99</v>
      </c>
      <c r="G40" s="2">
        <v>3.83</v>
      </c>
      <c r="H40" s="2">
        <v>4.42</v>
      </c>
      <c r="I40" s="2">
        <v>4.18</v>
      </c>
      <c r="J40" s="13">
        <f>+I40</f>
        <v>4.18</v>
      </c>
      <c r="AH40" s="2">
        <v>4.2300000000000004</v>
      </c>
      <c r="AI40" s="2">
        <v>3.99</v>
      </c>
      <c r="AJ40" s="2">
        <v>3.85</v>
      </c>
      <c r="AK40" s="13">
        <f>AVERAGE(G40:J40)</f>
        <v>4.1524999999999999</v>
      </c>
      <c r="AL40" s="13">
        <f>+AK40*1.01</f>
        <v>4.1940249999999999</v>
      </c>
      <c r="AM40" s="13">
        <f t="shared" si="15"/>
        <v>4.2359652499999996</v>
      </c>
      <c r="AN40" s="13">
        <f t="shared" si="15"/>
        <v>4.2783249024999996</v>
      </c>
      <c r="AO40" s="13">
        <f t="shared" si="15"/>
        <v>4.3211081515249994</v>
      </c>
      <c r="AP40" s="13">
        <f t="shared" si="15"/>
        <v>4.3643192330402494</v>
      </c>
      <c r="AQ40" s="13">
        <f t="shared" si="15"/>
        <v>4.407962425370652</v>
      </c>
      <c r="AR40" s="13">
        <f t="shared" si="15"/>
        <v>4.4520420496243585</v>
      </c>
      <c r="AS40" s="13">
        <f t="shared" si="15"/>
        <v>4.496562470120602</v>
      </c>
      <c r="AT40" s="13">
        <f t="shared" si="15"/>
        <v>4.5415280948218077</v>
      </c>
    </row>
    <row r="41" spans="2:46">
      <c r="B41" s="1" t="s">
        <v>31</v>
      </c>
    </row>
    <row r="42" spans="2:46">
      <c r="B42" s="1" t="s">
        <v>74</v>
      </c>
      <c r="AI42" s="1">
        <f>193696+26150+442592+470167+414117+572631+1977299</f>
        <v>4096652</v>
      </c>
      <c r="AJ42" s="1">
        <f>165844+25455+360931+403390+890702+129566+1905190</f>
        <v>3881078</v>
      </c>
    </row>
    <row r="44" spans="2:46">
      <c r="B44" s="1" t="s">
        <v>49</v>
      </c>
      <c r="C44" s="1">
        <f>+C48*0.71</f>
        <v>120978.31999999999</v>
      </c>
      <c r="D44" s="1">
        <f>+D48*0.77</f>
        <v>110912.34</v>
      </c>
      <c r="E44" s="1">
        <f>+E48*0.78</f>
        <v>108121.26000000001</v>
      </c>
      <c r="F44" s="1">
        <f t="shared" ref="F44:F59" si="16">+AJ44-SUM(C44:E44)</f>
        <v>120333</v>
      </c>
      <c r="G44" s="1">
        <f>+G48*0.75</f>
        <v>111676.5</v>
      </c>
      <c r="H44" s="1">
        <f>+H48*0.74</f>
        <v>128831.03999999999</v>
      </c>
      <c r="I44" s="1">
        <f>+I48*0.76</f>
        <v>147316.12</v>
      </c>
      <c r="J44" s="1">
        <f>+AK44-SUM(G44:I44)</f>
        <v>198576.34000000003</v>
      </c>
      <c r="AG44" s="1">
        <f>294490+98153</f>
        <v>392643</v>
      </c>
      <c r="AH44" s="1">
        <f>323980+131784</f>
        <v>455764</v>
      </c>
      <c r="AI44" s="1">
        <f>+AI48*0.73</f>
        <v>440340.38</v>
      </c>
      <c r="AJ44" s="1">
        <f>+AJ48*0.76</f>
        <v>460344.92</v>
      </c>
      <c r="AK44" s="1">
        <f>586.4*1000</f>
        <v>586400</v>
      </c>
    </row>
    <row r="45" spans="2:46">
      <c r="B45" s="1" t="s">
        <v>34</v>
      </c>
      <c r="C45" s="1">
        <f>+C48*0.12</f>
        <v>20447.04</v>
      </c>
      <c r="D45" s="1">
        <f>+D48*0.15</f>
        <v>21606.3</v>
      </c>
      <c r="E45" s="1">
        <f>+E48*0.11</f>
        <v>15247.87</v>
      </c>
      <c r="F45" s="1">
        <f t="shared" si="16"/>
        <v>15384.829999999994</v>
      </c>
      <c r="G45" s="1">
        <f>+G48*0.13</f>
        <v>19357.260000000002</v>
      </c>
      <c r="H45" s="1">
        <f>+H48*0.13</f>
        <v>22632.48</v>
      </c>
      <c r="I45" s="1">
        <f>+I48*0.12</f>
        <v>23260.44</v>
      </c>
      <c r="J45" s="1">
        <f>+AK45-SUM(G45:I45)</f>
        <v>21749.819999999992</v>
      </c>
      <c r="AG45" s="1">
        <f>32744+9996</f>
        <v>42740</v>
      </c>
      <c r="AH45" s="1">
        <f>43281+16198</f>
        <v>59479</v>
      </c>
      <c r="AI45" s="1">
        <f>+AI48*0.11</f>
        <v>66352.66</v>
      </c>
      <c r="AJ45" s="1">
        <f>+AJ48*0.12</f>
        <v>72686.039999999994</v>
      </c>
      <c r="AK45" s="1">
        <v>87000</v>
      </c>
    </row>
    <row r="46" spans="2:46">
      <c r="B46" s="1" t="s">
        <v>33</v>
      </c>
      <c r="C46" s="1">
        <f>+C48*0.14</f>
        <v>23854.880000000001</v>
      </c>
      <c r="D46" s="1">
        <f>+D48*0.06</f>
        <v>8642.52</v>
      </c>
      <c r="E46" s="1">
        <f>+E48*0.1</f>
        <v>13861.7</v>
      </c>
      <c r="F46" s="1">
        <f t="shared" si="16"/>
        <v>8155.429999999993</v>
      </c>
      <c r="G46" s="1">
        <f>+G48*0.09</f>
        <v>13401.18</v>
      </c>
      <c r="H46" s="1">
        <f>+H48*0.1</f>
        <v>17409.600000000002</v>
      </c>
      <c r="I46" s="1">
        <f>+I48*0.09</f>
        <v>17445.329999999998</v>
      </c>
      <c r="J46" s="1">
        <f>+AK46-SUM(G46:I46)</f>
        <v>14343.89</v>
      </c>
      <c r="AG46" s="1">
        <f>32634+13528</f>
        <v>46162</v>
      </c>
      <c r="AH46" s="1">
        <f>56728+16448</f>
        <v>73176</v>
      </c>
      <c r="AI46" s="1">
        <f>+AI48*0.12</f>
        <v>72384.72</v>
      </c>
      <c r="AJ46" s="1">
        <f>+AJ48*0.09</f>
        <v>54514.53</v>
      </c>
      <c r="AK46" s="1">
        <f>62.6*1000</f>
        <v>62600</v>
      </c>
    </row>
    <row r="47" spans="2:46">
      <c r="B47" s="1" t="s">
        <v>31</v>
      </c>
      <c r="C47" s="1">
        <f>+C48*0.03</f>
        <v>5111.76</v>
      </c>
      <c r="D47" s="1">
        <f>+D48*0.02</f>
        <v>2880.84</v>
      </c>
      <c r="E47" s="1">
        <f>+E48*0.01</f>
        <v>1386.17</v>
      </c>
      <c r="F47" s="1">
        <f t="shared" si="16"/>
        <v>8792.739999999998</v>
      </c>
      <c r="G47" s="1">
        <f>+G48*0.03</f>
        <v>4467.0599999999995</v>
      </c>
      <c r="H47" s="1">
        <f>+H48*0.03</f>
        <v>5222.88</v>
      </c>
      <c r="I47" s="1">
        <f>+I48*0.03</f>
        <v>5815.11</v>
      </c>
      <c r="J47" s="1">
        <f>+AK47-SUM(G47:I47)</f>
        <v>2994.9500000000007</v>
      </c>
      <c r="AG47" s="1">
        <v>17274</v>
      </c>
      <c r="AH47" s="1">
        <v>27437</v>
      </c>
      <c r="AI47" s="1">
        <f>+AI48*0.04</f>
        <v>24128.240000000002</v>
      </c>
      <c r="AJ47" s="1">
        <f>+AJ48*0.03</f>
        <v>18171.509999999998</v>
      </c>
      <c r="AK47" s="1">
        <f>18.5*1000</f>
        <v>18500</v>
      </c>
    </row>
    <row r="48" spans="2:46" s="12" customFormat="1">
      <c r="B48" s="12" t="s">
        <v>32</v>
      </c>
      <c r="C48" s="12">
        <v>170392</v>
      </c>
      <c r="D48" s="12">
        <v>144042</v>
      </c>
      <c r="E48" s="12">
        <v>138617</v>
      </c>
      <c r="F48" s="12">
        <f t="shared" si="16"/>
        <v>152666</v>
      </c>
      <c r="G48" s="12">
        <v>148902</v>
      </c>
      <c r="H48" s="12">
        <v>174096</v>
      </c>
      <c r="I48" s="12">
        <v>193837</v>
      </c>
      <c r="J48" s="12">
        <f>+SUM(J44:J47)</f>
        <v>237665.00000000006</v>
      </c>
      <c r="L48" s="12">
        <v>1613.462</v>
      </c>
      <c r="M48" s="12">
        <v>9406.6560000000009</v>
      </c>
      <c r="N48" s="12">
        <v>5963.1530000000002</v>
      </c>
      <c r="O48" s="12">
        <v>12323.071</v>
      </c>
      <c r="P48" s="12">
        <v>15788.212</v>
      </c>
      <c r="Q48" s="12">
        <v>21353.071</v>
      </c>
      <c r="R48" s="12">
        <v>25302.331999999999</v>
      </c>
      <c r="S48" s="12">
        <v>28380.143</v>
      </c>
      <c r="T48" s="12">
        <v>48356.828000000001</v>
      </c>
      <c r="Y48" s="12">
        <v>263054</v>
      </c>
      <c r="Z48" s="12">
        <v>289224</v>
      </c>
      <c r="AG48" s="12">
        <f>SUM(AG44:AG47)</f>
        <v>498819</v>
      </c>
      <c r="AH48" s="12">
        <f>SUM(AH44:AH47)</f>
        <v>615856</v>
      </c>
      <c r="AI48" s="12">
        <v>603206</v>
      </c>
      <c r="AJ48" s="12">
        <v>605717</v>
      </c>
      <c r="AK48" s="12">
        <f>SUM(AK44:AK47)</f>
        <v>754500</v>
      </c>
      <c r="AL48" s="12">
        <f>+AK48*1.1</f>
        <v>829950.00000000012</v>
      </c>
      <c r="AM48" s="12">
        <f t="shared" ref="AM48:AT48" si="17">+AL48*1.1</f>
        <v>912945.00000000023</v>
      </c>
      <c r="AN48" s="12">
        <f t="shared" si="17"/>
        <v>1004239.5000000003</v>
      </c>
      <c r="AO48" s="12">
        <f t="shared" si="17"/>
        <v>1104663.4500000004</v>
      </c>
      <c r="AP48" s="12">
        <f t="shared" si="17"/>
        <v>1215129.7950000006</v>
      </c>
      <c r="AQ48" s="12">
        <f t="shared" si="17"/>
        <v>1336642.7745000008</v>
      </c>
      <c r="AR48" s="12">
        <f t="shared" si="17"/>
        <v>1470307.0519500009</v>
      </c>
      <c r="AS48" s="12">
        <f t="shared" si="17"/>
        <v>1617337.7571450011</v>
      </c>
      <c r="AT48" s="12">
        <f t="shared" si="17"/>
        <v>1779071.5328595014</v>
      </c>
    </row>
    <row r="49" spans="2:246" s="13" customFormat="1">
      <c r="B49" s="13" t="s">
        <v>35</v>
      </c>
      <c r="C49" s="13">
        <v>25020</v>
      </c>
      <c r="D49" s="13">
        <v>23367</v>
      </c>
      <c r="E49" s="13">
        <v>21351</v>
      </c>
      <c r="F49" s="13">
        <f t="shared" si="16"/>
        <v>20785</v>
      </c>
      <c r="G49" s="13">
        <v>21751</v>
      </c>
      <c r="H49" s="13">
        <v>24174</v>
      </c>
      <c r="I49" s="13">
        <v>27192</v>
      </c>
      <c r="J49" s="13">
        <f>+J$48*(F49/F$48)</f>
        <v>32357.348885803007</v>
      </c>
      <c r="AI49" s="13">
        <v>94642</v>
      </c>
      <c r="AJ49" s="13">
        <v>90523</v>
      </c>
      <c r="AK49" s="13">
        <f t="shared" ref="AK49:AK59" si="18">SUM(G49:J49)</f>
        <v>105474.348885803</v>
      </c>
      <c r="AL49" s="13">
        <f>+AL$48*(AK49/AK$48)</f>
        <v>116021.78377438334</v>
      </c>
      <c r="AM49" s="13">
        <f t="shared" ref="AM49:AT49" si="19">+AM$48*(AL49/AL$48)</f>
        <v>127623.96215182167</v>
      </c>
      <c r="AN49" s="13">
        <f t="shared" si="19"/>
        <v>140386.35836700385</v>
      </c>
      <c r="AO49" s="13">
        <f t="shared" si="19"/>
        <v>154424.99420370426</v>
      </c>
      <c r="AP49" s="13">
        <f t="shared" si="19"/>
        <v>169867.4936240747</v>
      </c>
      <c r="AQ49" s="13">
        <f t="shared" si="19"/>
        <v>186854.24298648219</v>
      </c>
      <c r="AR49" s="13">
        <f t="shared" si="19"/>
        <v>205539.66728513042</v>
      </c>
      <c r="AS49" s="13">
        <f t="shared" si="19"/>
        <v>226093.63401364346</v>
      </c>
      <c r="AT49" s="13">
        <f t="shared" si="19"/>
        <v>248702.99741500785</v>
      </c>
    </row>
    <row r="50" spans="2:246" s="13" customFormat="1">
      <c r="B50" s="13" t="s">
        <v>36</v>
      </c>
      <c r="C50" s="13">
        <v>11000</v>
      </c>
      <c r="D50" s="13">
        <v>9093</v>
      </c>
      <c r="E50" s="13">
        <v>9927</v>
      </c>
      <c r="F50" s="13">
        <f t="shared" si="16"/>
        <v>9741</v>
      </c>
      <c r="G50" s="13">
        <v>11412</v>
      </c>
      <c r="H50" s="13">
        <v>10511</v>
      </c>
      <c r="I50" s="13">
        <v>10102</v>
      </c>
      <c r="J50" s="13">
        <f t="shared" ref="J50:J56" si="20">+J$48*(F50/F$48)</f>
        <v>15164.44241022887</v>
      </c>
      <c r="AI50" s="13">
        <v>34612</v>
      </c>
      <c r="AJ50" s="13">
        <v>39761</v>
      </c>
      <c r="AK50" s="13">
        <f t="shared" si="18"/>
        <v>47189.442410228869</v>
      </c>
      <c r="AL50" s="13">
        <f>+AL$48*(AK50/AK$48)</f>
        <v>51908.386651251771</v>
      </c>
      <c r="AM50" s="13">
        <f t="shared" ref="AM50:AT50" si="21">+AM$48*(AL50/AL$48)</f>
        <v>57099.225316376949</v>
      </c>
      <c r="AN50" s="13">
        <f t="shared" si="21"/>
        <v>62809.147848014654</v>
      </c>
      <c r="AO50" s="13">
        <f t="shared" si="21"/>
        <v>69090.062632816116</v>
      </c>
      <c r="AP50" s="13">
        <f t="shared" si="21"/>
        <v>75999.068896097742</v>
      </c>
      <c r="AQ50" s="13">
        <f t="shared" si="21"/>
        <v>83598.975785707516</v>
      </c>
      <c r="AR50" s="13">
        <f t="shared" si="21"/>
        <v>91958.873364278275</v>
      </c>
      <c r="AS50" s="13">
        <f t="shared" si="21"/>
        <v>101154.76070070612</v>
      </c>
      <c r="AT50" s="13">
        <f t="shared" si="21"/>
        <v>111270.23677077674</v>
      </c>
    </row>
    <row r="51" spans="2:246" s="13" customFormat="1">
      <c r="B51" s="13" t="s">
        <v>37</v>
      </c>
      <c r="C51" s="13">
        <v>1989</v>
      </c>
      <c r="D51" s="13">
        <v>1274</v>
      </c>
      <c r="E51" s="13">
        <v>1671</v>
      </c>
      <c r="F51" s="13">
        <f t="shared" si="16"/>
        <v>2360</v>
      </c>
      <c r="G51" s="13">
        <v>1449</v>
      </c>
      <c r="H51" s="13">
        <v>1581</v>
      </c>
      <c r="I51" s="13">
        <v>1520</v>
      </c>
      <c r="J51" s="13">
        <f t="shared" si="20"/>
        <v>3673.9640784457583</v>
      </c>
      <c r="AI51" s="13">
        <v>7021</v>
      </c>
      <c r="AJ51" s="13">
        <v>7294</v>
      </c>
      <c r="AK51" s="13">
        <f t="shared" si="18"/>
        <v>8223.9640784457588</v>
      </c>
      <c r="AL51" s="13">
        <f>+AL$48*(AK51/AK$48)</f>
        <v>9046.3604862903358</v>
      </c>
      <c r="AM51" s="13">
        <f t="shared" ref="AM51:AT51" si="22">+AM$48*(AL51/AL$48)</f>
        <v>9950.9965349193717</v>
      </c>
      <c r="AN51" s="13">
        <f t="shared" si="22"/>
        <v>10946.096188411309</v>
      </c>
      <c r="AO51" s="13">
        <f t="shared" si="22"/>
        <v>12040.70580725244</v>
      </c>
      <c r="AP51" s="13">
        <f t="shared" si="22"/>
        <v>13244.776387977687</v>
      </c>
      <c r="AQ51" s="13">
        <f t="shared" si="22"/>
        <v>14569.254026775456</v>
      </c>
      <c r="AR51" s="13">
        <f t="shared" si="22"/>
        <v>16026.179429453003</v>
      </c>
      <c r="AS51" s="13">
        <f t="shared" si="22"/>
        <v>17628.797372398305</v>
      </c>
      <c r="AT51" s="13">
        <f t="shared" si="22"/>
        <v>19391.677109638138</v>
      </c>
    </row>
    <row r="52" spans="2:246" s="13" customFormat="1">
      <c r="B52" s="13" t="s">
        <v>38</v>
      </c>
      <c r="C52" s="13">
        <v>46328</v>
      </c>
      <c r="D52" s="13">
        <v>38412</v>
      </c>
      <c r="E52" s="13">
        <v>40106</v>
      </c>
      <c r="F52" s="13">
        <f t="shared" si="16"/>
        <v>40091</v>
      </c>
      <c r="G52" s="13">
        <v>38765</v>
      </c>
      <c r="H52" s="13">
        <v>35747</v>
      </c>
      <c r="I52" s="13">
        <v>36177</v>
      </c>
      <c r="J52" s="13">
        <f t="shared" si="20"/>
        <v>62412.24316481733</v>
      </c>
      <c r="AI52" s="13">
        <v>178935</v>
      </c>
      <c r="AJ52" s="13">
        <v>164937</v>
      </c>
      <c r="AK52" s="13">
        <f t="shared" si="18"/>
        <v>173101.24316481734</v>
      </c>
      <c r="AL52" s="13">
        <f>+AL$48*(AK52/AK$48)</f>
        <v>190411.36748129909</v>
      </c>
      <c r="AM52" s="13">
        <f t="shared" ref="AM52:AT52" si="23">+AM$48*(AL52/AL$48)</f>
        <v>209452.504229429</v>
      </c>
      <c r="AN52" s="13">
        <f t="shared" si="23"/>
        <v>230397.75465237192</v>
      </c>
      <c r="AO52" s="13">
        <f t="shared" si="23"/>
        <v>253437.5301176091</v>
      </c>
      <c r="AP52" s="13">
        <f t="shared" si="23"/>
        <v>278781.28312937007</v>
      </c>
      <c r="AQ52" s="13">
        <f t="shared" si="23"/>
        <v>306659.41144230706</v>
      </c>
      <c r="AR52" s="13">
        <f t="shared" si="23"/>
        <v>337325.35258653777</v>
      </c>
      <c r="AS52" s="13">
        <f t="shared" si="23"/>
        <v>371057.88784519158</v>
      </c>
      <c r="AT52" s="13">
        <f t="shared" si="23"/>
        <v>408163.67662971077</v>
      </c>
    </row>
    <row r="53" spans="2:246" s="13" customFormat="1">
      <c r="B53" s="13" t="s">
        <v>39</v>
      </c>
      <c r="C53" s="13">
        <f>+C48-SUM(C49:C52)</f>
        <v>86055</v>
      </c>
      <c r="D53" s="13">
        <f>+D48-SUM(D49:D52)</f>
        <v>71896</v>
      </c>
      <c r="E53" s="13">
        <f>+E48-SUM(E49:E52)</f>
        <v>65562</v>
      </c>
      <c r="F53" s="13">
        <f t="shared" si="16"/>
        <v>79689</v>
      </c>
      <c r="G53" s="13">
        <f>+G48-SUM(G49:G52)</f>
        <v>75525</v>
      </c>
      <c r="H53" s="13">
        <f>+H48-SUM(H49:H52)</f>
        <v>102083</v>
      </c>
      <c r="I53" s="13">
        <f>+I48-SUM(I49:I52)</f>
        <v>118846</v>
      </c>
      <c r="J53" s="13">
        <f>+J48-SUM(J49:J52)</f>
        <v>124057.0014607051</v>
      </c>
      <c r="AI53" s="13">
        <f>+AI48-SUM(AI49:AI52)</f>
        <v>287996</v>
      </c>
      <c r="AJ53" s="13">
        <f>+AJ48-SUM(AJ49:AJ52)</f>
        <v>303202</v>
      </c>
      <c r="AK53" s="13">
        <f t="shared" si="18"/>
        <v>420511.00146070507</v>
      </c>
      <c r="AL53" s="13">
        <f>+AL48-SUM(AL49:AL52)</f>
        <v>462562.10160677554</v>
      </c>
      <c r="AM53" s="13">
        <f t="shared" ref="AM53:AT53" si="24">+AM48-SUM(AM49:AM52)</f>
        <v>508818.31176745321</v>
      </c>
      <c r="AN53" s="13">
        <f t="shared" si="24"/>
        <v>559700.14294419857</v>
      </c>
      <c r="AO53" s="13">
        <f t="shared" si="24"/>
        <v>615670.15723861847</v>
      </c>
      <c r="AP53" s="13">
        <f t="shared" si="24"/>
        <v>677237.17296248046</v>
      </c>
      <c r="AQ53" s="13">
        <f t="shared" si="24"/>
        <v>744960.89025872853</v>
      </c>
      <c r="AR53" s="13">
        <f t="shared" si="24"/>
        <v>819456.97928460152</v>
      </c>
      <c r="AS53" s="13">
        <f t="shared" si="24"/>
        <v>901402.6772130616</v>
      </c>
      <c r="AT53" s="13">
        <f t="shared" si="24"/>
        <v>991542.9449343679</v>
      </c>
    </row>
    <row r="54" spans="2:246" s="13" customFormat="1">
      <c r="B54" s="13" t="s">
        <v>40</v>
      </c>
      <c r="C54" s="13">
        <v>799</v>
      </c>
      <c r="D54" s="13">
        <v>-509</v>
      </c>
      <c r="E54" s="13">
        <v>-462</v>
      </c>
      <c r="F54" s="13">
        <f t="shared" si="16"/>
        <v>25</v>
      </c>
      <c r="G54" s="13">
        <v>447</v>
      </c>
      <c r="H54" s="13">
        <v>-63</v>
      </c>
      <c r="I54" s="13">
        <v>-425</v>
      </c>
      <c r="J54" s="13">
        <f t="shared" si="20"/>
        <v>38.919111000484733</v>
      </c>
      <c r="AI54" s="13">
        <v>-1503</v>
      </c>
      <c r="AJ54" s="13">
        <v>-147</v>
      </c>
      <c r="AK54" s="13">
        <f t="shared" si="18"/>
        <v>-2.0808889995152668</v>
      </c>
      <c r="AL54" s="13">
        <f>+AL$48*(AK54/AK$48)</f>
        <v>-2.288977899466794</v>
      </c>
      <c r="AM54" s="13">
        <f t="shared" ref="AM54:AT54" si="25">+AM$48*(AL54/AL$48)</f>
        <v>-2.5178756894134739</v>
      </c>
      <c r="AN54" s="13">
        <f t="shared" si="25"/>
        <v>-2.7696632583548215</v>
      </c>
      <c r="AO54" s="13">
        <f t="shared" si="25"/>
        <v>-3.0466295841903035</v>
      </c>
      <c r="AP54" s="13">
        <f t="shared" si="25"/>
        <v>-3.3512925426093347</v>
      </c>
      <c r="AQ54" s="13">
        <f t="shared" si="25"/>
        <v>-3.6864217968702682</v>
      </c>
      <c r="AR54" s="13">
        <f t="shared" si="25"/>
        <v>-4.0550639765572951</v>
      </c>
      <c r="AS54" s="13">
        <f t="shared" si="25"/>
        <v>-4.4605703742130247</v>
      </c>
      <c r="AT54" s="13">
        <f t="shared" si="25"/>
        <v>-4.9066274116343278</v>
      </c>
    </row>
    <row r="55" spans="2:246" s="13" customFormat="1">
      <c r="B55" s="13" t="s">
        <v>44</v>
      </c>
      <c r="C55" s="13">
        <v>2263</v>
      </c>
      <c r="D55" s="13">
        <v>2650</v>
      </c>
      <c r="E55" s="13">
        <v>2436</v>
      </c>
      <c r="F55" s="13">
        <f t="shared" si="16"/>
        <v>2603</v>
      </c>
      <c r="G55" s="13">
        <v>2977</v>
      </c>
      <c r="H55" s="13">
        <v>807</v>
      </c>
      <c r="I55" s="13">
        <v>626</v>
      </c>
      <c r="J55" s="13">
        <f t="shared" si="20"/>
        <v>4052.2578373704696</v>
      </c>
      <c r="AI55" s="13">
        <v>7832</v>
      </c>
      <c r="AJ55" s="13">
        <v>9952</v>
      </c>
      <c r="AK55" s="13">
        <f t="shared" si="18"/>
        <v>8462.2578373704691</v>
      </c>
      <c r="AL55" s="13">
        <f>+AL$48*(AK55/AK$48)</f>
        <v>9308.483621107518</v>
      </c>
      <c r="AM55" s="13">
        <f t="shared" ref="AM55:AT55" si="26">+AM$48*(AL55/AL$48)</f>
        <v>10239.331983218271</v>
      </c>
      <c r="AN55" s="13">
        <f t="shared" si="26"/>
        <v>11263.2651815401</v>
      </c>
      <c r="AO55" s="13">
        <f t="shared" si="26"/>
        <v>12389.591699694111</v>
      </c>
      <c r="AP55" s="13">
        <f t="shared" si="26"/>
        <v>13628.550869663522</v>
      </c>
      <c r="AQ55" s="13">
        <f t="shared" si="26"/>
        <v>14991.405956629877</v>
      </c>
      <c r="AR55" s="13">
        <f t="shared" si="26"/>
        <v>16490.546552292864</v>
      </c>
      <c r="AS55" s="13">
        <f t="shared" si="26"/>
        <v>18139.601207522152</v>
      </c>
      <c r="AT55" s="13">
        <f t="shared" si="26"/>
        <v>19953.561328274369</v>
      </c>
    </row>
    <row r="56" spans="2:246" s="13" customFormat="1">
      <c r="B56" s="13" t="s">
        <v>45</v>
      </c>
      <c r="C56" s="13">
        <v>-9175</v>
      </c>
      <c r="D56" s="13">
        <v>-8408</v>
      </c>
      <c r="E56" s="13">
        <v>-7285</v>
      </c>
      <c r="F56" s="13">
        <f t="shared" si="16"/>
        <v>-5999</v>
      </c>
      <c r="G56" s="13">
        <v>-4607</v>
      </c>
      <c r="H56" s="13">
        <v>-2516</v>
      </c>
      <c r="I56" s="13">
        <v>-1207</v>
      </c>
      <c r="J56" s="13">
        <f t="shared" si="20"/>
        <v>-9339.029875676315</v>
      </c>
      <c r="AI56" s="13">
        <v>-17170</v>
      </c>
      <c r="AJ56" s="13">
        <v>-30867</v>
      </c>
      <c r="AK56" s="13">
        <f t="shared" si="18"/>
        <v>-17669.029875676315</v>
      </c>
      <c r="AL56" s="13">
        <v>-30867</v>
      </c>
      <c r="AM56" s="13">
        <v>-30867</v>
      </c>
      <c r="AN56" s="13">
        <v>-30867</v>
      </c>
      <c r="AO56" s="13">
        <v>-30867</v>
      </c>
      <c r="AP56" s="13">
        <v>-30867</v>
      </c>
      <c r="AQ56" s="13">
        <v>-30867</v>
      </c>
      <c r="AR56" s="13">
        <v>-30867</v>
      </c>
      <c r="AS56" s="13">
        <v>-30867</v>
      </c>
      <c r="AT56" s="13">
        <v>-30867</v>
      </c>
    </row>
    <row r="57" spans="2:246" s="12" customFormat="1">
      <c r="B57" s="12" t="s">
        <v>41</v>
      </c>
      <c r="C57" s="12">
        <f>+SUM(C53:C56)</f>
        <v>79942</v>
      </c>
      <c r="D57" s="12">
        <f>+SUM(D53:D56)</f>
        <v>65629</v>
      </c>
      <c r="E57" s="12">
        <f>+SUM(E53:E56)</f>
        <v>60251</v>
      </c>
      <c r="F57" s="12">
        <f t="shared" si="16"/>
        <v>76318</v>
      </c>
      <c r="G57" s="12">
        <f>+SUM(G53:G56)</f>
        <v>74342</v>
      </c>
      <c r="H57" s="12">
        <f>+SUM(H53:H56)</f>
        <v>100311</v>
      </c>
      <c r="I57" s="12">
        <f>+SUM(I53:I56)</f>
        <v>117840</v>
      </c>
      <c r="J57" s="12">
        <f>+SUM(J53:J56)</f>
        <v>118809.14853339974</v>
      </c>
      <c r="AI57" s="12">
        <f>+SUM(AI53:AI56)</f>
        <v>277155</v>
      </c>
      <c r="AJ57" s="12">
        <f>+SUM(AJ53:AJ56)</f>
        <v>282140</v>
      </c>
      <c r="AK57" s="12">
        <f t="shared" si="18"/>
        <v>411302.14853339974</v>
      </c>
      <c r="AL57" s="12">
        <f>+SUM(AL53:AL56)</f>
        <v>441001.2962499836</v>
      </c>
      <c r="AM57" s="12">
        <f t="shared" ref="AM57:AT57" si="27">+SUM(AM53:AM56)</f>
        <v>488188.12587498204</v>
      </c>
      <c r="AN57" s="12">
        <f t="shared" si="27"/>
        <v>540093.63846248027</v>
      </c>
      <c r="AO57" s="12">
        <f t="shared" si="27"/>
        <v>597189.70230872848</v>
      </c>
      <c r="AP57" s="12">
        <f t="shared" si="27"/>
        <v>659995.37253960129</v>
      </c>
      <c r="AQ57" s="12">
        <f t="shared" si="27"/>
        <v>729081.60979356151</v>
      </c>
      <c r="AR57" s="12">
        <f t="shared" si="27"/>
        <v>805076.47077291785</v>
      </c>
      <c r="AS57" s="12">
        <f t="shared" si="27"/>
        <v>888670.81785020954</v>
      </c>
      <c r="AT57" s="12">
        <f t="shared" si="27"/>
        <v>980624.59963523061</v>
      </c>
    </row>
    <row r="58" spans="2:246" s="13" customFormat="1">
      <c r="B58" s="13" t="s">
        <v>42</v>
      </c>
      <c r="C58" s="13">
        <v>-15871</v>
      </c>
      <c r="D58" s="13">
        <v>-2029</v>
      </c>
      <c r="E58" s="13">
        <v>-10752</v>
      </c>
      <c r="F58" s="13">
        <f t="shared" si="16"/>
        <v>-13356</v>
      </c>
      <c r="G58" s="13">
        <v>-27033</v>
      </c>
      <c r="H58" s="13">
        <v>-18991</v>
      </c>
      <c r="I58" s="13">
        <v>-21510</v>
      </c>
      <c r="J58" s="13">
        <f>+J57*(I58/I57)</f>
        <v>-21686.904149299291</v>
      </c>
      <c r="AI58" s="13">
        <v>-32926</v>
      </c>
      <c r="AJ58" s="13">
        <v>-42008</v>
      </c>
      <c r="AK58" s="13">
        <f t="shared" si="18"/>
        <v>-89220.904149299284</v>
      </c>
      <c r="AL58" s="13">
        <v>-42008</v>
      </c>
      <c r="AM58" s="13">
        <v>-42008</v>
      </c>
      <c r="AN58" s="13">
        <v>-42008</v>
      </c>
      <c r="AO58" s="13">
        <v>-42008</v>
      </c>
      <c r="AP58" s="13">
        <v>-42008</v>
      </c>
      <c r="AQ58" s="13">
        <v>-42008</v>
      </c>
      <c r="AR58" s="13">
        <v>-42008</v>
      </c>
      <c r="AS58" s="13">
        <v>-42008</v>
      </c>
      <c r="AT58" s="13">
        <v>-42008</v>
      </c>
    </row>
    <row r="59" spans="2:246" s="13" customFormat="1">
      <c r="B59" s="13" t="s">
        <v>43</v>
      </c>
      <c r="C59" s="13">
        <f>+SUM(C57:C58)</f>
        <v>64071</v>
      </c>
      <c r="D59" s="13">
        <f>+SUM(D57:D58)</f>
        <v>63600</v>
      </c>
      <c r="E59" s="13">
        <f>+SUM(E57:E58)</f>
        <v>49499</v>
      </c>
      <c r="F59" s="13">
        <f t="shared" si="16"/>
        <v>62962</v>
      </c>
      <c r="G59" s="13">
        <f>+SUM(G57:G58)</f>
        <v>47309</v>
      </c>
      <c r="H59" s="13">
        <f>+SUM(H57:H58)</f>
        <v>81320</v>
      </c>
      <c r="I59" s="13">
        <f>+SUM(I57:I58)</f>
        <v>96330</v>
      </c>
      <c r="J59" s="13">
        <f>+SUM(J57:J58)</f>
        <v>97122.244384100457</v>
      </c>
      <c r="L59" s="13">
        <v>-8808.1730000000007</v>
      </c>
      <c r="M59" s="13">
        <v>3952.9789999999998</v>
      </c>
      <c r="N59" s="13">
        <v>1138.297</v>
      </c>
      <c r="O59" s="13">
        <v>10698.723</v>
      </c>
      <c r="P59" s="13">
        <v>6752.3459999999995</v>
      </c>
      <c r="Q59" s="13">
        <v>88871.679000000004</v>
      </c>
      <c r="AI59" s="13">
        <f>+SUM(AI57:AI58)</f>
        <v>244229</v>
      </c>
      <c r="AJ59" s="13">
        <f>+SUM(AJ57:AJ58)</f>
        <v>240132</v>
      </c>
      <c r="AK59" s="13">
        <f t="shared" si="18"/>
        <v>322081.24438410043</v>
      </c>
      <c r="AL59" s="13">
        <f>+SUM(AL57:AL58)</f>
        <v>398993.2962499836</v>
      </c>
      <c r="AM59" s="13">
        <f t="shared" ref="AM59:AT59" si="28">+SUM(AM57:AM58)</f>
        <v>446180.12587498204</v>
      </c>
      <c r="AN59" s="13">
        <f t="shared" si="28"/>
        <v>498085.63846248027</v>
      </c>
      <c r="AO59" s="13">
        <f t="shared" si="28"/>
        <v>555181.70230872848</v>
      </c>
      <c r="AP59" s="13">
        <f t="shared" si="28"/>
        <v>617987.37253960129</v>
      </c>
      <c r="AQ59" s="13">
        <f t="shared" si="28"/>
        <v>687073.60979356151</v>
      </c>
      <c r="AR59" s="13">
        <f t="shared" si="28"/>
        <v>763068.47077291785</v>
      </c>
      <c r="AS59" s="13">
        <f t="shared" si="28"/>
        <v>846662.81785020954</v>
      </c>
      <c r="AT59" s="13">
        <f t="shared" si="28"/>
        <v>938616.59963523061</v>
      </c>
      <c r="AU59" s="13">
        <f t="shared" ref="AU59:BB59" si="29">+AT59*(1+$AY$63)</f>
        <v>948002.76563158294</v>
      </c>
      <c r="AV59" s="13">
        <f t="shared" si="29"/>
        <v>957482.79328789876</v>
      </c>
      <c r="AW59" s="13">
        <f t="shared" si="29"/>
        <v>967057.62122077774</v>
      </c>
      <c r="AX59" s="13">
        <f t="shared" si="29"/>
        <v>976728.19743298553</v>
      </c>
      <c r="AY59" s="13">
        <f t="shared" si="29"/>
        <v>986495.47940731538</v>
      </c>
      <c r="AZ59" s="13">
        <f t="shared" si="29"/>
        <v>996360.4342013885</v>
      </c>
      <c r="BA59" s="13">
        <f t="shared" si="29"/>
        <v>1006324.0385434025</v>
      </c>
      <c r="BB59" s="13">
        <f t="shared" si="29"/>
        <v>1016387.2789288365</v>
      </c>
      <c r="BC59" s="13">
        <f t="shared" ref="BC59:DN59" si="30">+BB59*(1+$AY$63)</f>
        <v>1026551.1517181249</v>
      </c>
      <c r="BD59" s="13">
        <f t="shared" si="30"/>
        <v>1036816.6632353062</v>
      </c>
      <c r="BE59" s="13">
        <f t="shared" si="30"/>
        <v>1047184.8298676593</v>
      </c>
      <c r="BF59" s="13">
        <f t="shared" si="30"/>
        <v>1057656.6781663359</v>
      </c>
      <c r="BG59" s="13">
        <f t="shared" si="30"/>
        <v>1068233.2449479993</v>
      </c>
      <c r="BH59" s="13">
        <f t="shared" si="30"/>
        <v>1078915.5773974792</v>
      </c>
      <c r="BI59" s="13">
        <f t="shared" si="30"/>
        <v>1089704.7331714539</v>
      </c>
      <c r="BJ59" s="13">
        <f t="shared" si="30"/>
        <v>1100601.7805031685</v>
      </c>
      <c r="BK59" s="13">
        <f t="shared" si="30"/>
        <v>1111607.7983082002</v>
      </c>
      <c r="BL59" s="13">
        <f t="shared" si="30"/>
        <v>1122723.8762912822</v>
      </c>
      <c r="BM59" s="13">
        <f t="shared" si="30"/>
        <v>1133951.115054195</v>
      </c>
      <c r="BN59" s="13">
        <f t="shared" si="30"/>
        <v>1145290.626204737</v>
      </c>
      <c r="BO59" s="13">
        <f t="shared" si="30"/>
        <v>1156743.5324667844</v>
      </c>
      <c r="BP59" s="13">
        <f t="shared" si="30"/>
        <v>1168310.9677914523</v>
      </c>
      <c r="BQ59" s="13">
        <f t="shared" si="30"/>
        <v>1179994.0774693668</v>
      </c>
      <c r="BR59" s="13">
        <f t="shared" si="30"/>
        <v>1191794.0182440605</v>
      </c>
      <c r="BS59" s="13">
        <f t="shared" si="30"/>
        <v>1203711.9584265011</v>
      </c>
      <c r="BT59" s="13">
        <f t="shared" si="30"/>
        <v>1215749.0780107661</v>
      </c>
      <c r="BU59" s="13">
        <f t="shared" si="30"/>
        <v>1227906.5687908737</v>
      </c>
      <c r="BV59" s="13">
        <f t="shared" si="30"/>
        <v>1240185.6344787825</v>
      </c>
      <c r="BW59" s="13">
        <f t="shared" si="30"/>
        <v>1252587.4908235704</v>
      </c>
      <c r="BX59" s="13">
        <f t="shared" si="30"/>
        <v>1265113.365731806</v>
      </c>
      <c r="BY59" s="13">
        <f t="shared" si="30"/>
        <v>1277764.4993891241</v>
      </c>
      <c r="BZ59" s="13">
        <f t="shared" si="30"/>
        <v>1290542.1443830153</v>
      </c>
      <c r="CA59" s="13">
        <f t="shared" si="30"/>
        <v>1303447.5658268456</v>
      </c>
      <c r="CB59" s="13">
        <f t="shared" si="30"/>
        <v>1316482.041485114</v>
      </c>
      <c r="CC59" s="13">
        <f t="shared" si="30"/>
        <v>1329646.8618999652</v>
      </c>
      <c r="CD59" s="13">
        <f t="shared" si="30"/>
        <v>1342943.3305189649</v>
      </c>
      <c r="CE59" s="13">
        <f t="shared" si="30"/>
        <v>1356372.7638241546</v>
      </c>
      <c r="CF59" s="13">
        <f t="shared" si="30"/>
        <v>1369936.4914623962</v>
      </c>
      <c r="CG59" s="13">
        <f t="shared" si="30"/>
        <v>1383635.8563770202</v>
      </c>
      <c r="CH59" s="13">
        <f t="shared" si="30"/>
        <v>1397472.2149407906</v>
      </c>
      <c r="CI59" s="13">
        <f t="shared" si="30"/>
        <v>1411446.9370901985</v>
      </c>
      <c r="CJ59" s="13">
        <f t="shared" si="30"/>
        <v>1425561.4064611006</v>
      </c>
      <c r="CK59" s="13">
        <f t="shared" si="30"/>
        <v>1439817.0205257116</v>
      </c>
      <c r="CL59" s="13">
        <f t="shared" si="30"/>
        <v>1454215.1907309687</v>
      </c>
      <c r="CM59" s="13">
        <f t="shared" si="30"/>
        <v>1468757.3426382784</v>
      </c>
      <c r="CN59" s="13">
        <f t="shared" si="30"/>
        <v>1483444.9160646612</v>
      </c>
      <c r="CO59" s="13">
        <f t="shared" si="30"/>
        <v>1498279.3652253079</v>
      </c>
      <c r="CP59" s="13">
        <f t="shared" si="30"/>
        <v>1513262.1588775609</v>
      </c>
      <c r="CQ59" s="13">
        <f t="shared" si="30"/>
        <v>1528394.7804663365</v>
      </c>
      <c r="CR59" s="13">
        <f t="shared" si="30"/>
        <v>1543678.7282709999</v>
      </c>
      <c r="CS59" s="13">
        <f t="shared" si="30"/>
        <v>1559115.5155537098</v>
      </c>
      <c r="CT59" s="13">
        <f t="shared" si="30"/>
        <v>1574706.670709247</v>
      </c>
      <c r="CU59" s="13">
        <f t="shared" si="30"/>
        <v>1590453.7374163396</v>
      </c>
      <c r="CV59" s="13">
        <f t="shared" si="30"/>
        <v>1606358.2747905031</v>
      </c>
      <c r="CW59" s="13">
        <f t="shared" si="30"/>
        <v>1622421.8575384081</v>
      </c>
      <c r="CX59" s="13">
        <f t="shared" si="30"/>
        <v>1638646.0761137921</v>
      </c>
      <c r="CY59" s="13">
        <f t="shared" si="30"/>
        <v>1655032.5368749301</v>
      </c>
      <c r="CZ59" s="13">
        <f t="shared" si="30"/>
        <v>1671582.8622436794</v>
      </c>
      <c r="DA59" s="13">
        <f t="shared" si="30"/>
        <v>1688298.6908661162</v>
      </c>
      <c r="DB59" s="13">
        <f t="shared" si="30"/>
        <v>1705181.6777747774</v>
      </c>
      <c r="DC59" s="13">
        <f t="shared" si="30"/>
        <v>1722233.4945525252</v>
      </c>
      <c r="DD59" s="13">
        <f t="shared" si="30"/>
        <v>1739455.8294980505</v>
      </c>
      <c r="DE59" s="13">
        <f t="shared" si="30"/>
        <v>1756850.3877930311</v>
      </c>
      <c r="DF59" s="13">
        <f t="shared" si="30"/>
        <v>1774418.8916709614</v>
      </c>
      <c r="DG59" s="13">
        <f t="shared" si="30"/>
        <v>1792163.0805876711</v>
      </c>
      <c r="DH59" s="13">
        <f t="shared" si="30"/>
        <v>1810084.7113935479</v>
      </c>
      <c r="DI59" s="13">
        <f t="shared" si="30"/>
        <v>1828185.5585074835</v>
      </c>
      <c r="DJ59" s="13">
        <f t="shared" si="30"/>
        <v>1846467.4140925582</v>
      </c>
      <c r="DK59" s="13">
        <f t="shared" si="30"/>
        <v>1864932.0882334837</v>
      </c>
      <c r="DL59" s="13">
        <f t="shared" si="30"/>
        <v>1883581.4091158186</v>
      </c>
      <c r="DM59" s="13">
        <f t="shared" si="30"/>
        <v>1902417.2232069767</v>
      </c>
      <c r="DN59" s="13">
        <f t="shared" si="30"/>
        <v>1921441.3954390464</v>
      </c>
      <c r="DO59" s="13">
        <f t="shared" ref="DO59:FZ59" si="31">+DN59*(1+$AY$63)</f>
        <v>1940655.8093934369</v>
      </c>
      <c r="DP59" s="13">
        <f t="shared" si="31"/>
        <v>1960062.3674873712</v>
      </c>
      <c r="DQ59" s="13">
        <f t="shared" si="31"/>
        <v>1979662.9911622449</v>
      </c>
      <c r="DR59" s="13">
        <f t="shared" si="31"/>
        <v>1999459.6210738674</v>
      </c>
      <c r="DS59" s="13">
        <f t="shared" si="31"/>
        <v>2019454.2172846061</v>
      </c>
      <c r="DT59" s="13">
        <f t="shared" si="31"/>
        <v>2039648.7594574522</v>
      </c>
      <c r="DU59" s="13">
        <f t="shared" si="31"/>
        <v>2060045.2470520267</v>
      </c>
      <c r="DV59" s="13">
        <f t="shared" si="31"/>
        <v>2080645.699522547</v>
      </c>
      <c r="DW59" s="13">
        <f t="shared" si="31"/>
        <v>2101452.1565177725</v>
      </c>
      <c r="DX59" s="13">
        <f t="shared" si="31"/>
        <v>2122466.6780829504</v>
      </c>
      <c r="DY59" s="13">
        <f t="shared" si="31"/>
        <v>2143691.3448637798</v>
      </c>
      <c r="DZ59" s="13">
        <f t="shared" si="31"/>
        <v>2165128.2583124177</v>
      </c>
      <c r="EA59" s="13">
        <f t="shared" si="31"/>
        <v>2186779.5408955417</v>
      </c>
      <c r="EB59" s="13">
        <f t="shared" si="31"/>
        <v>2208647.336304497</v>
      </c>
      <c r="EC59" s="13">
        <f t="shared" si="31"/>
        <v>2230733.8096675421</v>
      </c>
      <c r="ED59" s="13">
        <f t="shared" si="31"/>
        <v>2253041.1477642176</v>
      </c>
      <c r="EE59" s="13">
        <f t="shared" si="31"/>
        <v>2275571.5592418597</v>
      </c>
      <c r="EF59" s="13">
        <f t="shared" si="31"/>
        <v>2298327.2748342785</v>
      </c>
      <c r="EG59" s="13">
        <f t="shared" si="31"/>
        <v>2321310.5475826212</v>
      </c>
      <c r="EH59" s="13">
        <f t="shared" si="31"/>
        <v>2344523.6530584474</v>
      </c>
      <c r="EI59" s="13">
        <f t="shared" si="31"/>
        <v>2367968.8895890317</v>
      </c>
      <c r="EJ59" s="13">
        <f t="shared" si="31"/>
        <v>2391648.5784849222</v>
      </c>
      <c r="EK59" s="13">
        <f t="shared" si="31"/>
        <v>2415565.0642697713</v>
      </c>
      <c r="EL59" s="13">
        <f t="shared" si="31"/>
        <v>2439720.714912469</v>
      </c>
      <c r="EM59" s="13">
        <f t="shared" si="31"/>
        <v>2464117.9220615937</v>
      </c>
      <c r="EN59" s="13">
        <f t="shared" si="31"/>
        <v>2488759.1012822096</v>
      </c>
      <c r="EO59" s="13">
        <f t="shared" si="31"/>
        <v>2513646.6922950316</v>
      </c>
      <c r="EP59" s="13">
        <f t="shared" si="31"/>
        <v>2538783.1592179821</v>
      </c>
      <c r="EQ59" s="13">
        <f t="shared" si="31"/>
        <v>2564170.9908101619</v>
      </c>
      <c r="ER59" s="13">
        <f t="shared" si="31"/>
        <v>2589812.7007182636</v>
      </c>
      <c r="ES59" s="13">
        <f t="shared" si="31"/>
        <v>2615710.8277254463</v>
      </c>
      <c r="ET59" s="13">
        <f t="shared" si="31"/>
        <v>2641867.9360027006</v>
      </c>
      <c r="EU59" s="13">
        <f t="shared" si="31"/>
        <v>2668286.6153627275</v>
      </c>
      <c r="EV59" s="13">
        <f t="shared" si="31"/>
        <v>2694969.4815163547</v>
      </c>
      <c r="EW59" s="13">
        <f t="shared" si="31"/>
        <v>2721919.1763315182</v>
      </c>
      <c r="EX59" s="13">
        <f t="shared" si="31"/>
        <v>2749138.3680948336</v>
      </c>
      <c r="EY59" s="13">
        <f t="shared" si="31"/>
        <v>2776629.7517757821</v>
      </c>
      <c r="EZ59" s="13">
        <f t="shared" si="31"/>
        <v>2804396.04929354</v>
      </c>
      <c r="FA59" s="13">
        <f t="shared" si="31"/>
        <v>2832440.0097864754</v>
      </c>
      <c r="FB59" s="13">
        <f t="shared" si="31"/>
        <v>2860764.4098843401</v>
      </c>
      <c r="FC59" s="13">
        <f t="shared" si="31"/>
        <v>2889372.0539831836</v>
      </c>
      <c r="FD59" s="13">
        <f t="shared" si="31"/>
        <v>2918265.7745230156</v>
      </c>
      <c r="FE59" s="13">
        <f t="shared" si="31"/>
        <v>2947448.4322682456</v>
      </c>
      <c r="FF59" s="13">
        <f t="shared" si="31"/>
        <v>2976922.9165909281</v>
      </c>
      <c r="FG59" s="13">
        <f t="shared" si="31"/>
        <v>3006692.1457568374</v>
      </c>
      <c r="FH59" s="13">
        <f t="shared" si="31"/>
        <v>3036759.0672144056</v>
      </c>
      <c r="FI59" s="13">
        <f t="shared" si="31"/>
        <v>3067126.6578865498</v>
      </c>
      <c r="FJ59" s="13">
        <f t="shared" si="31"/>
        <v>3097797.9244654155</v>
      </c>
      <c r="FK59" s="13">
        <f t="shared" si="31"/>
        <v>3128775.9037100696</v>
      </c>
      <c r="FL59" s="13">
        <f t="shared" si="31"/>
        <v>3160063.6627471703</v>
      </c>
      <c r="FM59" s="13">
        <f t="shared" si="31"/>
        <v>3191664.2993746419</v>
      </c>
      <c r="FN59" s="13">
        <f t="shared" si="31"/>
        <v>3223580.9423683882</v>
      </c>
      <c r="FO59" s="13">
        <f t="shared" si="31"/>
        <v>3255816.7517920723</v>
      </c>
      <c r="FP59" s="13">
        <f t="shared" si="31"/>
        <v>3288374.9193099933</v>
      </c>
      <c r="FQ59" s="13">
        <f t="shared" si="31"/>
        <v>3321258.6685030931</v>
      </c>
      <c r="FR59" s="13">
        <f t="shared" si="31"/>
        <v>3354471.2551881243</v>
      </c>
      <c r="FS59" s="13">
        <f t="shared" si="31"/>
        <v>3388015.9677400053</v>
      </c>
      <c r="FT59" s="13">
        <f t="shared" si="31"/>
        <v>3421896.1274174056</v>
      </c>
      <c r="FU59" s="13">
        <f t="shared" si="31"/>
        <v>3456115.0886915796</v>
      </c>
      <c r="FV59" s="13">
        <f t="shared" si="31"/>
        <v>3490676.2395784953</v>
      </c>
      <c r="FW59" s="13">
        <f t="shared" si="31"/>
        <v>3525583.0019742805</v>
      </c>
      <c r="FX59" s="13">
        <f t="shared" si="31"/>
        <v>3560838.8319940232</v>
      </c>
      <c r="FY59" s="13">
        <f t="shared" si="31"/>
        <v>3596447.2203139635</v>
      </c>
      <c r="FZ59" s="13">
        <f t="shared" si="31"/>
        <v>3632411.6925171032</v>
      </c>
      <c r="GA59" s="13">
        <f t="shared" ref="GA59:GJ59" si="32">+FZ59*(1+$AY$63)</f>
        <v>3668735.8094422743</v>
      </c>
      <c r="GB59" s="13">
        <f t="shared" si="32"/>
        <v>3705423.1675366969</v>
      </c>
      <c r="GC59" s="13">
        <f t="shared" si="32"/>
        <v>3742477.3992120638</v>
      </c>
      <c r="GD59" s="13">
        <f t="shared" si="32"/>
        <v>3779902.1732041845</v>
      </c>
      <c r="GE59" s="13">
        <f t="shared" si="32"/>
        <v>3817701.1949362266</v>
      </c>
      <c r="GF59" s="13">
        <f t="shared" si="32"/>
        <v>3855878.2068855888</v>
      </c>
      <c r="GG59" s="13">
        <f t="shared" si="32"/>
        <v>3894436.9889544449</v>
      </c>
      <c r="GH59" s="13">
        <f t="shared" si="32"/>
        <v>3933381.3588439892</v>
      </c>
      <c r="GI59" s="13">
        <f t="shared" si="32"/>
        <v>3972715.1724324292</v>
      </c>
      <c r="GJ59" s="13">
        <f t="shared" si="32"/>
        <v>4012442.3241567533</v>
      </c>
      <c r="GK59" s="13">
        <f t="shared" ref="GK59:IL59" si="33">+GJ59*(1+$AY$63)</f>
        <v>4052566.7473983211</v>
      </c>
      <c r="GL59" s="13">
        <f t="shared" si="33"/>
        <v>4093092.4148723041</v>
      </c>
      <c r="GM59" s="13">
        <f t="shared" si="33"/>
        <v>4134023.3390210271</v>
      </c>
      <c r="GN59" s="13">
        <f t="shared" si="33"/>
        <v>4175363.5724112373</v>
      </c>
      <c r="GO59" s="13">
        <f t="shared" si="33"/>
        <v>4217117.2081353497</v>
      </c>
      <c r="GP59" s="13">
        <f t="shared" si="33"/>
        <v>4259288.3802167028</v>
      </c>
      <c r="GQ59" s="13">
        <f t="shared" si="33"/>
        <v>4301881.26401887</v>
      </c>
      <c r="GR59" s="13">
        <f t="shared" si="33"/>
        <v>4344900.0766590592</v>
      </c>
      <c r="GS59" s="13">
        <f t="shared" si="33"/>
        <v>4388349.0774256494</v>
      </c>
      <c r="GT59" s="13">
        <f t="shared" si="33"/>
        <v>4432232.5681999056</v>
      </c>
      <c r="GU59" s="13">
        <f t="shared" si="33"/>
        <v>4476554.8938819049</v>
      </c>
      <c r="GV59" s="13">
        <f t="shared" si="33"/>
        <v>4521320.4428207241</v>
      </c>
      <c r="GW59" s="13">
        <f t="shared" si="33"/>
        <v>4566533.6472489312</v>
      </c>
      <c r="GX59" s="13">
        <f t="shared" si="33"/>
        <v>4612198.9837214202</v>
      </c>
      <c r="GY59" s="13">
        <f t="shared" si="33"/>
        <v>4658320.9735586345</v>
      </c>
      <c r="GZ59" s="13">
        <f t="shared" si="33"/>
        <v>4704904.1832942208</v>
      </c>
      <c r="HA59" s="13">
        <f t="shared" si="33"/>
        <v>4751953.2251271633</v>
      </c>
      <c r="HB59" s="13">
        <f t="shared" si="33"/>
        <v>4799472.7573784348</v>
      </c>
      <c r="HC59" s="13">
        <f t="shared" si="33"/>
        <v>4847467.4849522188</v>
      </c>
      <c r="HD59" s="13">
        <f t="shared" si="33"/>
        <v>4895942.1598017411</v>
      </c>
      <c r="HE59" s="13">
        <f t="shared" si="33"/>
        <v>4944901.5813997583</v>
      </c>
      <c r="HF59" s="13">
        <f t="shared" si="33"/>
        <v>4994350.5972137563</v>
      </c>
      <c r="HG59" s="13">
        <f t="shared" si="33"/>
        <v>5044294.103185894</v>
      </c>
      <c r="HH59" s="13">
        <f t="shared" si="33"/>
        <v>5094737.0442177532</v>
      </c>
      <c r="HI59" s="13">
        <f t="shared" si="33"/>
        <v>5145684.4146599304</v>
      </c>
      <c r="HJ59" s="13">
        <f t="shared" si="33"/>
        <v>5197141.2588065295</v>
      </c>
      <c r="HK59" s="13">
        <f t="shared" si="33"/>
        <v>5249112.6713945949</v>
      </c>
      <c r="HL59" s="13">
        <f t="shared" si="33"/>
        <v>5301603.7981085414</v>
      </c>
      <c r="HM59" s="13">
        <f t="shared" si="33"/>
        <v>5354619.8360896269</v>
      </c>
      <c r="HN59" s="13">
        <f t="shared" si="33"/>
        <v>5408166.0344505236</v>
      </c>
      <c r="HO59" s="13">
        <f t="shared" si="33"/>
        <v>5462247.6947950292</v>
      </c>
      <c r="HP59" s="13">
        <f t="shared" si="33"/>
        <v>5516870.1717429794</v>
      </c>
      <c r="HQ59" s="13">
        <f t="shared" si="33"/>
        <v>5572038.8734604092</v>
      </c>
      <c r="HR59" s="13">
        <f t="shared" si="33"/>
        <v>5627759.2621950135</v>
      </c>
      <c r="HS59" s="13">
        <f t="shared" si="33"/>
        <v>5684036.8548169639</v>
      </c>
      <c r="HT59" s="13">
        <f t="shared" si="33"/>
        <v>5740877.2233651336</v>
      </c>
      <c r="HU59" s="13">
        <f t="shared" si="33"/>
        <v>5798285.9955987846</v>
      </c>
      <c r="HV59" s="13">
        <f t="shared" si="33"/>
        <v>5856268.8555547725</v>
      </c>
      <c r="HW59" s="13">
        <f t="shared" si="33"/>
        <v>5914831.5441103205</v>
      </c>
      <c r="HX59" s="13">
        <f t="shared" si="33"/>
        <v>5973979.8595514242</v>
      </c>
      <c r="HY59" s="13">
        <f t="shared" si="33"/>
        <v>6033719.6581469383</v>
      </c>
      <c r="HZ59" s="13">
        <f t="shared" si="33"/>
        <v>6094056.8547284082</v>
      </c>
      <c r="IA59" s="13">
        <f t="shared" si="33"/>
        <v>6154997.4232756924</v>
      </c>
      <c r="IB59" s="13">
        <f t="shared" si="33"/>
        <v>6216547.3975084489</v>
      </c>
      <c r="IC59" s="13">
        <f t="shared" si="33"/>
        <v>6278712.8714835336</v>
      </c>
      <c r="ID59" s="13">
        <f t="shared" si="33"/>
        <v>6341500.0001983689</v>
      </c>
      <c r="IE59" s="13">
        <f t="shared" si="33"/>
        <v>6404915.0002003526</v>
      </c>
      <c r="IF59" s="13">
        <f t="shared" si="33"/>
        <v>6468964.1502023563</v>
      </c>
      <c r="IG59" s="13">
        <f t="shared" si="33"/>
        <v>6533653.79170438</v>
      </c>
      <c r="IH59" s="13">
        <f t="shared" si="33"/>
        <v>6598990.329621424</v>
      </c>
      <c r="II59" s="13">
        <f t="shared" si="33"/>
        <v>6664980.2329176385</v>
      </c>
      <c r="IJ59" s="13">
        <f t="shared" si="33"/>
        <v>6731630.0352468146</v>
      </c>
      <c r="IK59" s="13">
        <f t="shared" si="33"/>
        <v>6798946.3355992828</v>
      </c>
      <c r="IL59" s="13">
        <f t="shared" si="33"/>
        <v>6866935.7989552757</v>
      </c>
    </row>
    <row r="61" spans="2:246" s="19" customFormat="1">
      <c r="B61" s="19" t="s">
        <v>49</v>
      </c>
      <c r="G61" s="19">
        <f t="shared" ref="G61:J65" si="34">+G44/C44-1</f>
        <v>-7.6888321808403326E-2</v>
      </c>
      <c r="H61" s="19">
        <f t="shared" si="34"/>
        <v>0.16155731634550308</v>
      </c>
      <c r="I61" s="19">
        <f t="shared" si="34"/>
        <v>0.36250835404618842</v>
      </c>
      <c r="J61" s="19">
        <f t="shared" si="34"/>
        <v>0.65022346322289004</v>
      </c>
      <c r="AI61" s="19">
        <f>+AI44/AH44-1</f>
        <v>-3.3841242397381066E-2</v>
      </c>
      <c r="AJ61" s="19">
        <f>+AJ44/AI44-1</f>
        <v>4.5429719618264253E-2</v>
      </c>
      <c r="AK61" s="19">
        <f>+AK44/AJ44-1</f>
        <v>0.27382745963613542</v>
      </c>
    </row>
    <row r="62" spans="2:246" s="19" customFormat="1">
      <c r="B62" s="19" t="s">
        <v>34</v>
      </c>
      <c r="G62" s="19">
        <f t="shared" si="34"/>
        <v>-5.3297690032395817E-2</v>
      </c>
      <c r="H62" s="19">
        <f t="shared" si="34"/>
        <v>4.749448077644014E-2</v>
      </c>
      <c r="I62" s="19">
        <f t="shared" si="34"/>
        <v>0.52548782223353152</v>
      </c>
      <c r="J62" s="19">
        <f t="shared" si="34"/>
        <v>0.41371857862582817</v>
      </c>
      <c r="AI62" s="19">
        <f t="shared" ref="AI62:AK65" si="35">+AI45/AH45-1</f>
        <v>0.11556448494426608</v>
      </c>
      <c r="AJ62" s="19">
        <f t="shared" si="35"/>
        <v>9.54502803655497E-2</v>
      </c>
      <c r="AK62" s="19">
        <f t="shared" si="35"/>
        <v>0.19692859866901546</v>
      </c>
    </row>
    <row r="63" spans="2:246" s="19" customFormat="1">
      <c r="B63" s="19" t="s">
        <v>50</v>
      </c>
      <c r="G63" s="19">
        <f t="shared" si="34"/>
        <v>-0.43822060727197121</v>
      </c>
      <c r="H63" s="19">
        <f t="shared" si="34"/>
        <v>1.0144124630316158</v>
      </c>
      <c r="I63" s="19">
        <f t="shared" si="34"/>
        <v>0.25852745334266336</v>
      </c>
      <c r="J63" s="19">
        <f t="shared" si="34"/>
        <v>0.75881467929956004</v>
      </c>
      <c r="AI63" s="19">
        <f t="shared" si="35"/>
        <v>-1.081338143653654E-2</v>
      </c>
      <c r="AJ63" s="19">
        <f t="shared" si="35"/>
        <v>-0.2468779322486846</v>
      </c>
      <c r="AK63" s="19">
        <f t="shared" si="35"/>
        <v>0.14831770538973732</v>
      </c>
      <c r="AX63" s="19" t="s">
        <v>52</v>
      </c>
      <c r="AY63" s="20">
        <v>0.01</v>
      </c>
    </row>
    <row r="64" spans="2:246" s="19" customFormat="1">
      <c r="B64" s="19" t="s">
        <v>31</v>
      </c>
      <c r="G64" s="19">
        <f t="shared" si="34"/>
        <v>-0.12612094464528867</v>
      </c>
      <c r="H64" s="19">
        <f t="shared" si="34"/>
        <v>0.81297121672845418</v>
      </c>
      <c r="I64" s="19">
        <f t="shared" si="34"/>
        <v>3.1950915111422118</v>
      </c>
      <c r="J64" s="19">
        <f t="shared" si="34"/>
        <v>-0.65938376433284718</v>
      </c>
      <c r="AI64" s="19">
        <f t="shared" si="35"/>
        <v>-0.12059481721762577</v>
      </c>
      <c r="AJ64" s="19">
        <f t="shared" si="35"/>
        <v>-0.2468779322486846</v>
      </c>
      <c r="AK64" s="19">
        <f t="shared" si="35"/>
        <v>1.807719886789827E-2</v>
      </c>
      <c r="AX64" s="19" t="s">
        <v>53</v>
      </c>
      <c r="AY64" s="20">
        <v>0.08</v>
      </c>
    </row>
    <row r="65" spans="2:51" s="18" customFormat="1">
      <c r="B65" s="18" t="s">
        <v>46</v>
      </c>
      <c r="G65" s="18">
        <f t="shared" si="34"/>
        <v>-0.12612094464528856</v>
      </c>
      <c r="H65" s="18">
        <f t="shared" si="34"/>
        <v>0.20864747781896953</v>
      </c>
      <c r="I65" s="18">
        <f t="shared" si="34"/>
        <v>0.39836383704740408</v>
      </c>
      <c r="J65" s="18">
        <f t="shared" si="34"/>
        <v>0.55676444001938918</v>
      </c>
      <c r="AI65" s="19">
        <f t="shared" si="35"/>
        <v>-2.0540515964771022E-2</v>
      </c>
      <c r="AJ65" s="19">
        <f t="shared" si="35"/>
        <v>4.1627570017539473E-3</v>
      </c>
      <c r="AK65" s="19">
        <f t="shared" si="35"/>
        <v>0.24563121061485815</v>
      </c>
      <c r="AL65" s="19">
        <f t="shared" ref="AL65:AT65" si="36">+AL48/AK48-1</f>
        <v>0.10000000000000009</v>
      </c>
      <c r="AM65" s="19">
        <f t="shared" si="36"/>
        <v>0.10000000000000009</v>
      </c>
      <c r="AN65" s="19">
        <f t="shared" si="36"/>
        <v>0.10000000000000009</v>
      </c>
      <c r="AO65" s="19">
        <f t="shared" si="36"/>
        <v>0.10000000000000009</v>
      </c>
      <c r="AP65" s="19">
        <f t="shared" si="36"/>
        <v>0.10000000000000009</v>
      </c>
      <c r="AQ65" s="19">
        <f t="shared" si="36"/>
        <v>0.10000000000000009</v>
      </c>
      <c r="AR65" s="19">
        <f t="shared" si="36"/>
        <v>0.10000000000000009</v>
      </c>
      <c r="AS65" s="19">
        <f t="shared" si="36"/>
        <v>0.10000000000000009</v>
      </c>
      <c r="AT65" s="19">
        <f t="shared" si="36"/>
        <v>0.10000000000000009</v>
      </c>
      <c r="AX65" s="18" t="s">
        <v>54</v>
      </c>
      <c r="AY65" s="21">
        <f>NPV(AY64,AK59:IL59)</f>
        <v>10072318.364323752</v>
      </c>
    </row>
    <row r="66" spans="2:51">
      <c r="AX66" s="1" t="s">
        <v>55</v>
      </c>
      <c r="AY66" s="1">
        <f>+(Main!F7-Main!F8)*1000</f>
        <v>127882</v>
      </c>
    </row>
    <row r="67" spans="2:51">
      <c r="AX67" s="1" t="s">
        <v>56</v>
      </c>
      <c r="AY67" s="1">
        <f>+SUM(AY65:AY66)</f>
        <v>10200200.364323752</v>
      </c>
    </row>
    <row r="68" spans="2:51">
      <c r="B68" s="1" t="s">
        <v>163</v>
      </c>
      <c r="F68" s="1">
        <v>104167</v>
      </c>
      <c r="G68" s="1">
        <v>137950</v>
      </c>
      <c r="H68" s="1">
        <v>74232</v>
      </c>
      <c r="I68" s="1">
        <v>127882</v>
      </c>
      <c r="M68" s="1">
        <v>4647.16</v>
      </c>
      <c r="N68" s="1">
        <v>4578.2780000000002</v>
      </c>
      <c r="O68" s="1">
        <v>11104.14</v>
      </c>
      <c r="P68" s="1">
        <v>33485.542999999998</v>
      </c>
      <c r="Q68" s="1">
        <v>44800.900999999998</v>
      </c>
      <c r="AX68" s="1" t="s">
        <v>1</v>
      </c>
      <c r="AY68" s="1">
        <f>+Main!F5*1000</f>
        <v>65756.834999999992</v>
      </c>
    </row>
    <row r="69" spans="2:51">
      <c r="B69" s="1" t="s">
        <v>168</v>
      </c>
      <c r="F69" s="1">
        <v>48884</v>
      </c>
      <c r="G69" s="1">
        <v>38757</v>
      </c>
      <c r="H69" s="1">
        <v>40338</v>
      </c>
      <c r="I69" s="1">
        <v>50118</v>
      </c>
      <c r="M69" s="1">
        <v>1761.2660000000001</v>
      </c>
      <c r="N69" s="1">
        <v>1219.1469999999999</v>
      </c>
      <c r="O69" s="1">
        <v>3022.2139999999999</v>
      </c>
      <c r="P69" s="1">
        <v>3125.4369999999999</v>
      </c>
      <c r="Q69" s="1">
        <v>5221.3069999999998</v>
      </c>
      <c r="AX69" s="1" t="s">
        <v>57</v>
      </c>
      <c r="AY69" s="1">
        <f>+AY67/AY68</f>
        <v>155.12000181157978</v>
      </c>
    </row>
    <row r="70" spans="2:51">
      <c r="B70" s="1" t="s">
        <v>169</v>
      </c>
      <c r="F70" s="1">
        <v>2676</v>
      </c>
      <c r="G70" s="1">
        <v>3109</v>
      </c>
      <c r="H70" s="1">
        <v>5637</v>
      </c>
      <c r="I70" s="1">
        <v>10190</v>
      </c>
      <c r="AX70" s="1" t="s">
        <v>72</v>
      </c>
      <c r="AY70" s="1">
        <f>+Main!F4</f>
        <v>144</v>
      </c>
    </row>
    <row r="71" spans="2:51">
      <c r="B71" s="1" t="s">
        <v>170</v>
      </c>
      <c r="F71" s="1">
        <v>9788</v>
      </c>
      <c r="G71" s="1">
        <v>11417</v>
      </c>
      <c r="H71" s="1">
        <v>10904</v>
      </c>
      <c r="I71" s="1">
        <v>11620</v>
      </c>
      <c r="AX71" s="12" t="s">
        <v>73</v>
      </c>
      <c r="AY71" s="18">
        <f>+AY69/AY70-1</f>
        <v>7.7222234802637457E-2</v>
      </c>
    </row>
    <row r="72" spans="2:51">
      <c r="B72" s="1" t="s">
        <v>171</v>
      </c>
      <c r="F72" s="1">
        <v>1911</v>
      </c>
      <c r="G72" s="1">
        <v>1815</v>
      </c>
      <c r="H72" s="1">
        <v>2387</v>
      </c>
      <c r="I72" s="1">
        <v>2295</v>
      </c>
    </row>
    <row r="73" spans="2:51">
      <c r="B73" s="1" t="s">
        <v>172</v>
      </c>
      <c r="F73" s="1">
        <f>SUM(F68:F72)</f>
        <v>167426</v>
      </c>
      <c r="G73" s="1">
        <f>SUM(G68:G72)</f>
        <v>193048</v>
      </c>
      <c r="H73" s="1">
        <f>SUM(H68:H72)</f>
        <v>133498</v>
      </c>
      <c r="I73" s="1">
        <f>SUM(I68:I72)</f>
        <v>202105</v>
      </c>
    </row>
    <row r="74" spans="2:51">
      <c r="B74" s="1" t="s">
        <v>173</v>
      </c>
      <c r="F74" s="1">
        <v>3075574</v>
      </c>
      <c r="G74" s="1">
        <v>3038495</v>
      </c>
      <c r="H74" s="1">
        <v>3053988</v>
      </c>
      <c r="I74" s="1">
        <v>3021324</v>
      </c>
    </row>
    <row r="75" spans="2:51">
      <c r="B75" s="1" t="s">
        <v>174</v>
      </c>
      <c r="F75" s="1">
        <v>118057</v>
      </c>
      <c r="G75" s="1">
        <v>81765</v>
      </c>
      <c r="H75" s="1">
        <v>81535</v>
      </c>
      <c r="I75" s="1">
        <v>78196</v>
      </c>
    </row>
    <row r="76" spans="2:51">
      <c r="B76" s="1" t="s">
        <v>167</v>
      </c>
      <c r="F76" s="1">
        <f>+SUM(F73:F75)</f>
        <v>3361057</v>
      </c>
      <c r="G76" s="1">
        <f>+SUM(G73:G75)</f>
        <v>3313308</v>
      </c>
      <c r="H76" s="1">
        <f>+SUM(H73:H75)</f>
        <v>3269021</v>
      </c>
      <c r="I76" s="1">
        <f>+SUM(I73:I75)</f>
        <v>3301625</v>
      </c>
    </row>
    <row r="78" spans="2:51">
      <c r="B78" s="1" t="s">
        <v>175</v>
      </c>
      <c r="F78" s="1">
        <v>11441</v>
      </c>
      <c r="G78" s="1">
        <v>11599</v>
      </c>
      <c r="H78" s="1">
        <v>13227</v>
      </c>
      <c r="I78" s="1">
        <v>13245</v>
      </c>
    </row>
    <row r="79" spans="2:51">
      <c r="B79" s="1" t="s">
        <v>176</v>
      </c>
      <c r="F79" s="1">
        <v>26292</v>
      </c>
      <c r="G79" s="1">
        <v>26311</v>
      </c>
      <c r="H79" s="1">
        <v>26314</v>
      </c>
      <c r="I79" s="1">
        <v>26320</v>
      </c>
    </row>
    <row r="80" spans="2:51">
      <c r="B80" s="1" t="s">
        <v>177</v>
      </c>
      <c r="F80" s="1">
        <v>15557</v>
      </c>
      <c r="G80" s="1">
        <v>22022</v>
      </c>
      <c r="H80" s="1">
        <v>50000</v>
      </c>
      <c r="I80" s="1">
        <v>30386</v>
      </c>
    </row>
    <row r="81" spans="2:14">
      <c r="B81" s="1" t="s">
        <v>178</v>
      </c>
      <c r="F81" s="1">
        <v>19132</v>
      </c>
      <c r="G81" s="1">
        <v>17213</v>
      </c>
      <c r="H81" s="1">
        <v>18103</v>
      </c>
      <c r="I81" s="1">
        <v>16372</v>
      </c>
    </row>
    <row r="82" spans="2:14">
      <c r="B82" s="1" t="s">
        <v>179</v>
      </c>
      <c r="F82" s="1">
        <f>+SUM(F78:F81)</f>
        <v>72422</v>
      </c>
      <c r="G82" s="1">
        <f>+SUM(G78:G81)</f>
        <v>77145</v>
      </c>
      <c r="H82" s="1">
        <f>+SUM(H78:H81)</f>
        <v>107644</v>
      </c>
      <c r="I82" s="1">
        <f>+SUM(I78:I81)</f>
        <v>86323</v>
      </c>
    </row>
    <row r="83" spans="2:14">
      <c r="B83" s="1" t="s">
        <v>4</v>
      </c>
      <c r="F83" s="1">
        <v>245967</v>
      </c>
      <c r="G83" s="1">
        <v>146187</v>
      </c>
      <c r="H83" s="1">
        <v>0</v>
      </c>
      <c r="I83" s="1">
        <v>0</v>
      </c>
    </row>
    <row r="84" spans="2:14">
      <c r="B84" s="1" t="s">
        <v>180</v>
      </c>
      <c r="F84" s="1">
        <v>134299</v>
      </c>
      <c r="G84" s="1">
        <v>133934</v>
      </c>
      <c r="H84" s="1">
        <v>133351</v>
      </c>
      <c r="I84" s="1">
        <v>132857</v>
      </c>
    </row>
    <row r="85" spans="2:14">
      <c r="B85" s="1" t="s">
        <v>181</v>
      </c>
      <c r="F85" s="1">
        <v>0</v>
      </c>
      <c r="G85" s="1">
        <v>25000</v>
      </c>
      <c r="H85" s="1">
        <v>25000</v>
      </c>
      <c r="I85" s="1">
        <v>25000</v>
      </c>
    </row>
    <row r="86" spans="2:14">
      <c r="B86" s="1" t="s">
        <v>182</v>
      </c>
      <c r="F86" s="1">
        <v>7728</v>
      </c>
      <c r="G86" s="1">
        <v>7676</v>
      </c>
      <c r="H86" s="1">
        <v>7094</v>
      </c>
      <c r="I86" s="1">
        <v>6517</v>
      </c>
    </row>
    <row r="87" spans="2:14" s="12" customFormat="1">
      <c r="B87" s="12" t="s">
        <v>166</v>
      </c>
      <c r="F87" s="12">
        <f>+SUM(F82:F86)</f>
        <v>460416</v>
      </c>
      <c r="G87" s="12">
        <f>+SUM(G82:G86)</f>
        <v>389942</v>
      </c>
      <c r="H87" s="12">
        <f>+SUM(H82:H86)</f>
        <v>273089</v>
      </c>
      <c r="I87" s="12">
        <f>+SUM(I82:I86)</f>
        <v>250697</v>
      </c>
    </row>
    <row r="88" spans="2:14">
      <c r="B88" s="1" t="s">
        <v>165</v>
      </c>
      <c r="F88" s="1">
        <v>2900641</v>
      </c>
      <c r="G88" s="1">
        <v>2923366</v>
      </c>
      <c r="H88" s="1">
        <v>2981193</v>
      </c>
      <c r="I88" s="1">
        <v>3050928</v>
      </c>
    </row>
    <row r="89" spans="2:14" s="12" customFormat="1">
      <c r="B89" s="12" t="s">
        <v>164</v>
      </c>
      <c r="F89" s="12">
        <f>+SUM(F87:F88)</f>
        <v>3361057</v>
      </c>
      <c r="G89" s="12">
        <f>+SUM(G87:G88)</f>
        <v>3313308</v>
      </c>
      <c r="H89" s="12">
        <f>+SUM(H87:H88)</f>
        <v>3254282</v>
      </c>
      <c r="I89" s="12">
        <f>+SUM(I87:I88)</f>
        <v>3301625</v>
      </c>
    </row>
    <row r="95" spans="2:14">
      <c r="B95" s="1" t="s">
        <v>69</v>
      </c>
      <c r="C95" s="1">
        <v>108655</v>
      </c>
      <c r="D95" s="1">
        <f>216582-C95</f>
        <v>107927</v>
      </c>
      <c r="E95" s="1">
        <f>314704-SUM(C95:D95)</f>
        <v>98122</v>
      </c>
      <c r="G95" s="1">
        <v>138284</v>
      </c>
      <c r="H95" s="1">
        <f>251799-G95</f>
        <v>113515</v>
      </c>
      <c r="I95" s="1">
        <f>388450-SUM(G95:H95)</f>
        <v>136651</v>
      </c>
      <c r="M95" s="1">
        <v>4227.9459999999999</v>
      </c>
      <c r="N95" s="1">
        <v>3164.47</v>
      </c>
    </row>
    <row r="96" spans="2:14">
      <c r="B96" s="1" t="s">
        <v>70</v>
      </c>
      <c r="M96" s="1">
        <v>-8340.6290000000008</v>
      </c>
      <c r="N96" s="1">
        <v>-2195.4540000000002</v>
      </c>
    </row>
    <row r="97" spans="2:14" s="12" customFormat="1">
      <c r="B97" s="12" t="s">
        <v>71</v>
      </c>
      <c r="M97" s="12">
        <f>+SUM(M95:M96)</f>
        <v>-4112.6830000000009</v>
      </c>
      <c r="N97" s="12">
        <f>+SUM(N95:N96)</f>
        <v>969.01599999999962</v>
      </c>
    </row>
  </sheetData>
  <pageMargins left="0.7" right="0.7" top="0.75" bottom="0.75" header="0.3" footer="0.3"/>
  <ignoredErrors>
    <ignoredError sqref="H46 E53:F60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Sheet1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2024-12-21T23:16:15Z</dcterms:created>
  <dcterms:modified xsi:type="dcterms:W3CDTF">2025-02-09T04:42:50Z</dcterms:modified>
</cp:coreProperties>
</file>