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Basic Materials/paper/"/>
    </mc:Choice>
  </mc:AlternateContent>
  <xr:revisionPtr revIDLastSave="0" documentId="13_ncr:1_{5C17CC1B-CF0B-1948-8F4F-EE8D5792B2C0}" xr6:coauthVersionLast="47" xr6:coauthVersionMax="47" xr10:uidLastSave="{00000000-0000-0000-0000-000000000000}"/>
  <bookViews>
    <workbookView xWindow="900" yWindow="1880" windowWidth="29220" windowHeight="19640" xr2:uid="{B446C506-EB07-2D45-9E98-5C1849D093F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2" i="2" l="1"/>
  <c r="AD12" i="2"/>
  <c r="AC12" i="2"/>
  <c r="AB12" i="2"/>
  <c r="AA12" i="2"/>
  <c r="Z12" i="2"/>
  <c r="Y12" i="2"/>
  <c r="X12" i="2"/>
  <c r="W12" i="2"/>
  <c r="X30" i="2"/>
  <c r="Y30" i="2" s="1"/>
  <c r="Z30" i="2" s="1"/>
  <c r="AA30" i="2" s="1"/>
  <c r="AB30" i="2" s="1"/>
  <c r="AC30" i="2" s="1"/>
  <c r="AD30" i="2" s="1"/>
  <c r="AE30" i="2" s="1"/>
  <c r="W30" i="2"/>
  <c r="V30" i="2"/>
  <c r="V12" i="2"/>
  <c r="U30" i="2"/>
  <c r="S59" i="2"/>
  <c r="T59" i="2"/>
  <c r="U59" i="2"/>
  <c r="AI31" i="2"/>
  <c r="AI29" i="2"/>
  <c r="V7" i="2"/>
  <c r="V8" i="2" s="1"/>
  <c r="V17" i="2"/>
  <c r="W17" i="2" s="1"/>
  <c r="X17" i="2" s="1"/>
  <c r="Y17" i="2" s="1"/>
  <c r="Z17" i="2" s="1"/>
  <c r="AA17" i="2" s="1"/>
  <c r="AB17" i="2" s="1"/>
  <c r="AC17" i="2" s="1"/>
  <c r="AD17" i="2" s="1"/>
  <c r="AE17" i="2" s="1"/>
  <c r="V11" i="2"/>
  <c r="V10" i="2"/>
  <c r="U58" i="2"/>
  <c r="T58" i="2"/>
  <c r="S58" i="2"/>
  <c r="R58" i="2"/>
  <c r="Q58" i="2"/>
  <c r="P58" i="2"/>
  <c r="Q25" i="2"/>
  <c r="R25" i="2"/>
  <c r="S24" i="2"/>
  <c r="R24" i="2"/>
  <c r="Q24" i="2"/>
  <c r="J30" i="2"/>
  <c r="K30" i="2"/>
  <c r="J48" i="2"/>
  <c r="J53" i="2" s="1"/>
  <c r="J36" i="2"/>
  <c r="J42" i="2" s="1"/>
  <c r="K48" i="2"/>
  <c r="K53" i="2" s="1"/>
  <c r="K36" i="2"/>
  <c r="K42" i="2" s="1"/>
  <c r="U22" i="2"/>
  <c r="U21" i="2"/>
  <c r="U20" i="2"/>
  <c r="K23" i="2"/>
  <c r="K22" i="2"/>
  <c r="K21" i="2"/>
  <c r="K20" i="2"/>
  <c r="I22" i="2"/>
  <c r="I21" i="2"/>
  <c r="I20" i="2"/>
  <c r="H22" i="2"/>
  <c r="H21" i="2"/>
  <c r="H20" i="2"/>
  <c r="D6" i="2"/>
  <c r="H6" i="2"/>
  <c r="E6" i="2"/>
  <c r="I6" i="2"/>
  <c r="I23" i="2" s="1"/>
  <c r="F5" i="2"/>
  <c r="F4" i="2"/>
  <c r="F3" i="2"/>
  <c r="J5" i="2"/>
  <c r="J4" i="2"/>
  <c r="J3" i="2"/>
  <c r="T6" i="2"/>
  <c r="U6" i="2"/>
  <c r="K7" i="2"/>
  <c r="K25" i="2" s="1"/>
  <c r="G20" i="2"/>
  <c r="G23" i="2"/>
  <c r="G22" i="2"/>
  <c r="G21" i="2"/>
  <c r="C7" i="2"/>
  <c r="C25" i="2" s="1"/>
  <c r="G7" i="2"/>
  <c r="J7" i="2" s="1"/>
  <c r="H24" i="2"/>
  <c r="F16" i="2"/>
  <c r="F14" i="2"/>
  <c r="F12" i="2"/>
  <c r="F11" i="2"/>
  <c r="F10" i="2"/>
  <c r="F9" i="2"/>
  <c r="F8" i="2"/>
  <c r="I24" i="2"/>
  <c r="H25" i="2"/>
  <c r="D25" i="2"/>
  <c r="D13" i="2"/>
  <c r="D15" i="2" s="1"/>
  <c r="D17" i="2" s="1"/>
  <c r="H13" i="2"/>
  <c r="H15" i="2" s="1"/>
  <c r="H17" i="2" s="1"/>
  <c r="I25" i="2"/>
  <c r="E25" i="2"/>
  <c r="E13" i="2"/>
  <c r="E15" i="2" s="1"/>
  <c r="E17" i="2" s="1"/>
  <c r="I13" i="2"/>
  <c r="I15" i="2" s="1"/>
  <c r="J16" i="2"/>
  <c r="J14" i="2"/>
  <c r="J12" i="2"/>
  <c r="J11" i="2"/>
  <c r="J10" i="2"/>
  <c r="J9" i="2"/>
  <c r="J8" i="2"/>
  <c r="U25" i="2"/>
  <c r="S25" i="2"/>
  <c r="T25" i="2"/>
  <c r="T24" i="2"/>
  <c r="U24" i="2"/>
  <c r="S13" i="2"/>
  <c r="S15" i="2" s="1"/>
  <c r="T13" i="2"/>
  <c r="T15" i="2" s="1"/>
  <c r="T17" i="2" s="1"/>
  <c r="U13" i="2"/>
  <c r="U15" i="2" s="1"/>
  <c r="U17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K7" i="1"/>
  <c r="K5" i="1"/>
  <c r="L6" i="1"/>
  <c r="L7" i="1" s="1"/>
  <c r="V9" i="2" l="1"/>
  <c r="V24" i="2"/>
  <c r="W7" i="2"/>
  <c r="X7" i="2" s="1"/>
  <c r="Y7" i="2" s="1"/>
  <c r="Z7" i="2" s="1"/>
  <c r="AA7" i="2" s="1"/>
  <c r="AB7" i="2" s="1"/>
  <c r="AC7" i="2" s="1"/>
  <c r="AD7" i="2" s="1"/>
  <c r="AE7" i="2" s="1"/>
  <c r="J20" i="2"/>
  <c r="W8" i="2"/>
  <c r="X8" i="2" s="1"/>
  <c r="W24" i="2"/>
  <c r="W11" i="2"/>
  <c r="W10" i="2"/>
  <c r="V13" i="2"/>
  <c r="V14" i="2" s="1"/>
  <c r="W9" i="2"/>
  <c r="J22" i="2"/>
  <c r="G25" i="2"/>
  <c r="H23" i="2"/>
  <c r="J6" i="2"/>
  <c r="J21" i="2"/>
  <c r="G13" i="2"/>
  <c r="G15" i="2" s="1"/>
  <c r="G17" i="2" s="1"/>
  <c r="U23" i="2"/>
  <c r="K8" i="1"/>
  <c r="F6" i="2"/>
  <c r="F7" i="2"/>
  <c r="J24" i="2" s="1"/>
  <c r="K24" i="2"/>
  <c r="K13" i="2"/>
  <c r="K15" i="2" s="1"/>
  <c r="K17" i="2" s="1"/>
  <c r="G24" i="2"/>
  <c r="C13" i="2"/>
  <c r="F13" i="2" s="1"/>
  <c r="J25" i="2"/>
  <c r="J13" i="2"/>
  <c r="I17" i="2"/>
  <c r="S17" i="2"/>
  <c r="X24" i="2" l="1"/>
  <c r="X9" i="2"/>
  <c r="X10" i="2"/>
  <c r="Y10" i="2" s="1"/>
  <c r="V15" i="2"/>
  <c r="X11" i="2"/>
  <c r="Y11" i="2" s="1"/>
  <c r="J23" i="2"/>
  <c r="F25" i="2"/>
  <c r="J15" i="2"/>
  <c r="J17" i="2"/>
  <c r="C15" i="2"/>
  <c r="C17" i="2"/>
  <c r="F17" i="2" s="1"/>
  <c r="F15" i="2"/>
  <c r="AI35" i="2" l="1"/>
  <c r="W13" i="2"/>
  <c r="W14" i="2" s="1"/>
  <c r="V16" i="2"/>
  <c r="Y9" i="2"/>
  <c r="Z9" i="2" s="1"/>
  <c r="Y24" i="2"/>
  <c r="Y8" i="2"/>
  <c r="Z11" i="2"/>
  <c r="Z10" i="2"/>
  <c r="W15" i="2" l="1"/>
  <c r="W16" i="2" s="1"/>
  <c r="AA9" i="2"/>
  <c r="Z24" i="2"/>
  <c r="Z8" i="2"/>
  <c r="X13" i="2" l="1"/>
  <c r="X14" i="2" s="1"/>
  <c r="X15" i="2" s="1"/>
  <c r="X16" i="2" s="1"/>
  <c r="AA11" i="2"/>
  <c r="AA24" i="2"/>
  <c r="AA8" i="2"/>
  <c r="AA10" i="2"/>
  <c r="AB24" i="2" l="1"/>
  <c r="AB8" i="2"/>
  <c r="AB11" i="2"/>
  <c r="AC11" i="2" s="1"/>
  <c r="AB10" i="2"/>
  <c r="AB9" i="2"/>
  <c r="Y13" i="2" l="1"/>
  <c r="Y14" i="2" s="1"/>
  <c r="Y15" i="2" s="1"/>
  <c r="Y16" i="2" s="1"/>
  <c r="AD11" i="2"/>
  <c r="AC24" i="2"/>
  <c r="AC8" i="2"/>
  <c r="AC9" i="2"/>
  <c r="AD9" i="2" s="1"/>
  <c r="AC10" i="2"/>
  <c r="AD10" i="2" s="1"/>
  <c r="Z13" i="2" l="1"/>
  <c r="Z14" i="2" s="1"/>
  <c r="Z15" i="2" s="1"/>
  <c r="Z16" i="2" s="1"/>
  <c r="AD24" i="2"/>
  <c r="AD8" i="2"/>
  <c r="AE24" i="2" l="1"/>
  <c r="AE8" i="2"/>
  <c r="AE9" i="2"/>
  <c r="AE10" i="2"/>
  <c r="AE11" i="2"/>
  <c r="AA13" i="2" l="1"/>
  <c r="AA14" i="2" s="1"/>
  <c r="AA15" i="2" s="1"/>
  <c r="AA16" i="2" s="1"/>
  <c r="AB13" i="2" l="1"/>
  <c r="AB14" i="2" s="1"/>
  <c r="AB15" i="2" s="1"/>
  <c r="AB16" i="2" s="1"/>
  <c r="AC13" i="2" l="1"/>
  <c r="AC14" i="2" s="1"/>
  <c r="AC15" i="2" s="1"/>
  <c r="AC16" i="2" s="1"/>
  <c r="AD13" i="2" l="1"/>
  <c r="AD14" i="2" s="1"/>
  <c r="AD15" i="2" s="1"/>
  <c r="AD16" i="2" l="1"/>
  <c r="AE13" i="2" l="1"/>
  <c r="AE14" i="2" s="1"/>
  <c r="AE15" i="2" s="1"/>
  <c r="AE16" i="2" l="1"/>
  <c r="AF15" i="2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AI28" i="2" s="1"/>
  <c r="AI30" i="2" s="1"/>
  <c r="AI32" i="2" s="1"/>
</calcChain>
</file>

<file path=xl/sharedStrings.xml><?xml version="1.0" encoding="utf-8"?>
<sst xmlns="http://schemas.openxmlformats.org/spreadsheetml/2006/main" count="122" uniqueCount="114">
  <si>
    <t>P</t>
  </si>
  <si>
    <t>S</t>
  </si>
  <si>
    <t>MC</t>
  </si>
  <si>
    <t>C</t>
  </si>
  <si>
    <t>D</t>
  </si>
  <si>
    <t>EV</t>
  </si>
  <si>
    <t>Q125</t>
  </si>
  <si>
    <t>CEO</t>
  </si>
  <si>
    <t>CFO</t>
  </si>
  <si>
    <t>Q124</t>
  </si>
  <si>
    <t>Q224</t>
  </si>
  <si>
    <t>Q324</t>
  </si>
  <si>
    <t>Q424</t>
  </si>
  <si>
    <t>Q225</t>
  </si>
  <si>
    <t>Q325</t>
  </si>
  <si>
    <t>Sales</t>
  </si>
  <si>
    <t>SG&amp;A</t>
  </si>
  <si>
    <t>D&amp;A</t>
  </si>
  <si>
    <t>Taxes Other</t>
  </si>
  <si>
    <t>Interesdt Exp</t>
  </si>
  <si>
    <t>EBT</t>
  </si>
  <si>
    <t xml:space="preserve">Net Income </t>
  </si>
  <si>
    <t>Diluted</t>
  </si>
  <si>
    <t>Eps</t>
  </si>
  <si>
    <t>Sales y/y</t>
  </si>
  <si>
    <t>Gm%</t>
  </si>
  <si>
    <t>Q425</t>
  </si>
  <si>
    <t>Q123</t>
  </si>
  <si>
    <t>Q223</t>
  </si>
  <si>
    <t>Q323</t>
  </si>
  <si>
    <t>Q423</t>
  </si>
  <si>
    <t xml:space="preserve">Europe </t>
  </si>
  <si>
    <t xml:space="preserve">Latam </t>
  </si>
  <si>
    <t xml:space="preserve">North America </t>
  </si>
  <si>
    <t xml:space="preserve">Intercompany </t>
  </si>
  <si>
    <t xml:space="preserve">Cash </t>
  </si>
  <si>
    <t>Acct/Note rec</t>
  </si>
  <si>
    <t xml:space="preserve">Contract Asset </t>
  </si>
  <si>
    <t xml:space="preserve">Inventories </t>
  </si>
  <si>
    <t>OCA</t>
  </si>
  <si>
    <t xml:space="preserve">Current Assets </t>
  </si>
  <si>
    <t>PPE</t>
  </si>
  <si>
    <t>Forestlands</t>
  </si>
  <si>
    <t xml:space="preserve">Goodwill </t>
  </si>
  <si>
    <t>Rigth of Use</t>
  </si>
  <si>
    <t xml:space="preserve">Deferred Charges </t>
  </si>
  <si>
    <t xml:space="preserve">Total Assets </t>
  </si>
  <si>
    <t xml:space="preserve">Current Liabilities </t>
  </si>
  <si>
    <t>A/P</t>
  </si>
  <si>
    <t>Notes pay + curr debt</t>
  </si>
  <si>
    <t>Accrued payroll</t>
  </si>
  <si>
    <t>Ocl</t>
  </si>
  <si>
    <t>LTD</t>
  </si>
  <si>
    <t>Deferred income tx</t>
  </si>
  <si>
    <t>OL</t>
  </si>
  <si>
    <t xml:space="preserve">Equity </t>
  </si>
  <si>
    <t>TL + E</t>
  </si>
  <si>
    <t xml:space="preserve">Net Cash </t>
  </si>
  <si>
    <t xml:space="preserve">Sylvamo Corp </t>
  </si>
  <si>
    <t>Jean-Michel Ribieras</t>
  </si>
  <si>
    <t>retiresd 12/31/25</t>
  </si>
  <si>
    <t>Don Devlin</t>
  </si>
  <si>
    <t>HQ</t>
  </si>
  <si>
    <t>Memphis, TN</t>
  </si>
  <si>
    <t>Founded</t>
  </si>
  <si>
    <t xml:space="preserve">Paper Supply Chain </t>
  </si>
  <si>
    <t>Step 0</t>
  </si>
  <si>
    <t>Step 2</t>
  </si>
  <si>
    <t>Step 1</t>
  </si>
  <si>
    <t>Step 3</t>
  </si>
  <si>
    <t>Step 4</t>
  </si>
  <si>
    <t>Step 5</t>
  </si>
  <si>
    <t>raw materials: trees (eucalyptus or pine)</t>
  </si>
  <si>
    <t xml:space="preserve">logs get chipped ---&gt; cooked with chemicals --&gt; turned into pulp || SLVM sells market pulp to others and uses some in house </t>
  </si>
  <si>
    <t>Stage</t>
  </si>
  <si>
    <t xml:space="preserve">Forests </t>
  </si>
  <si>
    <t>Pulping (Raw Material Conversion)</t>
  </si>
  <si>
    <t>Papermaking (Uncoated Freesheet)</t>
  </si>
  <si>
    <t>pulp is processed into large rolls/sheets of uncoated freesheet paper (UFS) || this is clasic white paper (copy paper like staples 8.5x11), printing paper, notebook filler, envelopes, commercial printing)</t>
  </si>
  <si>
    <t xml:space="preserve">Conversion/Branding </t>
  </si>
  <si>
    <t>SLVM may brand the paper directly other times paper is rebranded by the seller</t>
  </si>
  <si>
    <t>End Use</t>
  </si>
  <si>
    <t xml:space="preserve">Offices: printers, copiers, reports | Schools: notebooks, worksheets |Gov/legal: forms, mailers | Printers: books, promotional materials </t>
  </si>
  <si>
    <t xml:space="preserve">step 2 sold to Marchants/Disti (e.g Veritiv/Staples B2B), Retailers: (WMT, Office Depot), E-commerce resellers (Amzn, Alibaba), Printers and form manufacturers </t>
  </si>
  <si>
    <t xml:space="preserve">Market Dynamics </t>
  </si>
  <si>
    <t>NA market shrinking due to digitization  (~2-3% per yr?)</t>
  </si>
  <si>
    <t xml:space="preserve">Latam growing/stable </t>
  </si>
  <si>
    <t xml:space="preserve">Paper Making Process </t>
  </si>
  <si>
    <t xml:space="preserve">Logging/Wood harvesting </t>
  </si>
  <si>
    <t>sources logs, mostly softwoods (pine or eucalyptus)</t>
  </si>
  <si>
    <t>Wood Chipping</t>
  </si>
  <si>
    <t xml:space="preserve">Logs go through industrial wood chippers to make wood chips </t>
  </si>
  <si>
    <t xml:space="preserve">Chemical Pulping </t>
  </si>
  <si>
    <t>chips are cooekd in a chemical solution (kraft process: sodium hydroxide + sodium sulfide), this breaks down lignin (glue in wood) and seperates usable fibers</t>
  </si>
  <si>
    <t xml:space="preserve">Bleaching </t>
  </si>
  <si>
    <t>pulp is bleached (oxygen + hydrogen peroxide or chlorine dioxide) to create bright white fibers</t>
  </si>
  <si>
    <t xml:space="preserve">Washing &amp;  Drying </t>
  </si>
  <si>
    <t>paper machine</t>
  </si>
  <si>
    <t>slurry is poured onto moving mesh screen --&gt; water drains out; paper sheet is formed and pressed, heated, and rolled.  Result: massive rolls</t>
  </si>
  <si>
    <t>Shipping</t>
  </si>
  <si>
    <t>Steps</t>
  </si>
  <si>
    <t>CFFO</t>
  </si>
  <si>
    <t>Capex</t>
  </si>
  <si>
    <t>FCF</t>
  </si>
  <si>
    <t xml:space="preserve">terminal </t>
  </si>
  <si>
    <t>discount</t>
  </si>
  <si>
    <t>shares</t>
  </si>
  <si>
    <t>estimate</t>
  </si>
  <si>
    <t>current</t>
  </si>
  <si>
    <t xml:space="preserve">Upside </t>
  </si>
  <si>
    <t>EV/E</t>
  </si>
  <si>
    <t xml:space="preserve">Equity Value </t>
  </si>
  <si>
    <t>ROIC</t>
  </si>
  <si>
    <t xml:space="preserve">jumbo rolls cur into sizes in house if SLVM is doing finished goods or sold by the 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</si>
</sst>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\x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2" borderId="0" xfId="0" applyNumberFormat="1" applyFont="1" applyFill="1" applyAlignment="1">
      <alignment horizontal="right"/>
    </xf>
    <xf numFmtId="3" fontId="0" fillId="0" borderId="1" xfId="0" applyNumberFormat="1" applyBorder="1"/>
    <xf numFmtId="3" fontId="0" fillId="0" borderId="2" xfId="0" applyNumberFormat="1" applyBorder="1"/>
    <xf numFmtId="9" fontId="0" fillId="2" borderId="0" xfId="0" applyNumberFormat="1" applyFill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left"/>
    </xf>
    <xf numFmtId="3" fontId="2" fillId="3" borderId="0" xfId="0" applyNumberFormat="1" applyFont="1" applyFill="1"/>
    <xf numFmtId="3" fontId="0" fillId="3" borderId="0" xfId="0" applyNumberFormat="1" applyFill="1"/>
    <xf numFmtId="3" fontId="3" fillId="3" borderId="0" xfId="0" applyNumberFormat="1" applyFont="1" applyFill="1"/>
    <xf numFmtId="3" fontId="1" fillId="3" borderId="0" xfId="0" applyNumberFormat="1" applyFont="1" applyFill="1"/>
    <xf numFmtId="164" fontId="0" fillId="0" borderId="0" xfId="0" applyNumberFormat="1"/>
    <xf numFmtId="3" fontId="4" fillId="0" borderId="0" xfId="0" applyNumberFormat="1" applyFont="1"/>
    <xf numFmtId="165" fontId="0" fillId="0" borderId="0" xfId="0" applyNumberFormat="1"/>
    <xf numFmtId="3" fontId="4" fillId="0" borderId="1" xfId="0" applyNumberFormat="1" applyFont="1" applyBorder="1"/>
    <xf numFmtId="3" fontId="4" fillId="0" borderId="2" xfId="0" applyNumberFormat="1" applyFont="1" applyBorder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13</xdr:row>
      <xdr:rowOff>127000</xdr:rowOff>
    </xdr:from>
    <xdr:to>
      <xdr:col>0</xdr:col>
      <xdr:colOff>566419</xdr:colOff>
      <xdr:row>19</xdr:row>
      <xdr:rowOff>177800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BB0D7426-8EA2-8AFE-07AF-0D4F3894C8B3}"/>
            </a:ext>
          </a:extLst>
        </xdr:cNvPr>
        <xdr:cNvSpPr/>
      </xdr:nvSpPr>
      <xdr:spPr>
        <a:xfrm>
          <a:off x="520700" y="3378200"/>
          <a:ext cx="45719" cy="127000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50800</xdr:rowOff>
    </xdr:from>
    <xdr:to>
      <xdr:col>11</xdr:col>
      <xdr:colOff>38100</xdr:colOff>
      <xdr:row>59</xdr:row>
      <xdr:rowOff>139700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B3B9B3F-EA48-469D-AA5D-90FBE5D1A4D5}"/>
            </a:ext>
          </a:extLst>
        </xdr:cNvPr>
        <xdr:cNvCxnSpPr/>
      </xdr:nvCxnSpPr>
      <xdr:spPr>
        <a:xfrm>
          <a:off x="3238500" y="50800"/>
          <a:ext cx="38100" cy="10452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0</xdr:row>
      <xdr:rowOff>38100</xdr:rowOff>
    </xdr:from>
    <xdr:to>
      <xdr:col>21</xdr:col>
      <xdr:colOff>38100</xdr:colOff>
      <xdr:row>60</xdr:row>
      <xdr:rowOff>63500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B6EC35A-45B8-51B4-EDB2-E068B96AB33A}"/>
            </a:ext>
          </a:extLst>
        </xdr:cNvPr>
        <xdr:cNvCxnSpPr/>
      </xdr:nvCxnSpPr>
      <xdr:spPr>
        <a:xfrm>
          <a:off x="9817100" y="38100"/>
          <a:ext cx="25400" cy="12217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49E4-8E61-5E4D-8CDC-6643664E4F5B}">
  <dimension ref="B2:T34"/>
  <sheetViews>
    <sheetView showGridLines="0" tabSelected="1" workbookViewId="0">
      <selection activeCell="C33" sqref="C33"/>
    </sheetView>
  </sheetViews>
  <sheetFormatPr baseColWidth="10" defaultRowHeight="16" x14ac:dyDescent="0.2"/>
  <cols>
    <col min="1" max="1" width="7.83203125" style="1" customWidth="1"/>
    <col min="2" max="2" width="22.1640625" style="1" customWidth="1"/>
    <col min="3" max="3" width="29.33203125" style="1" customWidth="1"/>
    <col min="4" max="9" width="10.83203125" style="1"/>
    <col min="10" max="10" width="4" style="1" bestFit="1" customWidth="1"/>
    <col min="11" max="11" width="5.6640625" style="1" bestFit="1" customWidth="1"/>
    <col min="12" max="12" width="5.5" style="1" bestFit="1" customWidth="1"/>
    <col min="13" max="16384" width="10.83203125" style="1"/>
  </cols>
  <sheetData>
    <row r="2" spans="2:20" x14ac:dyDescent="0.2">
      <c r="B2" s="1" t="s">
        <v>58</v>
      </c>
    </row>
    <row r="3" spans="2:20" x14ac:dyDescent="0.2">
      <c r="B3" s="1" t="s">
        <v>7</v>
      </c>
      <c r="C3" s="1" t="s">
        <v>59</v>
      </c>
      <c r="D3" s="1" t="s">
        <v>60</v>
      </c>
      <c r="J3" s="1" t="s">
        <v>0</v>
      </c>
      <c r="K3" s="1">
        <v>50.33</v>
      </c>
    </row>
    <row r="4" spans="2:20" x14ac:dyDescent="0.2">
      <c r="B4" s="1" t="s">
        <v>8</v>
      </c>
      <c r="C4" s="1" t="s">
        <v>61</v>
      </c>
      <c r="J4" s="1" t="s">
        <v>1</v>
      </c>
      <c r="K4" s="1">
        <v>40.722727999999996</v>
      </c>
      <c r="L4" s="1" t="s">
        <v>6</v>
      </c>
    </row>
    <row r="5" spans="2:20" x14ac:dyDescent="0.2">
      <c r="B5" s="1" t="s">
        <v>62</v>
      </c>
      <c r="C5" s="1" t="s">
        <v>63</v>
      </c>
      <c r="J5" s="1" t="s">
        <v>2</v>
      </c>
      <c r="K5" s="1">
        <f>+K3*K4</f>
        <v>2049.5749002399998</v>
      </c>
    </row>
    <row r="6" spans="2:20" x14ac:dyDescent="0.2">
      <c r="B6" s="1" t="s">
        <v>64</v>
      </c>
      <c r="C6" s="15">
        <v>1898</v>
      </c>
      <c r="J6" s="1" t="s">
        <v>3</v>
      </c>
      <c r="K6" s="1">
        <v>154</v>
      </c>
      <c r="L6" s="1" t="str">
        <f>+L4</f>
        <v>Q125</v>
      </c>
    </row>
    <row r="7" spans="2:20" x14ac:dyDescent="0.2">
      <c r="J7" s="1" t="s">
        <v>4</v>
      </c>
      <c r="K7" s="1">
        <f>23+794</f>
        <v>817</v>
      </c>
      <c r="L7" s="1" t="str">
        <f>+L6</f>
        <v>Q125</v>
      </c>
    </row>
    <row r="8" spans="2:20" x14ac:dyDescent="0.2">
      <c r="J8" s="1" t="s">
        <v>5</v>
      </c>
      <c r="K8" s="1">
        <f>+K5-K6+K7</f>
        <v>2712.5749002399998</v>
      </c>
    </row>
    <row r="10" spans="2:20" x14ac:dyDescent="0.2">
      <c r="B10" s="13" t="s">
        <v>65</v>
      </c>
    </row>
    <row r="11" spans="2:20" x14ac:dyDescent="0.2">
      <c r="B11" s="16" t="s">
        <v>100</v>
      </c>
      <c r="C11" s="16" t="s">
        <v>74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2:20" x14ac:dyDescent="0.2">
      <c r="B12" s="17" t="s">
        <v>66</v>
      </c>
      <c r="C12" s="17" t="s">
        <v>75</v>
      </c>
      <c r="D12" s="17" t="s">
        <v>72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2:20" x14ac:dyDescent="0.2">
      <c r="B13" s="17" t="s">
        <v>68</v>
      </c>
      <c r="C13" s="17" t="s">
        <v>76</v>
      </c>
      <c r="D13" s="17" t="s">
        <v>73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x14ac:dyDescent="0.2">
      <c r="B14" s="17" t="s">
        <v>67</v>
      </c>
      <c r="C14" s="17" t="s">
        <v>77</v>
      </c>
      <c r="D14" s="17" t="s">
        <v>78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x14ac:dyDescent="0.2">
      <c r="B15" s="17" t="s">
        <v>69</v>
      </c>
      <c r="C15" s="17" t="s">
        <v>79</v>
      </c>
      <c r="D15" s="17" t="s">
        <v>80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x14ac:dyDescent="0.2">
      <c r="B16" s="17" t="s">
        <v>70</v>
      </c>
      <c r="C16" s="17" t="s">
        <v>81</v>
      </c>
      <c r="D16" s="17" t="s">
        <v>82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0" x14ac:dyDescent="0.2">
      <c r="B17" s="17" t="s">
        <v>71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2:20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2:20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2:20" x14ac:dyDescent="0.2">
      <c r="B20" s="17" t="s">
        <v>83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2:20" x14ac:dyDescent="0.2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2:20" x14ac:dyDescent="0.2">
      <c r="B22" s="18" t="s">
        <v>84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20" x14ac:dyDescent="0.2">
      <c r="B23" s="17" t="s">
        <v>85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2:20" x14ac:dyDescent="0.2">
      <c r="B24" s="17" t="s">
        <v>86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20" x14ac:dyDescent="0.2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2:20" x14ac:dyDescent="0.2">
      <c r="B26" s="19" t="s">
        <v>87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20" x14ac:dyDescent="0.2">
      <c r="B27" s="17" t="s">
        <v>88</v>
      </c>
      <c r="C27" s="17" t="s">
        <v>89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2:20" x14ac:dyDescent="0.2">
      <c r="B28" s="17" t="s">
        <v>90</v>
      </c>
      <c r="C28" s="17" t="s">
        <v>91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20" x14ac:dyDescent="0.2">
      <c r="B29" s="17" t="s">
        <v>92</v>
      </c>
      <c r="C29" s="17" t="s">
        <v>93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2:20" x14ac:dyDescent="0.2">
      <c r="B30" s="17" t="s">
        <v>94</v>
      </c>
      <c r="C30" s="17" t="s">
        <v>95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20" x14ac:dyDescent="0.2">
      <c r="B31" s="17" t="s">
        <v>96</v>
      </c>
      <c r="C31" s="17" t="s">
        <v>95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2:20" x14ac:dyDescent="0.2">
      <c r="B32" s="17" t="s">
        <v>97</v>
      </c>
      <c r="C32" s="17" t="s">
        <v>98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2:14" x14ac:dyDescent="0.2">
      <c r="B33" s="17" t="s">
        <v>99</v>
      </c>
      <c r="C33" s="17" t="s">
        <v>113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2:14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8FAC-8194-4845-9F7F-B745F9451A8F}">
  <dimension ref="B2:HW59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P16" sqref="AP16"/>
    </sheetView>
  </sheetViews>
  <sheetFormatPr baseColWidth="10" defaultRowHeight="16" x14ac:dyDescent="0.2"/>
  <cols>
    <col min="1" max="1" width="3.33203125" style="1" customWidth="1"/>
    <col min="2" max="2" width="18.33203125" style="1" bestFit="1" customWidth="1"/>
    <col min="3" max="6" width="5.5" style="1" bestFit="1" customWidth="1"/>
    <col min="7" max="9" width="5.5" style="6" bestFit="1" customWidth="1"/>
    <col min="10" max="11" width="5.6640625" style="6" bestFit="1" customWidth="1"/>
    <col min="12" max="14" width="5.5" style="6" bestFit="1" customWidth="1"/>
    <col min="15" max="15" width="6.6640625" style="1" bestFit="1" customWidth="1"/>
    <col min="16" max="31" width="5.6640625" style="1" bestFit="1" customWidth="1"/>
    <col min="32" max="33" width="5.1640625" style="1" bestFit="1" customWidth="1"/>
    <col min="34" max="34" width="11.33203125" style="1" bestFit="1" customWidth="1"/>
    <col min="35" max="35" width="6.1640625" style="1" bestFit="1" customWidth="1"/>
    <col min="36" max="231" width="5.1640625" style="1" bestFit="1" customWidth="1"/>
    <col min="232" max="16384" width="10.83203125" style="1"/>
  </cols>
  <sheetData>
    <row r="2" spans="2:231" s="2" customFormat="1" x14ac:dyDescent="0.2">
      <c r="C2" s="2" t="s">
        <v>27</v>
      </c>
      <c r="D2" s="2" t="s">
        <v>28</v>
      </c>
      <c r="E2" s="2" t="s">
        <v>29</v>
      </c>
      <c r="F2" s="2" t="s">
        <v>30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6</v>
      </c>
      <c r="L2" s="5" t="s">
        <v>13</v>
      </c>
      <c r="M2" s="5" t="s">
        <v>14</v>
      </c>
      <c r="N2" s="5" t="s">
        <v>26</v>
      </c>
      <c r="P2" s="2">
        <v>2019</v>
      </c>
      <c r="Q2" s="2">
        <f t="shared" ref="Q2:AE2" si="0">+P2+1</f>
        <v>2020</v>
      </c>
      <c r="R2" s="2">
        <f t="shared" si="0"/>
        <v>2021</v>
      </c>
      <c r="S2" s="2">
        <f t="shared" si="0"/>
        <v>2022</v>
      </c>
      <c r="T2" s="2">
        <f t="shared" si="0"/>
        <v>2023</v>
      </c>
      <c r="U2" s="2">
        <f t="shared" si="0"/>
        <v>2024</v>
      </c>
      <c r="V2" s="2">
        <f t="shared" si="0"/>
        <v>2025</v>
      </c>
      <c r="W2" s="2">
        <f t="shared" si="0"/>
        <v>2026</v>
      </c>
      <c r="X2" s="2">
        <f t="shared" si="0"/>
        <v>2027</v>
      </c>
      <c r="Y2" s="2">
        <f t="shared" si="0"/>
        <v>2028</v>
      </c>
      <c r="Z2" s="2">
        <f t="shared" si="0"/>
        <v>2029</v>
      </c>
      <c r="AA2" s="2">
        <f t="shared" si="0"/>
        <v>2030</v>
      </c>
      <c r="AB2" s="2">
        <f t="shared" si="0"/>
        <v>2031</v>
      </c>
      <c r="AC2" s="2">
        <f t="shared" si="0"/>
        <v>2032</v>
      </c>
      <c r="AD2" s="2">
        <f t="shared" si="0"/>
        <v>2033</v>
      </c>
      <c r="AE2" s="2">
        <f t="shared" si="0"/>
        <v>2034</v>
      </c>
      <c r="AF2" s="2">
        <f>+AE2+1</f>
        <v>2035</v>
      </c>
      <c r="AG2" s="2">
        <f t="shared" ref="AG2:CR2" si="1">+AF2+1</f>
        <v>2036</v>
      </c>
      <c r="AH2" s="2">
        <f t="shared" si="1"/>
        <v>2037</v>
      </c>
      <c r="AI2" s="2">
        <f t="shared" si="1"/>
        <v>2038</v>
      </c>
      <c r="AJ2" s="2">
        <f t="shared" si="1"/>
        <v>2039</v>
      </c>
      <c r="AK2" s="2">
        <f t="shared" si="1"/>
        <v>2040</v>
      </c>
      <c r="AL2" s="2">
        <f t="shared" si="1"/>
        <v>2041</v>
      </c>
      <c r="AM2" s="2">
        <f t="shared" si="1"/>
        <v>2042</v>
      </c>
      <c r="AN2" s="2">
        <f t="shared" si="1"/>
        <v>2043</v>
      </c>
      <c r="AO2" s="2">
        <f t="shared" si="1"/>
        <v>2044</v>
      </c>
      <c r="AP2" s="2">
        <f t="shared" si="1"/>
        <v>2045</v>
      </c>
      <c r="AQ2" s="2">
        <f t="shared" si="1"/>
        <v>2046</v>
      </c>
      <c r="AR2" s="2">
        <f t="shared" si="1"/>
        <v>2047</v>
      </c>
      <c r="AS2" s="2">
        <f t="shared" si="1"/>
        <v>2048</v>
      </c>
      <c r="AT2" s="2">
        <f t="shared" si="1"/>
        <v>2049</v>
      </c>
      <c r="AU2" s="2">
        <f t="shared" si="1"/>
        <v>2050</v>
      </c>
      <c r="AV2" s="2">
        <f t="shared" si="1"/>
        <v>2051</v>
      </c>
      <c r="AW2" s="2">
        <f t="shared" si="1"/>
        <v>2052</v>
      </c>
      <c r="AX2" s="2">
        <f t="shared" si="1"/>
        <v>2053</v>
      </c>
      <c r="AY2" s="2">
        <f t="shared" si="1"/>
        <v>2054</v>
      </c>
      <c r="AZ2" s="2">
        <f t="shared" si="1"/>
        <v>2055</v>
      </c>
      <c r="BA2" s="2">
        <f t="shared" si="1"/>
        <v>2056</v>
      </c>
      <c r="BB2" s="2">
        <f t="shared" si="1"/>
        <v>2057</v>
      </c>
      <c r="BC2" s="2">
        <f t="shared" si="1"/>
        <v>2058</v>
      </c>
      <c r="BD2" s="2">
        <f t="shared" si="1"/>
        <v>2059</v>
      </c>
      <c r="BE2" s="2">
        <f t="shared" si="1"/>
        <v>2060</v>
      </c>
      <c r="BF2" s="2">
        <f t="shared" si="1"/>
        <v>2061</v>
      </c>
      <c r="BG2" s="2">
        <f t="shared" si="1"/>
        <v>2062</v>
      </c>
      <c r="BH2" s="2">
        <f t="shared" si="1"/>
        <v>2063</v>
      </c>
      <c r="BI2" s="2">
        <f t="shared" si="1"/>
        <v>2064</v>
      </c>
      <c r="BJ2" s="2">
        <f t="shared" si="1"/>
        <v>2065</v>
      </c>
      <c r="BK2" s="2">
        <f t="shared" si="1"/>
        <v>2066</v>
      </c>
      <c r="BL2" s="2">
        <f t="shared" si="1"/>
        <v>2067</v>
      </c>
      <c r="BM2" s="2">
        <f t="shared" si="1"/>
        <v>2068</v>
      </c>
      <c r="BN2" s="2">
        <f t="shared" si="1"/>
        <v>2069</v>
      </c>
      <c r="BO2" s="2">
        <f t="shared" si="1"/>
        <v>2070</v>
      </c>
      <c r="BP2" s="2">
        <f t="shared" si="1"/>
        <v>2071</v>
      </c>
      <c r="BQ2" s="2">
        <f t="shared" si="1"/>
        <v>2072</v>
      </c>
      <c r="BR2" s="2">
        <f t="shared" si="1"/>
        <v>2073</v>
      </c>
      <c r="BS2" s="2">
        <f t="shared" si="1"/>
        <v>2074</v>
      </c>
      <c r="BT2" s="2">
        <f t="shared" si="1"/>
        <v>2075</v>
      </c>
      <c r="BU2" s="2">
        <f t="shared" si="1"/>
        <v>2076</v>
      </c>
      <c r="BV2" s="2">
        <f t="shared" si="1"/>
        <v>2077</v>
      </c>
      <c r="BW2" s="2">
        <f t="shared" si="1"/>
        <v>2078</v>
      </c>
      <c r="BX2" s="2">
        <f t="shared" si="1"/>
        <v>2079</v>
      </c>
      <c r="BY2" s="2">
        <f t="shared" si="1"/>
        <v>2080</v>
      </c>
      <c r="BZ2" s="2">
        <f t="shared" si="1"/>
        <v>2081</v>
      </c>
      <c r="CA2" s="2">
        <f t="shared" si="1"/>
        <v>2082</v>
      </c>
      <c r="CB2" s="2">
        <f t="shared" si="1"/>
        <v>2083</v>
      </c>
      <c r="CC2" s="2">
        <f t="shared" si="1"/>
        <v>2084</v>
      </c>
      <c r="CD2" s="2">
        <f t="shared" si="1"/>
        <v>2085</v>
      </c>
      <c r="CE2" s="2">
        <f t="shared" si="1"/>
        <v>2086</v>
      </c>
      <c r="CF2" s="2">
        <f t="shared" si="1"/>
        <v>2087</v>
      </c>
      <c r="CG2" s="2">
        <f t="shared" si="1"/>
        <v>2088</v>
      </c>
      <c r="CH2" s="2">
        <f t="shared" si="1"/>
        <v>2089</v>
      </c>
      <c r="CI2" s="2">
        <f t="shared" si="1"/>
        <v>2090</v>
      </c>
      <c r="CJ2" s="2">
        <f t="shared" si="1"/>
        <v>2091</v>
      </c>
      <c r="CK2" s="2">
        <f t="shared" si="1"/>
        <v>2092</v>
      </c>
      <c r="CL2" s="2">
        <f t="shared" si="1"/>
        <v>2093</v>
      </c>
      <c r="CM2" s="2">
        <f t="shared" si="1"/>
        <v>2094</v>
      </c>
      <c r="CN2" s="2">
        <f t="shared" si="1"/>
        <v>2095</v>
      </c>
      <c r="CO2" s="2">
        <f t="shared" si="1"/>
        <v>2096</v>
      </c>
      <c r="CP2" s="2">
        <f t="shared" si="1"/>
        <v>2097</v>
      </c>
      <c r="CQ2" s="2">
        <f t="shared" si="1"/>
        <v>2098</v>
      </c>
      <c r="CR2" s="2">
        <f t="shared" si="1"/>
        <v>2099</v>
      </c>
      <c r="CS2" s="2">
        <f t="shared" ref="CS2:FD2" si="2">+CR2+1</f>
        <v>2100</v>
      </c>
      <c r="CT2" s="2">
        <f t="shared" si="2"/>
        <v>2101</v>
      </c>
      <c r="CU2" s="2">
        <f t="shared" si="2"/>
        <v>2102</v>
      </c>
      <c r="CV2" s="2">
        <f t="shared" si="2"/>
        <v>2103</v>
      </c>
      <c r="CW2" s="2">
        <f t="shared" si="2"/>
        <v>2104</v>
      </c>
      <c r="CX2" s="2">
        <f t="shared" si="2"/>
        <v>2105</v>
      </c>
      <c r="CY2" s="2">
        <f t="shared" si="2"/>
        <v>2106</v>
      </c>
      <c r="CZ2" s="2">
        <f t="shared" si="2"/>
        <v>2107</v>
      </c>
      <c r="DA2" s="2">
        <f t="shared" si="2"/>
        <v>2108</v>
      </c>
      <c r="DB2" s="2">
        <f t="shared" si="2"/>
        <v>2109</v>
      </c>
      <c r="DC2" s="2">
        <f t="shared" si="2"/>
        <v>2110</v>
      </c>
      <c r="DD2" s="2">
        <f t="shared" si="2"/>
        <v>2111</v>
      </c>
      <c r="DE2" s="2">
        <f t="shared" si="2"/>
        <v>2112</v>
      </c>
      <c r="DF2" s="2">
        <f t="shared" si="2"/>
        <v>2113</v>
      </c>
      <c r="DG2" s="2">
        <f t="shared" si="2"/>
        <v>2114</v>
      </c>
      <c r="DH2" s="2">
        <f t="shared" si="2"/>
        <v>2115</v>
      </c>
      <c r="DI2" s="2">
        <f t="shared" si="2"/>
        <v>2116</v>
      </c>
      <c r="DJ2" s="2">
        <f t="shared" si="2"/>
        <v>2117</v>
      </c>
      <c r="DK2" s="2">
        <f t="shared" si="2"/>
        <v>2118</v>
      </c>
      <c r="DL2" s="2">
        <f t="shared" si="2"/>
        <v>2119</v>
      </c>
      <c r="DM2" s="2">
        <f t="shared" si="2"/>
        <v>2120</v>
      </c>
      <c r="DN2" s="2">
        <f t="shared" si="2"/>
        <v>2121</v>
      </c>
      <c r="DO2" s="2">
        <f t="shared" si="2"/>
        <v>2122</v>
      </c>
      <c r="DP2" s="2">
        <f t="shared" si="2"/>
        <v>2123</v>
      </c>
      <c r="DQ2" s="2">
        <f t="shared" si="2"/>
        <v>2124</v>
      </c>
      <c r="DR2" s="2">
        <f t="shared" si="2"/>
        <v>2125</v>
      </c>
      <c r="DS2" s="2">
        <f t="shared" si="2"/>
        <v>2126</v>
      </c>
      <c r="DT2" s="2">
        <f t="shared" si="2"/>
        <v>2127</v>
      </c>
      <c r="DU2" s="2">
        <f t="shared" si="2"/>
        <v>2128</v>
      </c>
      <c r="DV2" s="2">
        <f t="shared" si="2"/>
        <v>2129</v>
      </c>
      <c r="DW2" s="2">
        <f t="shared" si="2"/>
        <v>2130</v>
      </c>
      <c r="DX2" s="2">
        <f t="shared" si="2"/>
        <v>2131</v>
      </c>
      <c r="DY2" s="2">
        <f t="shared" si="2"/>
        <v>2132</v>
      </c>
      <c r="DZ2" s="2">
        <f t="shared" si="2"/>
        <v>2133</v>
      </c>
      <c r="EA2" s="2">
        <f t="shared" si="2"/>
        <v>2134</v>
      </c>
      <c r="EB2" s="2">
        <f t="shared" si="2"/>
        <v>2135</v>
      </c>
      <c r="EC2" s="2">
        <f t="shared" si="2"/>
        <v>2136</v>
      </c>
      <c r="ED2" s="2">
        <f t="shared" si="2"/>
        <v>2137</v>
      </c>
      <c r="EE2" s="2">
        <f t="shared" si="2"/>
        <v>2138</v>
      </c>
      <c r="EF2" s="2">
        <f t="shared" si="2"/>
        <v>2139</v>
      </c>
      <c r="EG2" s="2">
        <f t="shared" si="2"/>
        <v>2140</v>
      </c>
      <c r="EH2" s="2">
        <f t="shared" si="2"/>
        <v>2141</v>
      </c>
      <c r="EI2" s="2">
        <f t="shared" si="2"/>
        <v>2142</v>
      </c>
      <c r="EJ2" s="2">
        <f t="shared" si="2"/>
        <v>2143</v>
      </c>
      <c r="EK2" s="2">
        <f t="shared" si="2"/>
        <v>2144</v>
      </c>
      <c r="EL2" s="2">
        <f t="shared" si="2"/>
        <v>2145</v>
      </c>
      <c r="EM2" s="2">
        <f t="shared" si="2"/>
        <v>2146</v>
      </c>
      <c r="EN2" s="2">
        <f t="shared" si="2"/>
        <v>2147</v>
      </c>
      <c r="EO2" s="2">
        <f t="shared" si="2"/>
        <v>2148</v>
      </c>
      <c r="EP2" s="2">
        <f t="shared" si="2"/>
        <v>2149</v>
      </c>
      <c r="EQ2" s="2">
        <f t="shared" si="2"/>
        <v>2150</v>
      </c>
      <c r="ER2" s="2">
        <f t="shared" si="2"/>
        <v>2151</v>
      </c>
      <c r="ES2" s="2">
        <f t="shared" si="2"/>
        <v>2152</v>
      </c>
      <c r="ET2" s="2">
        <f t="shared" si="2"/>
        <v>2153</v>
      </c>
      <c r="EU2" s="2">
        <f t="shared" si="2"/>
        <v>2154</v>
      </c>
      <c r="EV2" s="2">
        <f t="shared" si="2"/>
        <v>2155</v>
      </c>
      <c r="EW2" s="2">
        <f t="shared" si="2"/>
        <v>2156</v>
      </c>
      <c r="EX2" s="2">
        <f t="shared" si="2"/>
        <v>2157</v>
      </c>
      <c r="EY2" s="2">
        <f t="shared" si="2"/>
        <v>2158</v>
      </c>
      <c r="EZ2" s="2">
        <f t="shared" si="2"/>
        <v>2159</v>
      </c>
      <c r="FA2" s="2">
        <f t="shared" si="2"/>
        <v>2160</v>
      </c>
      <c r="FB2" s="2">
        <f t="shared" si="2"/>
        <v>2161</v>
      </c>
      <c r="FC2" s="2">
        <f t="shared" si="2"/>
        <v>2162</v>
      </c>
      <c r="FD2" s="2">
        <f t="shared" si="2"/>
        <v>2163</v>
      </c>
      <c r="FE2" s="2">
        <f t="shared" ref="FE2:HP2" si="3">+FD2+1</f>
        <v>2164</v>
      </c>
      <c r="FF2" s="2">
        <f t="shared" si="3"/>
        <v>2165</v>
      </c>
      <c r="FG2" s="2">
        <f t="shared" si="3"/>
        <v>2166</v>
      </c>
      <c r="FH2" s="2">
        <f t="shared" si="3"/>
        <v>2167</v>
      </c>
      <c r="FI2" s="2">
        <f t="shared" si="3"/>
        <v>2168</v>
      </c>
      <c r="FJ2" s="2">
        <f t="shared" si="3"/>
        <v>2169</v>
      </c>
      <c r="FK2" s="2">
        <f t="shared" si="3"/>
        <v>2170</v>
      </c>
      <c r="FL2" s="2">
        <f t="shared" si="3"/>
        <v>2171</v>
      </c>
      <c r="FM2" s="2">
        <f t="shared" si="3"/>
        <v>2172</v>
      </c>
      <c r="FN2" s="2">
        <f t="shared" si="3"/>
        <v>2173</v>
      </c>
      <c r="FO2" s="2">
        <f t="shared" si="3"/>
        <v>2174</v>
      </c>
      <c r="FP2" s="2">
        <f t="shared" si="3"/>
        <v>2175</v>
      </c>
      <c r="FQ2" s="2">
        <f t="shared" si="3"/>
        <v>2176</v>
      </c>
      <c r="FR2" s="2">
        <f t="shared" si="3"/>
        <v>2177</v>
      </c>
      <c r="FS2" s="2">
        <f t="shared" si="3"/>
        <v>2178</v>
      </c>
      <c r="FT2" s="2">
        <f t="shared" si="3"/>
        <v>2179</v>
      </c>
      <c r="FU2" s="2">
        <f t="shared" si="3"/>
        <v>2180</v>
      </c>
      <c r="FV2" s="2">
        <f t="shared" si="3"/>
        <v>2181</v>
      </c>
      <c r="FW2" s="2">
        <f t="shared" si="3"/>
        <v>2182</v>
      </c>
      <c r="FX2" s="2">
        <f t="shared" si="3"/>
        <v>2183</v>
      </c>
      <c r="FY2" s="2">
        <f t="shared" si="3"/>
        <v>2184</v>
      </c>
      <c r="FZ2" s="2">
        <f t="shared" si="3"/>
        <v>2185</v>
      </c>
      <c r="GA2" s="2">
        <f t="shared" si="3"/>
        <v>2186</v>
      </c>
      <c r="GB2" s="2">
        <f t="shared" si="3"/>
        <v>2187</v>
      </c>
      <c r="GC2" s="2">
        <f t="shared" si="3"/>
        <v>2188</v>
      </c>
      <c r="GD2" s="2">
        <f t="shared" si="3"/>
        <v>2189</v>
      </c>
      <c r="GE2" s="2">
        <f t="shared" si="3"/>
        <v>2190</v>
      </c>
      <c r="GF2" s="2">
        <f t="shared" si="3"/>
        <v>2191</v>
      </c>
      <c r="GG2" s="2">
        <f t="shared" si="3"/>
        <v>2192</v>
      </c>
      <c r="GH2" s="2">
        <f t="shared" si="3"/>
        <v>2193</v>
      </c>
      <c r="GI2" s="2">
        <f t="shared" si="3"/>
        <v>2194</v>
      </c>
      <c r="GJ2" s="2">
        <f t="shared" si="3"/>
        <v>2195</v>
      </c>
      <c r="GK2" s="2">
        <f t="shared" si="3"/>
        <v>2196</v>
      </c>
      <c r="GL2" s="2">
        <f t="shared" si="3"/>
        <v>2197</v>
      </c>
      <c r="GM2" s="2">
        <f t="shared" si="3"/>
        <v>2198</v>
      </c>
      <c r="GN2" s="2">
        <f t="shared" si="3"/>
        <v>2199</v>
      </c>
      <c r="GO2" s="2">
        <f t="shared" si="3"/>
        <v>2200</v>
      </c>
      <c r="GP2" s="2">
        <f t="shared" si="3"/>
        <v>2201</v>
      </c>
      <c r="GQ2" s="2">
        <f t="shared" si="3"/>
        <v>2202</v>
      </c>
      <c r="GR2" s="2">
        <f t="shared" si="3"/>
        <v>2203</v>
      </c>
      <c r="GS2" s="2">
        <f t="shared" si="3"/>
        <v>2204</v>
      </c>
      <c r="GT2" s="2">
        <f t="shared" si="3"/>
        <v>2205</v>
      </c>
      <c r="GU2" s="2">
        <f t="shared" si="3"/>
        <v>2206</v>
      </c>
      <c r="GV2" s="2">
        <f t="shared" si="3"/>
        <v>2207</v>
      </c>
      <c r="GW2" s="2">
        <f t="shared" si="3"/>
        <v>2208</v>
      </c>
      <c r="GX2" s="2">
        <f t="shared" si="3"/>
        <v>2209</v>
      </c>
      <c r="GY2" s="2">
        <f t="shared" si="3"/>
        <v>2210</v>
      </c>
      <c r="GZ2" s="2">
        <f t="shared" si="3"/>
        <v>2211</v>
      </c>
      <c r="HA2" s="2">
        <f t="shared" si="3"/>
        <v>2212</v>
      </c>
      <c r="HB2" s="2">
        <f t="shared" si="3"/>
        <v>2213</v>
      </c>
      <c r="HC2" s="2">
        <f t="shared" si="3"/>
        <v>2214</v>
      </c>
      <c r="HD2" s="2">
        <f t="shared" si="3"/>
        <v>2215</v>
      </c>
      <c r="HE2" s="2">
        <f t="shared" si="3"/>
        <v>2216</v>
      </c>
      <c r="HF2" s="2">
        <f t="shared" si="3"/>
        <v>2217</v>
      </c>
      <c r="HG2" s="2">
        <f t="shared" si="3"/>
        <v>2218</v>
      </c>
      <c r="HH2" s="2">
        <f t="shared" si="3"/>
        <v>2219</v>
      </c>
      <c r="HI2" s="2">
        <f t="shared" si="3"/>
        <v>2220</v>
      </c>
      <c r="HJ2" s="2">
        <f t="shared" si="3"/>
        <v>2221</v>
      </c>
      <c r="HK2" s="2">
        <f t="shared" si="3"/>
        <v>2222</v>
      </c>
      <c r="HL2" s="2">
        <f t="shared" si="3"/>
        <v>2223</v>
      </c>
      <c r="HM2" s="2">
        <f t="shared" si="3"/>
        <v>2224</v>
      </c>
      <c r="HN2" s="2">
        <f t="shared" si="3"/>
        <v>2225</v>
      </c>
      <c r="HO2" s="2">
        <f t="shared" si="3"/>
        <v>2226</v>
      </c>
      <c r="HP2" s="2">
        <f t="shared" si="3"/>
        <v>2227</v>
      </c>
      <c r="HQ2" s="2">
        <f t="shared" ref="HQ2:HW2" si="4">+HP2+1</f>
        <v>2228</v>
      </c>
      <c r="HR2" s="2">
        <f t="shared" si="4"/>
        <v>2229</v>
      </c>
      <c r="HS2" s="2">
        <f t="shared" si="4"/>
        <v>2230</v>
      </c>
      <c r="HT2" s="2">
        <f t="shared" si="4"/>
        <v>2231</v>
      </c>
      <c r="HU2" s="2">
        <f t="shared" si="4"/>
        <v>2232</v>
      </c>
      <c r="HV2" s="2">
        <f t="shared" si="4"/>
        <v>2233</v>
      </c>
      <c r="HW2" s="2">
        <f t="shared" si="4"/>
        <v>2234</v>
      </c>
    </row>
    <row r="3" spans="2:231" s="2" customFormat="1" x14ac:dyDescent="0.2">
      <c r="B3" s="2" t="s">
        <v>31</v>
      </c>
      <c r="C3" s="5">
        <v>230</v>
      </c>
      <c r="D3" s="2">
        <v>210</v>
      </c>
      <c r="E3" s="2">
        <v>184</v>
      </c>
      <c r="F3" s="2">
        <f t="shared" ref="F3:F17" si="5">+T3-SUM(C3:E3)</f>
        <v>197</v>
      </c>
      <c r="G3" s="5">
        <v>207</v>
      </c>
      <c r="H3" s="5">
        <v>206</v>
      </c>
      <c r="I3" s="5">
        <v>194</v>
      </c>
      <c r="J3" s="5">
        <f t="shared" ref="J3:J17" si="6">+U3-SUM(G3:I3)</f>
        <v>194</v>
      </c>
      <c r="K3" s="5">
        <v>190</v>
      </c>
      <c r="L3" s="5"/>
      <c r="M3" s="5"/>
      <c r="N3" s="5"/>
      <c r="T3" s="2">
        <v>821</v>
      </c>
      <c r="U3" s="2">
        <v>801</v>
      </c>
    </row>
    <row r="4" spans="2:231" s="2" customFormat="1" x14ac:dyDescent="0.2">
      <c r="B4" s="2" t="s">
        <v>32</v>
      </c>
      <c r="C4" s="5">
        <v>222</v>
      </c>
      <c r="D4" s="2">
        <v>250</v>
      </c>
      <c r="E4" s="2">
        <v>246</v>
      </c>
      <c r="F4" s="2">
        <f t="shared" si="5"/>
        <v>288</v>
      </c>
      <c r="G4" s="5">
        <v>216</v>
      </c>
      <c r="H4" s="5">
        <v>245</v>
      </c>
      <c r="I4" s="5">
        <v>247</v>
      </c>
      <c r="J4" s="5">
        <f t="shared" si="6"/>
        <v>266</v>
      </c>
      <c r="K4" s="5">
        <v>193</v>
      </c>
      <c r="L4" s="5"/>
      <c r="M4" s="5"/>
      <c r="N4" s="5"/>
      <c r="T4" s="2">
        <v>1006</v>
      </c>
      <c r="U4" s="2">
        <v>974</v>
      </c>
    </row>
    <row r="5" spans="2:231" s="2" customFormat="1" x14ac:dyDescent="0.2">
      <c r="B5" s="2" t="s">
        <v>33</v>
      </c>
      <c r="C5" s="5">
        <v>505</v>
      </c>
      <c r="D5" s="2">
        <v>474</v>
      </c>
      <c r="E5" s="2">
        <v>476</v>
      </c>
      <c r="F5" s="2">
        <f t="shared" si="5"/>
        <v>496</v>
      </c>
      <c r="G5" s="5">
        <v>490</v>
      </c>
      <c r="H5" s="5">
        <v>493</v>
      </c>
      <c r="I5" s="5">
        <v>532</v>
      </c>
      <c r="J5" s="5">
        <f t="shared" si="6"/>
        <v>514</v>
      </c>
      <c r="K5" s="5">
        <v>438</v>
      </c>
      <c r="L5" s="5"/>
      <c r="M5" s="5"/>
      <c r="N5" s="5"/>
      <c r="T5" s="2">
        <v>1951</v>
      </c>
      <c r="U5" s="2">
        <v>2029</v>
      </c>
    </row>
    <row r="6" spans="2:231" s="2" customFormat="1" x14ac:dyDescent="0.2">
      <c r="B6" s="2" t="s">
        <v>34</v>
      </c>
      <c r="C6" s="5">
        <v>-16</v>
      </c>
      <c r="D6" s="5">
        <f>+D7-SUM(D3:D5)</f>
        <v>-15</v>
      </c>
      <c r="E6" s="5">
        <f>+E7-SUM(E3:E5)</f>
        <v>-9</v>
      </c>
      <c r="F6" s="2">
        <f t="shared" si="5"/>
        <v>-17</v>
      </c>
      <c r="G6" s="5">
        <v>-8</v>
      </c>
      <c r="H6" s="5">
        <f>+H7-SUM(H3:H5)</f>
        <v>-11</v>
      </c>
      <c r="I6" s="5">
        <f>+I7-SUM(I3:I5)</f>
        <v>-8</v>
      </c>
      <c r="J6" s="5">
        <f t="shared" si="6"/>
        <v>-4</v>
      </c>
      <c r="K6" s="5">
        <v>-6</v>
      </c>
      <c r="L6" s="5"/>
      <c r="M6" s="5"/>
      <c r="N6" s="5"/>
      <c r="T6" s="2">
        <f>+T7-SUM(T3:T5)</f>
        <v>-57</v>
      </c>
      <c r="U6" s="2">
        <f>+U7-SUM(U3:U5)</f>
        <v>-31</v>
      </c>
    </row>
    <row r="7" spans="2:231" x14ac:dyDescent="0.2">
      <c r="B7" s="1" t="s">
        <v>15</v>
      </c>
      <c r="C7" s="6">
        <f>SUM(C3:C6)</f>
        <v>941</v>
      </c>
      <c r="D7" s="6">
        <v>919</v>
      </c>
      <c r="E7" s="6">
        <v>897</v>
      </c>
      <c r="F7" s="1">
        <f t="shared" si="5"/>
        <v>964</v>
      </c>
      <c r="G7" s="6">
        <f>SUM(G3:G6)</f>
        <v>905</v>
      </c>
      <c r="H7" s="6">
        <v>933</v>
      </c>
      <c r="I7" s="6">
        <v>965</v>
      </c>
      <c r="J7" s="6">
        <f t="shared" si="6"/>
        <v>970</v>
      </c>
      <c r="K7" s="6">
        <f>SUM(K3:K6)</f>
        <v>815</v>
      </c>
      <c r="P7" s="1">
        <v>4017</v>
      </c>
      <c r="Q7" s="1">
        <v>2385</v>
      </c>
      <c r="R7" s="1">
        <v>2828</v>
      </c>
      <c r="S7" s="6">
        <v>3628</v>
      </c>
      <c r="T7" s="6">
        <v>3721</v>
      </c>
      <c r="U7" s="6">
        <v>3773</v>
      </c>
      <c r="V7" s="1">
        <f>+U7*0.95</f>
        <v>3584.35</v>
      </c>
      <c r="W7" s="1">
        <f t="shared" ref="W7:AE7" si="7">+V7*0.95</f>
        <v>3405.1324999999997</v>
      </c>
      <c r="X7" s="1">
        <f t="shared" si="7"/>
        <v>3234.8758749999997</v>
      </c>
      <c r="Y7" s="1">
        <f t="shared" si="7"/>
        <v>3073.1320812499994</v>
      </c>
      <c r="Z7" s="1">
        <f t="shared" si="7"/>
        <v>2919.4754771874991</v>
      </c>
      <c r="AA7" s="1">
        <f t="shared" si="7"/>
        <v>2773.5017033281242</v>
      </c>
      <c r="AB7" s="1">
        <f t="shared" si="7"/>
        <v>2634.8266181617178</v>
      </c>
      <c r="AC7" s="1">
        <f t="shared" si="7"/>
        <v>2503.0852872536316</v>
      </c>
      <c r="AD7" s="1">
        <f t="shared" si="7"/>
        <v>2377.9310228909499</v>
      </c>
      <c r="AE7" s="1">
        <f t="shared" si="7"/>
        <v>2259.0344717464022</v>
      </c>
    </row>
    <row r="8" spans="2:231" x14ac:dyDescent="0.2">
      <c r="B8" s="1" t="s">
        <v>3</v>
      </c>
      <c r="C8" s="6">
        <v>670</v>
      </c>
      <c r="D8" s="6">
        <v>721</v>
      </c>
      <c r="E8" s="6">
        <v>665</v>
      </c>
      <c r="F8" s="1">
        <f t="shared" si="5"/>
        <v>753</v>
      </c>
      <c r="G8" s="6">
        <v>716</v>
      </c>
      <c r="H8" s="6">
        <v>684</v>
      </c>
      <c r="I8" s="6">
        <v>700</v>
      </c>
      <c r="J8" s="6">
        <f t="shared" si="6"/>
        <v>733</v>
      </c>
      <c r="K8" s="6">
        <v>662</v>
      </c>
      <c r="P8" s="1">
        <v>2638</v>
      </c>
      <c r="Q8" s="1">
        <v>1929</v>
      </c>
      <c r="R8" s="1">
        <v>2143</v>
      </c>
      <c r="S8" s="6">
        <v>2619</v>
      </c>
      <c r="T8" s="6">
        <v>2809</v>
      </c>
      <c r="U8" s="6">
        <v>2833</v>
      </c>
      <c r="V8" s="1">
        <f>+V$7*(U8/U$7)</f>
        <v>2691.35</v>
      </c>
      <c r="W8" s="1">
        <f t="shared" ref="W8:AE8" si="8">+W$7*(V8/V$7)</f>
        <v>2556.7824999999998</v>
      </c>
      <c r="X8" s="1">
        <f t="shared" si="8"/>
        <v>2428.9433749999998</v>
      </c>
      <c r="Y8" s="1">
        <f t="shared" si="8"/>
        <v>2307.4962062499994</v>
      </c>
      <c r="Z8" s="1">
        <f t="shared" si="8"/>
        <v>2192.1213959374995</v>
      </c>
      <c r="AA8" s="1">
        <f t="shared" si="8"/>
        <v>2082.5153261406244</v>
      </c>
      <c r="AB8" s="1">
        <f t="shared" si="8"/>
        <v>1978.389559833593</v>
      </c>
      <c r="AC8" s="1">
        <f t="shared" si="8"/>
        <v>1879.4700818419133</v>
      </c>
      <c r="AD8" s="1">
        <f t="shared" si="8"/>
        <v>1785.4965777498173</v>
      </c>
      <c r="AE8" s="1">
        <f t="shared" si="8"/>
        <v>1696.2217488623264</v>
      </c>
    </row>
    <row r="9" spans="2:231" x14ac:dyDescent="0.2">
      <c r="B9" s="1" t="s">
        <v>16</v>
      </c>
      <c r="C9" s="6">
        <v>82</v>
      </c>
      <c r="D9" s="6">
        <v>76</v>
      </c>
      <c r="E9" s="6">
        <v>89</v>
      </c>
      <c r="F9" s="1">
        <f t="shared" si="5"/>
        <v>96</v>
      </c>
      <c r="G9" s="6">
        <v>74</v>
      </c>
      <c r="H9" s="6">
        <v>82</v>
      </c>
      <c r="I9" s="6">
        <v>74</v>
      </c>
      <c r="J9" s="6">
        <f t="shared" si="6"/>
        <v>81</v>
      </c>
      <c r="K9" s="6">
        <v>73</v>
      </c>
      <c r="P9" s="1">
        <v>655</v>
      </c>
      <c r="Q9" s="1">
        <v>202</v>
      </c>
      <c r="R9" s="1">
        <v>207</v>
      </c>
      <c r="S9" s="6">
        <v>325</v>
      </c>
      <c r="T9" s="6">
        <v>343</v>
      </c>
      <c r="U9" s="6">
        <v>311</v>
      </c>
      <c r="V9" s="1">
        <f>+V$7*(U9/U$7)</f>
        <v>295.45</v>
      </c>
      <c r="W9" s="1">
        <f t="shared" ref="W9:AE9" si="9">+W$7*(V9/V$7)</f>
        <v>280.67750000000001</v>
      </c>
      <c r="X9" s="1">
        <f t="shared" si="9"/>
        <v>266.64362500000004</v>
      </c>
      <c r="Y9" s="1">
        <f t="shared" si="9"/>
        <v>253.31144375</v>
      </c>
      <c r="Z9" s="1">
        <f t="shared" si="9"/>
        <v>240.64587156249996</v>
      </c>
      <c r="AA9" s="1">
        <f t="shared" si="9"/>
        <v>228.61357798437498</v>
      </c>
      <c r="AB9" s="1">
        <f t="shared" si="9"/>
        <v>217.18289908515621</v>
      </c>
      <c r="AC9" s="1">
        <f t="shared" si="9"/>
        <v>206.32375413089838</v>
      </c>
      <c r="AD9" s="1">
        <f t="shared" si="9"/>
        <v>196.00756642435346</v>
      </c>
      <c r="AE9" s="1">
        <f t="shared" si="9"/>
        <v>186.20718810313576</v>
      </c>
    </row>
    <row r="10" spans="2:231" x14ac:dyDescent="0.2">
      <c r="B10" s="1" t="s">
        <v>17</v>
      </c>
      <c r="C10" s="6">
        <v>35</v>
      </c>
      <c r="D10" s="6">
        <v>34</v>
      </c>
      <c r="E10" s="6">
        <v>36</v>
      </c>
      <c r="F10" s="1">
        <f t="shared" si="5"/>
        <v>38</v>
      </c>
      <c r="G10" s="6">
        <v>39</v>
      </c>
      <c r="H10" s="6">
        <v>37</v>
      </c>
      <c r="I10" s="6">
        <v>39</v>
      </c>
      <c r="J10" s="6">
        <f t="shared" si="6"/>
        <v>44</v>
      </c>
      <c r="K10" s="6">
        <v>40</v>
      </c>
      <c r="S10" s="6">
        <v>125</v>
      </c>
      <c r="T10" s="6">
        <v>143</v>
      </c>
      <c r="U10" s="6">
        <v>159</v>
      </c>
      <c r="V10" s="1">
        <f>+V$7*(U10/U$7)</f>
        <v>151.05000000000001</v>
      </c>
      <c r="W10" s="1">
        <f t="shared" ref="W10:AE10" si="10">+W$7*(V10/V$7)</f>
        <v>143.4975</v>
      </c>
      <c r="X10" s="1">
        <f t="shared" si="10"/>
        <v>136.32262499999999</v>
      </c>
      <c r="Y10" s="1">
        <f t="shared" si="10"/>
        <v>129.50649374999998</v>
      </c>
      <c r="Z10" s="1">
        <f t="shared" si="10"/>
        <v>123.03116906249997</v>
      </c>
      <c r="AA10" s="1">
        <f t="shared" si="10"/>
        <v>116.87961060937498</v>
      </c>
      <c r="AB10" s="1">
        <f t="shared" si="10"/>
        <v>111.03563007890622</v>
      </c>
      <c r="AC10" s="1">
        <f t="shared" si="10"/>
        <v>105.48384857496089</v>
      </c>
      <c r="AD10" s="1">
        <f t="shared" si="10"/>
        <v>100.20965614621284</v>
      </c>
      <c r="AE10" s="1">
        <f t="shared" si="10"/>
        <v>95.199173338902199</v>
      </c>
    </row>
    <row r="11" spans="2:231" x14ac:dyDescent="0.2">
      <c r="B11" s="1" t="s">
        <v>18</v>
      </c>
      <c r="C11" s="6">
        <v>6</v>
      </c>
      <c r="D11" s="6">
        <v>6</v>
      </c>
      <c r="E11" s="6">
        <v>7</v>
      </c>
      <c r="F11" s="1">
        <f t="shared" si="5"/>
        <v>4</v>
      </c>
      <c r="G11" s="6">
        <v>7</v>
      </c>
      <c r="H11" s="6">
        <v>8</v>
      </c>
      <c r="I11" s="6">
        <v>6</v>
      </c>
      <c r="J11" s="6">
        <f t="shared" si="6"/>
        <v>5</v>
      </c>
      <c r="K11" s="6">
        <v>4</v>
      </c>
      <c r="S11" s="6">
        <v>23</v>
      </c>
      <c r="T11" s="6">
        <v>23</v>
      </c>
      <c r="U11" s="6">
        <v>26</v>
      </c>
      <c r="V11" s="1">
        <f>+V$7*(U11/U$7)</f>
        <v>24.7</v>
      </c>
      <c r="W11" s="1">
        <f t="shared" ref="W11:AE11" si="11">+W$7*(V11/V$7)</f>
        <v>23.465</v>
      </c>
      <c r="X11" s="1">
        <f t="shared" si="11"/>
        <v>22.29175</v>
      </c>
      <c r="Y11" s="1">
        <f t="shared" si="11"/>
        <v>21.177162499999998</v>
      </c>
      <c r="Z11" s="1">
        <f t="shared" si="11"/>
        <v>20.118304374999997</v>
      </c>
      <c r="AA11" s="1">
        <f t="shared" si="11"/>
        <v>19.112389156249996</v>
      </c>
      <c r="AB11" s="1">
        <f t="shared" si="11"/>
        <v>18.156769698437497</v>
      </c>
      <c r="AC11" s="1">
        <f t="shared" si="11"/>
        <v>17.248931213515622</v>
      </c>
      <c r="AD11" s="1">
        <f t="shared" si="11"/>
        <v>16.38648465283984</v>
      </c>
      <c r="AE11" s="1">
        <f t="shared" si="11"/>
        <v>15.567160420197848</v>
      </c>
    </row>
    <row r="12" spans="2:231" x14ac:dyDescent="0.2">
      <c r="B12" s="1" t="s">
        <v>19</v>
      </c>
      <c r="C12" s="6">
        <v>7</v>
      </c>
      <c r="D12" s="6">
        <v>12</v>
      </c>
      <c r="E12" s="6">
        <v>9</v>
      </c>
      <c r="F12" s="1">
        <f t="shared" si="5"/>
        <v>6</v>
      </c>
      <c r="G12" s="6">
        <v>9</v>
      </c>
      <c r="H12" s="6">
        <v>9</v>
      </c>
      <c r="I12" s="6">
        <v>14</v>
      </c>
      <c r="J12" s="6">
        <f t="shared" si="6"/>
        <v>7</v>
      </c>
      <c r="K12" s="6">
        <v>9</v>
      </c>
      <c r="S12" s="6">
        <v>69</v>
      </c>
      <c r="T12" s="6">
        <v>34</v>
      </c>
      <c r="U12" s="6">
        <v>39</v>
      </c>
      <c r="V12" s="1">
        <f>+ABS(U30*$AI$25)</f>
        <v>33.15</v>
      </c>
      <c r="W12" s="1">
        <f t="shared" ref="W12:AE12" si="12">+ABS(V30*$AI$25)</f>
        <v>31.492500000000003</v>
      </c>
      <c r="X12" s="1">
        <f t="shared" si="12"/>
        <v>29.917874999999999</v>
      </c>
      <c r="Y12" s="1">
        <f t="shared" si="12"/>
        <v>28.421981250000002</v>
      </c>
      <c r="Z12" s="1">
        <f t="shared" si="12"/>
        <v>27.000882187499997</v>
      </c>
      <c r="AA12" s="1">
        <f t="shared" si="12"/>
        <v>25.650838078124998</v>
      </c>
      <c r="AB12" s="1">
        <f t="shared" si="12"/>
        <v>24.368296174218745</v>
      </c>
      <c r="AC12" s="1">
        <f t="shared" si="12"/>
        <v>23.14988136550781</v>
      </c>
      <c r="AD12" s="1">
        <f t="shared" si="12"/>
        <v>21.992387297232415</v>
      </c>
      <c r="AE12" s="1">
        <f t="shared" si="12"/>
        <v>20.892767932370795</v>
      </c>
    </row>
    <row r="13" spans="2:231" x14ac:dyDescent="0.2">
      <c r="B13" s="1" t="s">
        <v>20</v>
      </c>
      <c r="C13" s="6">
        <f>+C7-SUM(C8:C12)</f>
        <v>141</v>
      </c>
      <c r="D13" s="6">
        <f>+D7-SUM(D8:D12)</f>
        <v>70</v>
      </c>
      <c r="E13" s="6">
        <f>+E7-SUM(E8:E12)</f>
        <v>91</v>
      </c>
      <c r="F13" s="1">
        <f t="shared" si="5"/>
        <v>67</v>
      </c>
      <c r="G13" s="6">
        <f>+G7-SUM(G8:G12)</f>
        <v>60</v>
      </c>
      <c r="H13" s="6">
        <f>+H7-SUM(H8:H12)</f>
        <v>113</v>
      </c>
      <c r="I13" s="6">
        <f>+I7-SUM(I8:I12)</f>
        <v>132</v>
      </c>
      <c r="J13" s="6">
        <f t="shared" si="6"/>
        <v>100</v>
      </c>
      <c r="K13" s="6">
        <f>+K7-SUM(K8:K12)</f>
        <v>27</v>
      </c>
      <c r="S13" s="6">
        <f>+S7-SUM(S8:S12)</f>
        <v>467</v>
      </c>
      <c r="T13" s="6">
        <f>+T7-SUM(T8:T12)</f>
        <v>369</v>
      </c>
      <c r="U13" s="6">
        <f>+U7-SUM(U8:U12)</f>
        <v>405</v>
      </c>
      <c r="V13" s="6">
        <f>+V7-SUM(V8:V12)</f>
        <v>388.65000000000009</v>
      </c>
      <c r="W13" s="6">
        <f t="shared" ref="W13:AE13" si="13">+W7-SUM(W8:W12)</f>
        <v>369.21749999999975</v>
      </c>
      <c r="X13" s="6">
        <f t="shared" si="13"/>
        <v>350.75662499999999</v>
      </c>
      <c r="Y13" s="6">
        <f t="shared" si="13"/>
        <v>333.2187937499998</v>
      </c>
      <c r="Z13" s="6">
        <f t="shared" si="13"/>
        <v>316.5578540624997</v>
      </c>
      <c r="AA13" s="6">
        <f t="shared" si="13"/>
        <v>300.72996135937456</v>
      </c>
      <c r="AB13" s="6">
        <f t="shared" si="13"/>
        <v>285.69346329140581</v>
      </c>
      <c r="AC13" s="6">
        <f t="shared" si="13"/>
        <v>271.4087901268349</v>
      </c>
      <c r="AD13" s="6">
        <f t="shared" si="13"/>
        <v>257.83835062049411</v>
      </c>
      <c r="AE13" s="6">
        <f t="shared" si="13"/>
        <v>244.94643308946934</v>
      </c>
    </row>
    <row r="14" spans="2:231" x14ac:dyDescent="0.2">
      <c r="B14" s="1" t="s">
        <v>18</v>
      </c>
      <c r="C14" s="6">
        <v>44</v>
      </c>
      <c r="D14" s="6">
        <v>21</v>
      </c>
      <c r="E14" s="6">
        <v>33</v>
      </c>
      <c r="F14" s="1">
        <f t="shared" si="5"/>
        <v>18</v>
      </c>
      <c r="G14" s="6">
        <v>17</v>
      </c>
      <c r="H14" s="6">
        <v>30</v>
      </c>
      <c r="I14" s="6">
        <v>37</v>
      </c>
      <c r="J14" s="6">
        <f t="shared" si="6"/>
        <v>19</v>
      </c>
      <c r="K14" s="6">
        <v>6</v>
      </c>
      <c r="S14" s="6">
        <v>131</v>
      </c>
      <c r="T14" s="6">
        <v>116</v>
      </c>
      <c r="U14" s="6">
        <v>103</v>
      </c>
      <c r="V14" s="1">
        <f>+V13*(U14/U13)</f>
        <v>98.841851851851871</v>
      </c>
      <c r="W14" s="1">
        <f t="shared" ref="W14:AE14" si="14">+W13*(V14/V13)</f>
        <v>93.899759259259199</v>
      </c>
      <c r="X14" s="1">
        <f t="shared" si="14"/>
        <v>89.204771296296286</v>
      </c>
      <c r="Y14" s="1">
        <f t="shared" si="14"/>
        <v>84.744532731481428</v>
      </c>
      <c r="Z14" s="1">
        <f t="shared" si="14"/>
        <v>80.507306094907335</v>
      </c>
      <c r="AA14" s="1">
        <f t="shared" si="14"/>
        <v>76.481940790161929</v>
      </c>
      <c r="AB14" s="1">
        <f t="shared" si="14"/>
        <v>72.657843750653825</v>
      </c>
      <c r="AC14" s="1">
        <f t="shared" si="14"/>
        <v>69.024951563120979</v>
      </c>
      <c r="AD14" s="1">
        <f t="shared" si="14"/>
        <v>65.573703984965164</v>
      </c>
      <c r="AE14" s="1">
        <f t="shared" si="14"/>
        <v>62.295018785716891</v>
      </c>
    </row>
    <row r="15" spans="2:231" x14ac:dyDescent="0.2">
      <c r="B15" s="1" t="s">
        <v>21</v>
      </c>
      <c r="C15" s="6">
        <f>+C13-C14</f>
        <v>97</v>
      </c>
      <c r="D15" s="6">
        <f>+D13-D14</f>
        <v>49</v>
      </c>
      <c r="E15" s="6">
        <f>+E13-E14</f>
        <v>58</v>
      </c>
      <c r="F15" s="1">
        <f t="shared" si="5"/>
        <v>49</v>
      </c>
      <c r="G15" s="6">
        <f>+G13-G14</f>
        <v>43</v>
      </c>
      <c r="H15" s="6">
        <f>+H13-H14</f>
        <v>83</v>
      </c>
      <c r="I15" s="6">
        <f>+I13-I14</f>
        <v>95</v>
      </c>
      <c r="J15" s="6">
        <f t="shared" si="6"/>
        <v>81</v>
      </c>
      <c r="K15" s="6">
        <f>+K13-K14</f>
        <v>21</v>
      </c>
      <c r="S15" s="6">
        <f>+S13-S14-218</f>
        <v>118</v>
      </c>
      <c r="T15" s="6">
        <f>+T13-T14</f>
        <v>253</v>
      </c>
      <c r="U15" s="6">
        <f>+U13-U14</f>
        <v>302</v>
      </c>
      <c r="V15" s="6">
        <f>+V13-V14</f>
        <v>289.80814814814823</v>
      </c>
      <c r="W15" s="6">
        <f t="shared" ref="W15:AE15" si="15">+W13-W14</f>
        <v>275.31774074074053</v>
      </c>
      <c r="X15" s="6">
        <f t="shared" si="15"/>
        <v>261.55185370370373</v>
      </c>
      <c r="Y15" s="6">
        <f t="shared" si="15"/>
        <v>248.47426101851838</v>
      </c>
      <c r="Z15" s="6">
        <f t="shared" si="15"/>
        <v>236.05054796759237</v>
      </c>
      <c r="AA15" s="6">
        <f t="shared" si="15"/>
        <v>224.24802056921263</v>
      </c>
      <c r="AB15" s="6">
        <f t="shared" si="15"/>
        <v>213.03561954075198</v>
      </c>
      <c r="AC15" s="6">
        <f t="shared" si="15"/>
        <v>202.38383856371394</v>
      </c>
      <c r="AD15" s="6">
        <f t="shared" si="15"/>
        <v>192.26464663552895</v>
      </c>
      <c r="AE15" s="6">
        <f t="shared" si="15"/>
        <v>182.65141430375246</v>
      </c>
      <c r="AF15" s="1">
        <f t="shared" ref="AF15:BK15" si="16">+AE15*(1+$AI$26)</f>
        <v>180.82490016071495</v>
      </c>
      <c r="AG15" s="1">
        <f t="shared" si="16"/>
        <v>179.01665115910779</v>
      </c>
      <c r="AH15" s="1">
        <f t="shared" si="16"/>
        <v>177.22648464751671</v>
      </c>
      <c r="AI15" s="1">
        <f t="shared" si="16"/>
        <v>175.45421980104155</v>
      </c>
      <c r="AJ15" s="1">
        <f t="shared" si="16"/>
        <v>173.69967760303112</v>
      </c>
      <c r="AK15" s="1">
        <f t="shared" si="16"/>
        <v>171.96268082700081</v>
      </c>
      <c r="AL15" s="1">
        <f t="shared" si="16"/>
        <v>170.24305401873079</v>
      </c>
      <c r="AM15" s="1">
        <f t="shared" si="16"/>
        <v>168.54062347854347</v>
      </c>
      <c r="AN15" s="1">
        <f t="shared" si="16"/>
        <v>166.85521724375803</v>
      </c>
      <c r="AO15" s="1">
        <f t="shared" si="16"/>
        <v>165.18666507132045</v>
      </c>
      <c r="AP15" s="1">
        <f t="shared" si="16"/>
        <v>163.53479842060725</v>
      </c>
      <c r="AQ15" s="1">
        <f t="shared" si="16"/>
        <v>161.89945043640117</v>
      </c>
      <c r="AR15" s="1">
        <f t="shared" si="16"/>
        <v>160.28045593203714</v>
      </c>
      <c r="AS15" s="1">
        <f t="shared" si="16"/>
        <v>158.67765137271678</v>
      </c>
      <c r="AT15" s="1">
        <f t="shared" si="16"/>
        <v>157.09087485898962</v>
      </c>
      <c r="AU15" s="1">
        <f t="shared" si="16"/>
        <v>155.51996611039974</v>
      </c>
      <c r="AV15" s="1">
        <f t="shared" si="16"/>
        <v>153.96476644929572</v>
      </c>
      <c r="AW15" s="1">
        <f t="shared" si="16"/>
        <v>152.42511878480278</v>
      </c>
      <c r="AX15" s="1">
        <f t="shared" si="16"/>
        <v>150.90086759695475</v>
      </c>
      <c r="AY15" s="1">
        <f t="shared" si="16"/>
        <v>149.39185892098521</v>
      </c>
      <c r="AZ15" s="1">
        <f t="shared" si="16"/>
        <v>147.89794033177537</v>
      </c>
      <c r="BA15" s="1">
        <f t="shared" si="16"/>
        <v>146.41896092845761</v>
      </c>
      <c r="BB15" s="1">
        <f t="shared" si="16"/>
        <v>144.95477131917303</v>
      </c>
      <c r="BC15" s="1">
        <f t="shared" si="16"/>
        <v>143.50522360598131</v>
      </c>
      <c r="BD15" s="1">
        <f t="shared" si="16"/>
        <v>142.0701713699215</v>
      </c>
      <c r="BE15" s="1">
        <f t="shared" si="16"/>
        <v>140.64946965622229</v>
      </c>
      <c r="BF15" s="1">
        <f t="shared" si="16"/>
        <v>139.24297495966007</v>
      </c>
      <c r="BG15" s="1">
        <f t="shared" si="16"/>
        <v>137.85054521006347</v>
      </c>
      <c r="BH15" s="1">
        <f t="shared" si="16"/>
        <v>136.47203975796285</v>
      </c>
      <c r="BI15" s="1">
        <f t="shared" si="16"/>
        <v>135.10731936038323</v>
      </c>
      <c r="BJ15" s="1">
        <f t="shared" si="16"/>
        <v>133.75624616677939</v>
      </c>
      <c r="BK15" s="1">
        <f t="shared" si="16"/>
        <v>132.41868370511159</v>
      </c>
      <c r="BL15" s="1">
        <f t="shared" ref="BL15:CQ15" si="17">+BK15*(1+$AI$26)</f>
        <v>131.09449686806047</v>
      </c>
      <c r="BM15" s="1">
        <f t="shared" si="17"/>
        <v>129.78355189937986</v>
      </c>
      <c r="BN15" s="1">
        <f t="shared" si="17"/>
        <v>128.48571638038607</v>
      </c>
      <c r="BO15" s="1">
        <f t="shared" si="17"/>
        <v>127.2008592165822</v>
      </c>
      <c r="BP15" s="1">
        <f t="shared" si="17"/>
        <v>125.92885062441638</v>
      </c>
      <c r="BQ15" s="1">
        <f t="shared" si="17"/>
        <v>124.66956211817222</v>
      </c>
      <c r="BR15" s="1">
        <f t="shared" si="17"/>
        <v>123.42286649699049</v>
      </c>
      <c r="BS15" s="1">
        <f t="shared" si="17"/>
        <v>122.18863783202059</v>
      </c>
      <c r="BT15" s="1">
        <f t="shared" si="17"/>
        <v>120.96675145370038</v>
      </c>
      <c r="BU15" s="1">
        <f t="shared" si="17"/>
        <v>119.75708393916338</v>
      </c>
      <c r="BV15" s="1">
        <f t="shared" si="17"/>
        <v>118.55951309977175</v>
      </c>
      <c r="BW15" s="1">
        <f t="shared" si="17"/>
        <v>117.37391796877404</v>
      </c>
      <c r="BX15" s="1">
        <f t="shared" si="17"/>
        <v>116.20017878908629</v>
      </c>
      <c r="BY15" s="1">
        <f t="shared" si="17"/>
        <v>115.03817700119544</v>
      </c>
      <c r="BZ15" s="1">
        <f t="shared" si="17"/>
        <v>113.88779523118347</v>
      </c>
      <c r="CA15" s="1">
        <f t="shared" si="17"/>
        <v>112.74891727887164</v>
      </c>
      <c r="CB15" s="1">
        <f t="shared" si="17"/>
        <v>111.62142810608293</v>
      </c>
      <c r="CC15" s="1">
        <f t="shared" si="17"/>
        <v>110.5052138250221</v>
      </c>
      <c r="CD15" s="1">
        <f t="shared" si="17"/>
        <v>109.40016168677188</v>
      </c>
      <c r="CE15" s="1">
        <f t="shared" si="17"/>
        <v>108.30616006990417</v>
      </c>
      <c r="CF15" s="1">
        <f t="shared" si="17"/>
        <v>107.22309846920513</v>
      </c>
      <c r="CG15" s="1">
        <f t="shared" si="17"/>
        <v>106.15086748451307</v>
      </c>
      <c r="CH15" s="1">
        <f t="shared" si="17"/>
        <v>105.08935880966794</v>
      </c>
      <c r="CI15" s="1">
        <f t="shared" si="17"/>
        <v>104.03846522157126</v>
      </c>
      <c r="CJ15" s="1">
        <f t="shared" si="17"/>
        <v>102.99808056935555</v>
      </c>
      <c r="CK15" s="1">
        <f t="shared" si="17"/>
        <v>101.968099763662</v>
      </c>
      <c r="CL15" s="1">
        <f t="shared" si="17"/>
        <v>100.94841876602537</v>
      </c>
      <c r="CM15" s="1">
        <f t="shared" si="17"/>
        <v>99.938934578365121</v>
      </c>
      <c r="CN15" s="1">
        <f t="shared" si="17"/>
        <v>98.939545232581466</v>
      </c>
      <c r="CO15" s="1">
        <f t="shared" si="17"/>
        <v>97.950149780255657</v>
      </c>
      <c r="CP15" s="1">
        <f t="shared" si="17"/>
        <v>96.970648282453098</v>
      </c>
      <c r="CQ15" s="1">
        <f t="shared" si="17"/>
        <v>96.000941799628563</v>
      </c>
      <c r="CR15" s="1">
        <f t="shared" ref="CR15:DW15" si="18">+CQ15*(1+$AI$26)</f>
        <v>95.040932381632274</v>
      </c>
      <c r="CS15" s="1">
        <f t="shared" si="18"/>
        <v>94.090523057815957</v>
      </c>
      <c r="CT15" s="1">
        <f t="shared" si="18"/>
        <v>93.14961782723779</v>
      </c>
      <c r="CU15" s="1">
        <f t="shared" si="18"/>
        <v>92.218121648965408</v>
      </c>
      <c r="CV15" s="1">
        <f t="shared" si="18"/>
        <v>91.295940432475746</v>
      </c>
      <c r="CW15" s="1">
        <f t="shared" si="18"/>
        <v>90.382981028150994</v>
      </c>
      <c r="CX15" s="1">
        <f t="shared" si="18"/>
        <v>89.479151217869486</v>
      </c>
      <c r="CY15" s="1">
        <f t="shared" si="18"/>
        <v>88.584359705690787</v>
      </c>
      <c r="CZ15" s="1">
        <f t="shared" si="18"/>
        <v>87.698516108633882</v>
      </c>
      <c r="DA15" s="1">
        <f t="shared" si="18"/>
        <v>86.821530947547544</v>
      </c>
      <c r="DB15" s="1">
        <f t="shared" si="18"/>
        <v>85.95331563807207</v>
      </c>
      <c r="DC15" s="1">
        <f t="shared" si="18"/>
        <v>85.093782481691349</v>
      </c>
      <c r="DD15" s="1">
        <f t="shared" si="18"/>
        <v>84.242844656874439</v>
      </c>
      <c r="DE15" s="1">
        <f t="shared" si="18"/>
        <v>83.400416210305693</v>
      </c>
      <c r="DF15" s="1">
        <f t="shared" si="18"/>
        <v>82.566412048202636</v>
      </c>
      <c r="DG15" s="1">
        <f t="shared" si="18"/>
        <v>81.740747927720605</v>
      </c>
      <c r="DH15" s="1">
        <f t="shared" si="18"/>
        <v>80.923340448443398</v>
      </c>
      <c r="DI15" s="1">
        <f t="shared" si="18"/>
        <v>80.114107043958967</v>
      </c>
      <c r="DJ15" s="1">
        <f t="shared" si="18"/>
        <v>79.312965973519383</v>
      </c>
      <c r="DK15" s="1">
        <f t="shared" si="18"/>
        <v>78.519836313784182</v>
      </c>
      <c r="DL15" s="1">
        <f t="shared" si="18"/>
        <v>77.734637950646345</v>
      </c>
      <c r="DM15" s="1">
        <f t="shared" si="18"/>
        <v>76.957291571139876</v>
      </c>
      <c r="DN15" s="1">
        <f t="shared" si="18"/>
        <v>76.187718655428483</v>
      </c>
      <c r="DO15" s="1">
        <f t="shared" si="18"/>
        <v>75.425841468874196</v>
      </c>
      <c r="DP15" s="1">
        <f t="shared" si="18"/>
        <v>74.671583054185447</v>
      </c>
      <c r="DQ15" s="1">
        <f t="shared" si="18"/>
        <v>73.924867223643588</v>
      </c>
      <c r="DR15" s="1">
        <f t="shared" si="18"/>
        <v>73.185618551407146</v>
      </c>
      <c r="DS15" s="1">
        <f t="shared" si="18"/>
        <v>72.45376236589307</v>
      </c>
      <c r="DT15" s="1">
        <f t="shared" si="18"/>
        <v>71.729224742234138</v>
      </c>
      <c r="DU15" s="1">
        <f t="shared" si="18"/>
        <v>71.011932494811802</v>
      </c>
      <c r="DV15" s="1">
        <f t="shared" si="18"/>
        <v>70.301813169863678</v>
      </c>
      <c r="DW15" s="1">
        <f t="shared" si="18"/>
        <v>69.598795038165036</v>
      </c>
      <c r="DX15" s="1">
        <f t="shared" ref="DX15:FC15" si="19">+DW15*(1+$AI$26)</f>
        <v>68.902807087783387</v>
      </c>
      <c r="DY15" s="1">
        <f t="shared" si="19"/>
        <v>68.213779016905548</v>
      </c>
      <c r="DZ15" s="1">
        <f t="shared" si="19"/>
        <v>67.531641226736497</v>
      </c>
      <c r="EA15" s="1">
        <f t="shared" si="19"/>
        <v>66.856324814469133</v>
      </c>
      <c r="EB15" s="1">
        <f t="shared" si="19"/>
        <v>66.18776156632444</v>
      </c>
      <c r="EC15" s="1">
        <f t="shared" si="19"/>
        <v>65.525883950661196</v>
      </c>
      <c r="ED15" s="1">
        <f t="shared" si="19"/>
        <v>64.870625111154581</v>
      </c>
      <c r="EE15" s="1">
        <f t="shared" si="19"/>
        <v>64.221918860043033</v>
      </c>
      <c r="EF15" s="1">
        <f t="shared" si="19"/>
        <v>63.579699671442604</v>
      </c>
      <c r="EG15" s="1">
        <f t="shared" si="19"/>
        <v>62.943902674728179</v>
      </c>
      <c r="EH15" s="1">
        <f t="shared" si="19"/>
        <v>62.314463647980894</v>
      </c>
      <c r="EI15" s="1">
        <f t="shared" si="19"/>
        <v>61.691319011501086</v>
      </c>
      <c r="EJ15" s="1">
        <f t="shared" si="19"/>
        <v>61.074405821386073</v>
      </c>
      <c r="EK15" s="1">
        <f t="shared" si="19"/>
        <v>60.463661763172212</v>
      </c>
      <c r="EL15" s="1">
        <f t="shared" si="19"/>
        <v>59.859025145540492</v>
      </c>
      <c r="EM15" s="1">
        <f t="shared" si="19"/>
        <v>59.260434894085087</v>
      </c>
      <c r="EN15" s="1">
        <f t="shared" si="19"/>
        <v>58.667830545144234</v>
      </c>
      <c r="EO15" s="1">
        <f t="shared" si="19"/>
        <v>58.081152239692791</v>
      </c>
      <c r="EP15" s="1">
        <f t="shared" si="19"/>
        <v>57.500340717295863</v>
      </c>
      <c r="EQ15" s="1">
        <f t="shared" si="19"/>
        <v>56.925337310122906</v>
      </c>
      <c r="ER15" s="1">
        <f t="shared" si="19"/>
        <v>56.35608393702168</v>
      </c>
      <c r="ES15" s="1">
        <f t="shared" si="19"/>
        <v>55.792523097651461</v>
      </c>
      <c r="ET15" s="1">
        <f t="shared" si="19"/>
        <v>55.234597866674946</v>
      </c>
      <c r="EU15" s="1">
        <f t="shared" si="19"/>
        <v>54.682251888008196</v>
      </c>
      <c r="EV15" s="1">
        <f t="shared" si="19"/>
        <v>54.135429369128111</v>
      </c>
      <c r="EW15" s="1">
        <f t="shared" si="19"/>
        <v>53.594075075436827</v>
      </c>
      <c r="EX15" s="1">
        <f t="shared" si="19"/>
        <v>53.058134324682456</v>
      </c>
      <c r="EY15" s="1">
        <f t="shared" si="19"/>
        <v>52.527552981435633</v>
      </c>
      <c r="EZ15" s="1">
        <f t="shared" si="19"/>
        <v>52.002277451621275</v>
      </c>
      <c r="FA15" s="1">
        <f t="shared" si="19"/>
        <v>51.482254677105061</v>
      </c>
      <c r="FB15" s="1">
        <f t="shared" si="19"/>
        <v>50.967432130334011</v>
      </c>
      <c r="FC15" s="1">
        <f t="shared" si="19"/>
        <v>50.457757809030667</v>
      </c>
      <c r="FD15" s="1">
        <f t="shared" ref="FD15:GI15" si="20">+FC15*(1+$AI$26)</f>
        <v>49.953180230940362</v>
      </c>
      <c r="FE15" s="1">
        <f t="shared" si="20"/>
        <v>49.453648428630956</v>
      </c>
      <c r="FF15" s="1">
        <f t="shared" si="20"/>
        <v>48.959111944344649</v>
      </c>
      <c r="FG15" s="1">
        <f t="shared" si="20"/>
        <v>48.469520824901203</v>
      </c>
      <c r="FH15" s="1">
        <f t="shared" si="20"/>
        <v>47.984825616652188</v>
      </c>
      <c r="FI15" s="1">
        <f t="shared" si="20"/>
        <v>47.504977360485668</v>
      </c>
      <c r="FJ15" s="1">
        <f t="shared" si="20"/>
        <v>47.02992758688081</v>
      </c>
      <c r="FK15" s="1">
        <f t="shared" si="20"/>
        <v>46.559628311011998</v>
      </c>
      <c r="FL15" s="1">
        <f t="shared" si="20"/>
        <v>46.094032027901875</v>
      </c>
      <c r="FM15" s="1">
        <f t="shared" si="20"/>
        <v>45.633091707622853</v>
      </c>
      <c r="FN15" s="1">
        <f t="shared" si="20"/>
        <v>45.176760790546624</v>
      </c>
      <c r="FO15" s="1">
        <f t="shared" si="20"/>
        <v>44.724993182641157</v>
      </c>
      <c r="FP15" s="1">
        <f t="shared" si="20"/>
        <v>44.277743250814744</v>
      </c>
      <c r="FQ15" s="1">
        <f t="shared" si="20"/>
        <v>43.8349658183066</v>
      </c>
      <c r="FR15" s="1">
        <f t="shared" si="20"/>
        <v>43.396616160123536</v>
      </c>
      <c r="FS15" s="1">
        <f t="shared" si="20"/>
        <v>42.962649998522302</v>
      </c>
      <c r="FT15" s="1">
        <f t="shared" si="20"/>
        <v>42.533023498537077</v>
      </c>
      <c r="FU15" s="1">
        <f t="shared" si="20"/>
        <v>42.107693263551703</v>
      </c>
      <c r="FV15" s="1">
        <f t="shared" si="20"/>
        <v>41.686616330916188</v>
      </c>
      <c r="FW15" s="1">
        <f t="shared" si="20"/>
        <v>41.269750167607029</v>
      </c>
      <c r="FX15" s="1">
        <f t="shared" si="20"/>
        <v>40.857052665930958</v>
      </c>
      <c r="FY15" s="1">
        <f t="shared" si="20"/>
        <v>40.448482139271647</v>
      </c>
      <c r="FZ15" s="1">
        <f t="shared" si="20"/>
        <v>40.043997317878933</v>
      </c>
      <c r="GA15" s="1">
        <f t="shared" si="20"/>
        <v>39.643557344700142</v>
      </c>
      <c r="GB15" s="1">
        <f t="shared" si="20"/>
        <v>39.247121771253141</v>
      </c>
      <c r="GC15" s="1">
        <f t="shared" si="20"/>
        <v>38.854650553540608</v>
      </c>
      <c r="GD15" s="1">
        <f t="shared" si="20"/>
        <v>38.466104048005199</v>
      </c>
      <c r="GE15" s="1">
        <f t="shared" si="20"/>
        <v>38.081443007525145</v>
      </c>
      <c r="GF15" s="1">
        <f t="shared" si="20"/>
        <v>37.700628577449891</v>
      </c>
      <c r="GG15" s="1">
        <f t="shared" si="20"/>
        <v>37.323622291675392</v>
      </c>
      <c r="GH15" s="1">
        <f t="shared" si="20"/>
        <v>36.95038606875864</v>
      </c>
      <c r="GI15" s="1">
        <f t="shared" si="20"/>
        <v>36.580882208071053</v>
      </c>
      <c r="GJ15" s="1">
        <f t="shared" ref="GJ15:HO15" si="21">+GI15*(1+$AI$26)</f>
        <v>36.215073385990344</v>
      </c>
      <c r="GK15" s="1">
        <f t="shared" si="21"/>
        <v>35.852922652130438</v>
      </c>
      <c r="GL15" s="1">
        <f t="shared" si="21"/>
        <v>35.494393425609132</v>
      </c>
      <c r="GM15" s="1">
        <f t="shared" si="21"/>
        <v>35.139449491353041</v>
      </c>
      <c r="GN15" s="1">
        <f t="shared" si="21"/>
        <v>34.788054996439513</v>
      </c>
      <c r="GO15" s="1">
        <f t="shared" si="21"/>
        <v>34.440174446475119</v>
      </c>
      <c r="GP15" s="1">
        <f t="shared" si="21"/>
        <v>34.095772702010365</v>
      </c>
      <c r="GQ15" s="1">
        <f t="shared" si="21"/>
        <v>33.754814974990261</v>
      </c>
      <c r="GR15" s="1">
        <f t="shared" si="21"/>
        <v>33.417266825240361</v>
      </c>
      <c r="GS15" s="1">
        <f t="shared" si="21"/>
        <v>33.083094156987954</v>
      </c>
      <c r="GT15" s="1">
        <f t="shared" si="21"/>
        <v>32.752263215418076</v>
      </c>
      <c r="GU15" s="1">
        <f t="shared" si="21"/>
        <v>32.424740583263898</v>
      </c>
      <c r="GV15" s="1">
        <f t="shared" si="21"/>
        <v>32.100493177431261</v>
      </c>
      <c r="GW15" s="1">
        <f t="shared" si="21"/>
        <v>31.77948824565695</v>
      </c>
      <c r="GX15" s="1">
        <f t="shared" si="21"/>
        <v>31.461693363200379</v>
      </c>
      <c r="GY15" s="1">
        <f t="shared" si="21"/>
        <v>31.147076429568376</v>
      </c>
      <c r="GZ15" s="1">
        <f t="shared" si="21"/>
        <v>30.835605665272691</v>
      </c>
      <c r="HA15" s="1">
        <f t="shared" si="21"/>
        <v>30.527249608619965</v>
      </c>
      <c r="HB15" s="1">
        <f t="shared" si="21"/>
        <v>30.221977112533764</v>
      </c>
      <c r="HC15" s="1">
        <f t="shared" si="21"/>
        <v>29.919757341408427</v>
      </c>
      <c r="HD15" s="1">
        <f t="shared" si="21"/>
        <v>29.620559767994344</v>
      </c>
      <c r="HE15" s="1">
        <f t="shared" si="21"/>
        <v>29.3243541703144</v>
      </c>
      <c r="HF15" s="1">
        <f t="shared" si="21"/>
        <v>29.031110628611255</v>
      </c>
      <c r="HG15" s="1">
        <f t="shared" si="21"/>
        <v>28.740799522325144</v>
      </c>
      <c r="HH15" s="1">
        <f t="shared" si="21"/>
        <v>28.453391527101893</v>
      </c>
      <c r="HI15" s="1">
        <f t="shared" si="21"/>
        <v>28.168857611830873</v>
      </c>
      <c r="HJ15" s="1">
        <f t="shared" si="21"/>
        <v>27.887169035712564</v>
      </c>
      <c r="HK15" s="1">
        <f t="shared" si="21"/>
        <v>27.608297345355439</v>
      </c>
      <c r="HL15" s="1">
        <f t="shared" si="21"/>
        <v>27.332214371901884</v>
      </c>
      <c r="HM15" s="1">
        <f t="shared" si="21"/>
        <v>27.058892228182867</v>
      </c>
      <c r="HN15" s="1">
        <f t="shared" si="21"/>
        <v>26.788303305901039</v>
      </c>
      <c r="HO15" s="1">
        <f t="shared" si="21"/>
        <v>26.520420272842028</v>
      </c>
      <c r="HP15" s="1">
        <f t="shared" ref="HP15:HW15" si="22">+HO15*(1+$AI$26)</f>
        <v>26.255216070113608</v>
      </c>
      <c r="HQ15" s="1">
        <f t="shared" si="22"/>
        <v>25.992663909412471</v>
      </c>
      <c r="HR15" s="1">
        <f t="shared" si="22"/>
        <v>25.732737270318346</v>
      </c>
      <c r="HS15" s="1">
        <f t="shared" si="22"/>
        <v>25.475409897615162</v>
      </c>
      <c r="HT15" s="1">
        <f t="shared" si="22"/>
        <v>25.220655798639012</v>
      </c>
      <c r="HU15" s="1">
        <f t="shared" si="22"/>
        <v>24.968449240652621</v>
      </c>
      <c r="HV15" s="1">
        <f t="shared" si="22"/>
        <v>24.718764748246095</v>
      </c>
      <c r="HW15" s="1">
        <f t="shared" si="22"/>
        <v>24.471577100763632</v>
      </c>
    </row>
    <row r="16" spans="2:231" x14ac:dyDescent="0.2">
      <c r="B16" s="1" t="s">
        <v>23</v>
      </c>
      <c r="C16" s="6">
        <v>2.25</v>
      </c>
      <c r="D16" s="6">
        <v>1.1399999999999999</v>
      </c>
      <c r="E16" s="6">
        <v>1.37</v>
      </c>
      <c r="F16" s="1">
        <f t="shared" si="5"/>
        <v>1.17</v>
      </c>
      <c r="G16" s="6">
        <v>1.02</v>
      </c>
      <c r="H16" s="6">
        <v>1.98</v>
      </c>
      <c r="I16" s="6">
        <v>2.27</v>
      </c>
      <c r="J16" s="6">
        <f t="shared" si="6"/>
        <v>1.9100000000000001</v>
      </c>
      <c r="K16" s="6">
        <v>0.65</v>
      </c>
      <c r="S16" s="6">
        <v>2.66</v>
      </c>
      <c r="T16" s="6">
        <v>5.93</v>
      </c>
      <c r="U16" s="6">
        <v>7.18</v>
      </c>
      <c r="V16" s="1">
        <f>+V15/V17</f>
        <v>6.8901407407407422</v>
      </c>
      <c r="W16" s="1">
        <f t="shared" ref="W16:AE16" si="23">+W15/W17</f>
        <v>6.5456337037036985</v>
      </c>
      <c r="X16" s="1">
        <f t="shared" si="23"/>
        <v>6.2183520185185186</v>
      </c>
      <c r="Y16" s="1">
        <f t="shared" si="23"/>
        <v>5.9074344175925892</v>
      </c>
      <c r="Z16" s="1">
        <f t="shared" si="23"/>
        <v>5.6120626967129574</v>
      </c>
      <c r="AA16" s="1">
        <f t="shared" si="23"/>
        <v>5.3314595618773071</v>
      </c>
      <c r="AB16" s="1">
        <f t="shared" si="23"/>
        <v>5.0648865837834407</v>
      </c>
      <c r="AC16" s="1">
        <f t="shared" si="23"/>
        <v>4.8116422545942585</v>
      </c>
      <c r="AD16" s="1">
        <f t="shared" si="23"/>
        <v>4.571060141864562</v>
      </c>
      <c r="AE16" s="1">
        <f t="shared" si="23"/>
        <v>4.3425071347713331</v>
      </c>
    </row>
    <row r="17" spans="2:36" x14ac:dyDescent="0.2">
      <c r="B17" s="1" t="s">
        <v>22</v>
      </c>
      <c r="C17" s="6">
        <f>+C15/C16</f>
        <v>43.111111111111114</v>
      </c>
      <c r="D17" s="6">
        <f>+D15/D16</f>
        <v>42.982456140350884</v>
      </c>
      <c r="E17" s="6">
        <f>+E15/E16</f>
        <v>42.335766423357661</v>
      </c>
      <c r="F17" s="1">
        <f t="shared" si="5"/>
        <v>-85.764915462340724</v>
      </c>
      <c r="G17" s="6">
        <f>+G15/G16</f>
        <v>42.156862745098039</v>
      </c>
      <c r="H17" s="6">
        <f>+H15/H16</f>
        <v>41.919191919191917</v>
      </c>
      <c r="I17" s="6">
        <f>+I15/I16</f>
        <v>41.85022026431718</v>
      </c>
      <c r="J17" s="6">
        <f t="shared" si="6"/>
        <v>-83.864993591559795</v>
      </c>
      <c r="K17" s="6">
        <f>+K15/K16</f>
        <v>32.307692307692307</v>
      </c>
      <c r="S17" s="6">
        <f>+S15/S16</f>
        <v>44.360902255639097</v>
      </c>
      <c r="T17" s="6">
        <f>+T15/T16</f>
        <v>42.664418212478921</v>
      </c>
      <c r="U17" s="6">
        <f>+U15/U16</f>
        <v>42.061281337047355</v>
      </c>
      <c r="V17" s="1">
        <f>+U17</f>
        <v>42.061281337047355</v>
      </c>
      <c r="W17" s="1">
        <f t="shared" ref="W17:AE17" si="24">+V17</f>
        <v>42.061281337047355</v>
      </c>
      <c r="X17" s="1">
        <f t="shared" si="24"/>
        <v>42.061281337047355</v>
      </c>
      <c r="Y17" s="1">
        <f t="shared" si="24"/>
        <v>42.061281337047355</v>
      </c>
      <c r="Z17" s="1">
        <f t="shared" si="24"/>
        <v>42.061281337047355</v>
      </c>
      <c r="AA17" s="1">
        <f t="shared" si="24"/>
        <v>42.061281337047355</v>
      </c>
      <c r="AB17" s="1">
        <f t="shared" si="24"/>
        <v>42.061281337047355</v>
      </c>
      <c r="AC17" s="1">
        <f t="shared" si="24"/>
        <v>42.061281337047355</v>
      </c>
      <c r="AD17" s="1">
        <f t="shared" si="24"/>
        <v>42.061281337047355</v>
      </c>
      <c r="AE17" s="1">
        <f t="shared" si="24"/>
        <v>42.061281337047355</v>
      </c>
    </row>
    <row r="20" spans="2:36" s="3" customFormat="1" x14ac:dyDescent="0.2">
      <c r="B20" s="2" t="s">
        <v>31</v>
      </c>
      <c r="G20" s="8">
        <f t="shared" ref="G20:K24" si="25">+G3/C3-1</f>
        <v>-9.9999999999999978E-2</v>
      </c>
      <c r="H20" s="8">
        <f t="shared" si="25"/>
        <v>-1.9047619047619091E-2</v>
      </c>
      <c r="I20" s="8">
        <f t="shared" si="25"/>
        <v>5.4347826086956541E-2</v>
      </c>
      <c r="J20" s="8">
        <f t="shared" si="25"/>
        <v>-1.5228426395939132E-2</v>
      </c>
      <c r="K20" s="8">
        <f t="shared" si="25"/>
        <v>-8.2125603864734331E-2</v>
      </c>
      <c r="L20" s="8"/>
      <c r="M20" s="8"/>
      <c r="N20" s="8"/>
      <c r="U20" s="3">
        <f>+U3/T3-1</f>
        <v>-2.436053593179055E-2</v>
      </c>
    </row>
    <row r="21" spans="2:36" s="3" customFormat="1" x14ac:dyDescent="0.2">
      <c r="B21" s="2" t="s">
        <v>32</v>
      </c>
      <c r="G21" s="8">
        <f t="shared" si="25"/>
        <v>-2.7027027027026973E-2</v>
      </c>
      <c r="H21" s="8">
        <f t="shared" si="25"/>
        <v>-2.0000000000000018E-2</v>
      </c>
      <c r="I21" s="8">
        <f t="shared" si="25"/>
        <v>4.0650406504065817E-3</v>
      </c>
      <c r="J21" s="8">
        <f t="shared" si="25"/>
        <v>-7.638888888888884E-2</v>
      </c>
      <c r="K21" s="12">
        <f t="shared" si="25"/>
        <v>-0.10648148148148151</v>
      </c>
      <c r="L21" s="8"/>
      <c r="M21" s="8"/>
      <c r="N21" s="8"/>
      <c r="U21" s="3">
        <f>+U4/T4-1</f>
        <v>-3.1809145129224614E-2</v>
      </c>
    </row>
    <row r="22" spans="2:36" s="3" customFormat="1" x14ac:dyDescent="0.2">
      <c r="B22" s="2" t="s">
        <v>33</v>
      </c>
      <c r="G22" s="8">
        <f t="shared" si="25"/>
        <v>-2.9702970297029729E-2</v>
      </c>
      <c r="H22" s="8">
        <f t="shared" si="25"/>
        <v>4.0084388185654074E-2</v>
      </c>
      <c r="I22" s="8">
        <f t="shared" si="25"/>
        <v>0.11764705882352944</v>
      </c>
      <c r="J22" s="8">
        <f t="shared" si="25"/>
        <v>3.629032258064524E-2</v>
      </c>
      <c r="K22" s="12">
        <f t="shared" si="25"/>
        <v>-0.10612244897959189</v>
      </c>
      <c r="L22" s="8"/>
      <c r="M22" s="8"/>
      <c r="N22" s="8"/>
      <c r="U22" s="3">
        <f>+U5/T5-1</f>
        <v>3.9979497693490407E-2</v>
      </c>
    </row>
    <row r="23" spans="2:36" s="3" customFormat="1" x14ac:dyDescent="0.2">
      <c r="B23" s="2" t="s">
        <v>34</v>
      </c>
      <c r="G23" s="8">
        <f t="shared" si="25"/>
        <v>-0.5</v>
      </c>
      <c r="H23" s="8">
        <f t="shared" si="25"/>
        <v>-0.26666666666666672</v>
      </c>
      <c r="I23" s="8">
        <f t="shared" si="25"/>
        <v>-0.11111111111111116</v>
      </c>
      <c r="J23" s="8">
        <f t="shared" si="25"/>
        <v>-0.76470588235294112</v>
      </c>
      <c r="K23" s="8">
        <f t="shared" si="25"/>
        <v>-0.25</v>
      </c>
      <c r="L23" s="8"/>
      <c r="M23" s="8"/>
      <c r="N23" s="8"/>
      <c r="U23" s="3">
        <f>+U6/T6-1</f>
        <v>-0.45614035087719296</v>
      </c>
    </row>
    <row r="24" spans="2:36" s="4" customFormat="1" x14ac:dyDescent="0.2">
      <c r="B24" s="4" t="s">
        <v>24</v>
      </c>
      <c r="F24" s="7"/>
      <c r="G24" s="9">
        <f t="shared" si="25"/>
        <v>-3.8257173219978791E-2</v>
      </c>
      <c r="H24" s="7">
        <f t="shared" si="25"/>
        <v>1.5233949945593128E-2</v>
      </c>
      <c r="I24" s="7">
        <f t="shared" si="25"/>
        <v>7.5808249721293297E-2</v>
      </c>
      <c r="J24" s="7">
        <f t="shared" si="25"/>
        <v>6.2240663900414717E-3</v>
      </c>
      <c r="K24" s="9">
        <f t="shared" si="25"/>
        <v>-9.9447513812154664E-2</v>
      </c>
      <c r="L24" s="7"/>
      <c r="M24" s="7"/>
      <c r="N24" s="7"/>
      <c r="Q24" s="4">
        <f t="shared" ref="Q24:S24" si="26">+Q7/P7-1</f>
        <v>-0.40627333831217327</v>
      </c>
      <c r="R24" s="4">
        <f t="shared" si="26"/>
        <v>0.18574423480083868</v>
      </c>
      <c r="S24" s="4">
        <f t="shared" si="26"/>
        <v>0.28288543140028288</v>
      </c>
      <c r="T24" s="4">
        <f>+T7/S7-1</f>
        <v>2.5633958103638443E-2</v>
      </c>
      <c r="U24" s="4">
        <f>+U7/T7-1</f>
        <v>1.3974737973662998E-2</v>
      </c>
      <c r="V24" s="4">
        <f t="shared" ref="V24:AE24" si="27">+V7/U7-1</f>
        <v>-5.0000000000000044E-2</v>
      </c>
      <c r="W24" s="4">
        <f t="shared" si="27"/>
        <v>-5.0000000000000044E-2</v>
      </c>
      <c r="X24" s="4">
        <f t="shared" si="27"/>
        <v>-5.0000000000000044E-2</v>
      </c>
      <c r="Y24" s="4">
        <f t="shared" si="27"/>
        <v>-5.0000000000000155E-2</v>
      </c>
      <c r="Z24" s="4">
        <f t="shared" si="27"/>
        <v>-5.0000000000000044E-2</v>
      </c>
      <c r="AA24" s="4">
        <f t="shared" si="27"/>
        <v>-4.9999999999999933E-2</v>
      </c>
      <c r="AB24" s="4">
        <f t="shared" si="27"/>
        <v>-5.0000000000000044E-2</v>
      </c>
      <c r="AC24" s="4">
        <f t="shared" si="27"/>
        <v>-5.0000000000000155E-2</v>
      </c>
      <c r="AD24" s="4">
        <f t="shared" si="27"/>
        <v>-5.0000000000000044E-2</v>
      </c>
      <c r="AE24" s="4">
        <f t="shared" si="27"/>
        <v>-5.0000000000000044E-2</v>
      </c>
    </row>
    <row r="25" spans="2:36" s="3" customFormat="1" x14ac:dyDescent="0.2">
      <c r="B25" s="3" t="s">
        <v>25</v>
      </c>
      <c r="C25" s="8">
        <f t="shared" ref="C25:K25" si="28">(C7-C8)/C7</f>
        <v>0.28799149840595112</v>
      </c>
      <c r="D25" s="8">
        <f t="shared" si="28"/>
        <v>0.21545157780195864</v>
      </c>
      <c r="E25" s="8">
        <f t="shared" si="28"/>
        <v>0.25863991081382387</v>
      </c>
      <c r="F25" s="8">
        <f t="shared" si="28"/>
        <v>0.21887966804979253</v>
      </c>
      <c r="G25" s="8">
        <f t="shared" si="28"/>
        <v>0.20883977900552486</v>
      </c>
      <c r="H25" s="8">
        <f t="shared" si="28"/>
        <v>0.26688102893890675</v>
      </c>
      <c r="I25" s="8">
        <f t="shared" si="28"/>
        <v>0.27461139896373055</v>
      </c>
      <c r="J25" s="8">
        <f t="shared" si="28"/>
        <v>0.24432989690721649</v>
      </c>
      <c r="K25" s="8">
        <f t="shared" si="28"/>
        <v>0.18773006134969325</v>
      </c>
      <c r="L25" s="8"/>
      <c r="M25" s="8"/>
      <c r="N25" s="8"/>
      <c r="Q25" s="8">
        <f>(Q7-Q8)/Q7</f>
        <v>0.19119496855345913</v>
      </c>
      <c r="R25" s="8">
        <f>(R7-R8)/R7</f>
        <v>0.24222065063649223</v>
      </c>
      <c r="S25" s="8">
        <f>(S7-S8)/S7</f>
        <v>0.27811466372657112</v>
      </c>
      <c r="T25" s="8">
        <f>(T7-T8)/T7</f>
        <v>0.24509540446116634</v>
      </c>
      <c r="U25" s="8">
        <f>(U7-U8)/U7</f>
        <v>0.24913861648555527</v>
      </c>
      <c r="AH25" s="3" t="s">
        <v>112</v>
      </c>
      <c r="AI25" s="3">
        <v>0.05</v>
      </c>
    </row>
    <row r="26" spans="2:36" x14ac:dyDescent="0.2">
      <c r="AH26" s="1" t="s">
        <v>104</v>
      </c>
      <c r="AI26" s="20">
        <v>-0.01</v>
      </c>
    </row>
    <row r="27" spans="2:36" x14ac:dyDescent="0.2">
      <c r="AH27" s="1" t="s">
        <v>105</v>
      </c>
      <c r="AI27" s="20">
        <v>0.1</v>
      </c>
    </row>
    <row r="28" spans="2:36" x14ac:dyDescent="0.2">
      <c r="AH28" s="10" t="s">
        <v>111</v>
      </c>
      <c r="AI28" s="11">
        <f>NPV(AI27,V15:HW15)</f>
        <v>2119.8410594461816</v>
      </c>
    </row>
    <row r="29" spans="2:36" x14ac:dyDescent="0.2">
      <c r="AH29" s="21" t="s">
        <v>106</v>
      </c>
      <c r="AI29" s="21">
        <f>+Main!K4</f>
        <v>40.722727999999996</v>
      </c>
      <c r="AJ29" s="21"/>
    </row>
    <row r="30" spans="2:36" s="13" customFormat="1" x14ac:dyDescent="0.2">
      <c r="B30" s="13" t="s">
        <v>57</v>
      </c>
      <c r="G30" s="14"/>
      <c r="H30" s="14"/>
      <c r="I30" s="14"/>
      <c r="J30" s="14">
        <f>+J31-J45-J49</f>
        <v>-599</v>
      </c>
      <c r="K30" s="14">
        <f>+K31-K45-K49</f>
        <v>-663</v>
      </c>
      <c r="L30" s="14"/>
      <c r="M30" s="14"/>
      <c r="N30" s="14"/>
      <c r="U30" s="13">
        <f>+K30</f>
        <v>-663</v>
      </c>
      <c r="V30" s="13">
        <f>+U30*0.95</f>
        <v>-629.85</v>
      </c>
      <c r="W30" s="13">
        <f t="shared" ref="W30:AE30" si="29">+V30*0.95</f>
        <v>-598.35749999999996</v>
      </c>
      <c r="X30" s="13">
        <f t="shared" si="29"/>
        <v>-568.43962499999998</v>
      </c>
      <c r="Y30" s="13">
        <f t="shared" si="29"/>
        <v>-540.01764374999993</v>
      </c>
      <c r="Z30" s="13">
        <f t="shared" si="29"/>
        <v>-513.01676156249994</v>
      </c>
      <c r="AA30" s="13">
        <f t="shared" si="29"/>
        <v>-487.36592348437489</v>
      </c>
      <c r="AB30" s="13">
        <f t="shared" si="29"/>
        <v>-462.99762731015613</v>
      </c>
      <c r="AC30" s="13">
        <f t="shared" si="29"/>
        <v>-439.8477459446483</v>
      </c>
      <c r="AD30" s="13">
        <f t="shared" si="29"/>
        <v>-417.85535864741587</v>
      </c>
      <c r="AE30" s="13">
        <f t="shared" si="29"/>
        <v>-396.96259071504505</v>
      </c>
      <c r="AH30" s="23" t="s">
        <v>107</v>
      </c>
      <c r="AI30" s="24">
        <f>+AI28/AI29</f>
        <v>52.055477703904849</v>
      </c>
      <c r="AJ30" s="21"/>
    </row>
    <row r="31" spans="2:36" x14ac:dyDescent="0.2">
      <c r="B31" s="1" t="s">
        <v>35</v>
      </c>
      <c r="J31" s="6">
        <v>205</v>
      </c>
      <c r="K31" s="6">
        <v>154</v>
      </c>
      <c r="AH31" s="21" t="s">
        <v>108</v>
      </c>
      <c r="AI31" s="21">
        <f>+Main!K3</f>
        <v>50.33</v>
      </c>
      <c r="AJ31" s="21"/>
    </row>
    <row r="32" spans="2:36" x14ac:dyDescent="0.2">
      <c r="B32" s="1" t="s">
        <v>36</v>
      </c>
      <c r="J32" s="6">
        <v>429</v>
      </c>
      <c r="K32" s="6">
        <v>416</v>
      </c>
      <c r="O32" s="13"/>
      <c r="AH32" s="21" t="s">
        <v>109</v>
      </c>
      <c r="AI32" s="25">
        <f>+AI30/AI31-1</f>
        <v>3.4283284401050107E-2</v>
      </c>
      <c r="AJ32" s="21"/>
    </row>
    <row r="33" spans="2:35" x14ac:dyDescent="0.2">
      <c r="B33" s="1" t="s">
        <v>37</v>
      </c>
      <c r="J33" s="6">
        <v>26</v>
      </c>
      <c r="K33" s="6">
        <v>26</v>
      </c>
    </row>
    <row r="34" spans="2:35" x14ac:dyDescent="0.2">
      <c r="B34" s="1" t="s">
        <v>38</v>
      </c>
      <c r="J34" s="6">
        <v>361</v>
      </c>
      <c r="K34" s="6">
        <v>372</v>
      </c>
    </row>
    <row r="35" spans="2:35" x14ac:dyDescent="0.2">
      <c r="B35" s="1" t="s">
        <v>39</v>
      </c>
      <c r="J35" s="6">
        <v>42</v>
      </c>
      <c r="K35" s="6">
        <v>43</v>
      </c>
      <c r="AH35" s="1" t="s">
        <v>110</v>
      </c>
      <c r="AI35" s="22">
        <f>+Main!K8/Model!V15</f>
        <v>9.3598986694237016</v>
      </c>
    </row>
    <row r="36" spans="2:35" x14ac:dyDescent="0.2">
      <c r="B36" s="1" t="s">
        <v>40</v>
      </c>
      <c r="J36" s="6">
        <f>+SUM(J31:J35)</f>
        <v>1063</v>
      </c>
      <c r="K36" s="6">
        <f>+SUM(K31:K35)</f>
        <v>1011</v>
      </c>
    </row>
    <row r="37" spans="2:35" x14ac:dyDescent="0.2">
      <c r="B37" s="1" t="s">
        <v>41</v>
      </c>
      <c r="J37" s="6">
        <v>944</v>
      </c>
      <c r="K37" s="6">
        <v>977</v>
      </c>
    </row>
    <row r="38" spans="2:35" x14ac:dyDescent="0.2">
      <c r="B38" s="1" t="s">
        <v>42</v>
      </c>
      <c r="J38" s="6">
        <v>319</v>
      </c>
      <c r="K38" s="6">
        <v>350</v>
      </c>
    </row>
    <row r="39" spans="2:35" x14ac:dyDescent="0.2">
      <c r="B39" s="1" t="s">
        <v>43</v>
      </c>
      <c r="J39" s="6">
        <v>111</v>
      </c>
      <c r="K39" s="6">
        <v>119</v>
      </c>
    </row>
    <row r="40" spans="2:35" x14ac:dyDescent="0.2">
      <c r="B40" s="1" t="s">
        <v>44</v>
      </c>
      <c r="J40" s="6">
        <v>58</v>
      </c>
      <c r="K40" s="6">
        <v>59</v>
      </c>
    </row>
    <row r="41" spans="2:35" x14ac:dyDescent="0.2">
      <c r="B41" s="1" t="s">
        <v>45</v>
      </c>
      <c r="J41" s="6">
        <v>109</v>
      </c>
      <c r="K41" s="6">
        <v>113</v>
      </c>
    </row>
    <row r="42" spans="2:35" x14ac:dyDescent="0.2">
      <c r="B42" s="1" t="s">
        <v>46</v>
      </c>
      <c r="J42" s="6">
        <f>SUM(J36:J41)</f>
        <v>2604</v>
      </c>
      <c r="K42" s="6">
        <f>SUM(K36:K41)</f>
        <v>2629</v>
      </c>
    </row>
    <row r="44" spans="2:35" x14ac:dyDescent="0.2">
      <c r="B44" s="1" t="s">
        <v>48</v>
      </c>
      <c r="J44" s="6">
        <v>375</v>
      </c>
      <c r="K44" s="6">
        <v>386</v>
      </c>
    </row>
    <row r="45" spans="2:35" x14ac:dyDescent="0.2">
      <c r="B45" s="1" t="s">
        <v>49</v>
      </c>
      <c r="J45" s="6">
        <v>22</v>
      </c>
      <c r="K45" s="6">
        <v>23</v>
      </c>
    </row>
    <row r="46" spans="2:35" x14ac:dyDescent="0.2">
      <c r="B46" s="1" t="s">
        <v>50</v>
      </c>
      <c r="J46" s="6">
        <v>79</v>
      </c>
      <c r="K46" s="6">
        <v>52</v>
      </c>
    </row>
    <row r="47" spans="2:35" x14ac:dyDescent="0.2">
      <c r="B47" s="1" t="s">
        <v>51</v>
      </c>
      <c r="J47" s="6">
        <v>206</v>
      </c>
      <c r="K47" s="6">
        <v>155</v>
      </c>
    </row>
    <row r="48" spans="2:35" x14ac:dyDescent="0.2">
      <c r="B48" s="1" t="s">
        <v>47</v>
      </c>
      <c r="J48" s="6">
        <f>+SUM(J44:J47)</f>
        <v>682</v>
      </c>
      <c r="K48" s="6">
        <f>+SUM(K44:K47)</f>
        <v>616</v>
      </c>
    </row>
    <row r="49" spans="2:21" x14ac:dyDescent="0.2">
      <c r="B49" s="1" t="s">
        <v>52</v>
      </c>
      <c r="J49" s="6">
        <v>782</v>
      </c>
      <c r="K49" s="6">
        <v>794</v>
      </c>
    </row>
    <row r="50" spans="2:21" x14ac:dyDescent="0.2">
      <c r="B50" s="1" t="s">
        <v>53</v>
      </c>
      <c r="J50" s="6">
        <v>152</v>
      </c>
      <c r="K50" s="6">
        <v>162</v>
      </c>
    </row>
    <row r="51" spans="2:21" x14ac:dyDescent="0.2">
      <c r="B51" s="1" t="s">
        <v>54</v>
      </c>
      <c r="J51" s="6">
        <v>141</v>
      </c>
      <c r="K51" s="6">
        <v>149</v>
      </c>
    </row>
    <row r="52" spans="2:21" x14ac:dyDescent="0.2">
      <c r="B52" s="1" t="s">
        <v>55</v>
      </c>
      <c r="J52" s="6">
        <v>847</v>
      </c>
      <c r="K52" s="6">
        <v>908</v>
      </c>
    </row>
    <row r="53" spans="2:21" x14ac:dyDescent="0.2">
      <c r="B53" s="1" t="s">
        <v>56</v>
      </c>
      <c r="J53" s="6">
        <f>+SUM(J48:J52)</f>
        <v>2604</v>
      </c>
      <c r="K53" s="6">
        <f>+SUM(K48:K52)</f>
        <v>2629</v>
      </c>
    </row>
    <row r="56" spans="2:21" x14ac:dyDescent="0.2">
      <c r="B56" s="1" t="s">
        <v>101</v>
      </c>
      <c r="P56" s="1">
        <v>524</v>
      </c>
      <c r="Q56" s="1">
        <v>245</v>
      </c>
      <c r="R56" s="1">
        <v>423</v>
      </c>
      <c r="S56" s="1">
        <v>418</v>
      </c>
      <c r="T56" s="1">
        <v>504</v>
      </c>
      <c r="U56" s="1">
        <v>469</v>
      </c>
    </row>
    <row r="57" spans="2:21" x14ac:dyDescent="0.2">
      <c r="B57" s="1" t="s">
        <v>102</v>
      </c>
      <c r="P57" s="1">
        <v>-118</v>
      </c>
      <c r="Q57" s="1">
        <v>-66</v>
      </c>
      <c r="R57" s="1">
        <v>-69</v>
      </c>
      <c r="S57" s="1">
        <v>-149</v>
      </c>
      <c r="T57" s="1">
        <v>-210</v>
      </c>
      <c r="U57" s="1">
        <v>-221</v>
      </c>
    </row>
    <row r="58" spans="2:21" s="13" customFormat="1" x14ac:dyDescent="0.2">
      <c r="B58" s="13" t="s">
        <v>103</v>
      </c>
      <c r="G58" s="14"/>
      <c r="H58" s="14"/>
      <c r="I58" s="14"/>
      <c r="J58" s="14"/>
      <c r="K58" s="14"/>
      <c r="L58" s="14"/>
      <c r="M58" s="14"/>
      <c r="N58" s="14"/>
      <c r="P58" s="13">
        <f>+SUM(P56:P57)</f>
        <v>406</v>
      </c>
      <c r="Q58" s="13">
        <f t="shared" ref="Q58:U58" si="30">+SUM(Q56:Q57)</f>
        <v>179</v>
      </c>
      <c r="R58" s="13">
        <f t="shared" si="30"/>
        <v>354</v>
      </c>
      <c r="S58" s="13">
        <f t="shared" si="30"/>
        <v>269</v>
      </c>
      <c r="T58" s="13">
        <f t="shared" si="30"/>
        <v>294</v>
      </c>
      <c r="U58" s="13">
        <f t="shared" si="30"/>
        <v>248</v>
      </c>
    </row>
    <row r="59" spans="2:21" x14ac:dyDescent="0.2">
      <c r="S59" s="1">
        <f>+S15</f>
        <v>118</v>
      </c>
      <c r="T59" s="1">
        <f>+T15</f>
        <v>253</v>
      </c>
      <c r="U59" s="1">
        <f>+U15</f>
        <v>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2025-06-18T14:25:58Z</dcterms:created>
  <dcterms:modified xsi:type="dcterms:W3CDTF">2025-06-21T04:36:25Z</dcterms:modified>
</cp:coreProperties>
</file>