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Basic Materials/basic materials/Gold/"/>
    </mc:Choice>
  </mc:AlternateContent>
  <xr:revisionPtr revIDLastSave="0" documentId="13_ncr:1_{7137774B-F8F2-B94F-B606-C075D09ABEE8}" xr6:coauthVersionLast="47" xr6:coauthVersionMax="47" xr10:uidLastSave="{00000000-0000-0000-0000-000000000000}"/>
  <bookViews>
    <workbookView xWindow="11300" yWindow="1920" windowWidth="39900" windowHeight="26300" xr2:uid="{70B837EF-D298-4E49-8813-AC8021BB16C4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20" i="1" s="1"/>
  <c r="F21" i="1" s="1"/>
  <c r="F12" i="1"/>
  <c r="S65" i="2"/>
  <c r="S63" i="2"/>
  <c r="C43" i="2"/>
  <c r="C51" i="2" s="1"/>
  <c r="F45" i="2"/>
  <c r="F49" i="2" s="1"/>
  <c r="H44" i="2"/>
  <c r="J44" i="2" s="1"/>
  <c r="L44" i="2" s="1"/>
  <c r="N44" i="2" s="1"/>
  <c r="P44" i="2" s="1"/>
  <c r="H42" i="2"/>
  <c r="J42" i="2" s="1"/>
  <c r="G42" i="2"/>
  <c r="G44" i="2"/>
  <c r="F51" i="2"/>
  <c r="E51" i="2"/>
  <c r="D51" i="2"/>
  <c r="E49" i="2"/>
  <c r="D49" i="2"/>
  <c r="C49" i="2"/>
  <c r="E48" i="2"/>
  <c r="D48" i="2"/>
  <c r="H24" i="2"/>
  <c r="H22" i="2"/>
  <c r="G22" i="2"/>
  <c r="G24" i="2"/>
  <c r="I24" i="2" s="1"/>
  <c r="K24" i="2" s="1"/>
  <c r="M24" i="2" s="1"/>
  <c r="O24" i="2" s="1"/>
  <c r="Q24" i="2" s="1"/>
  <c r="E28" i="2"/>
  <c r="E29" i="2"/>
  <c r="E31" i="2"/>
  <c r="F25" i="2"/>
  <c r="G25" i="2" s="1"/>
  <c r="D31" i="2"/>
  <c r="C31" i="2"/>
  <c r="D29" i="2"/>
  <c r="C29" i="2"/>
  <c r="D28" i="2"/>
  <c r="C28" i="2"/>
  <c r="C30" i="2" s="1"/>
  <c r="C32" i="2" s="1"/>
  <c r="H10" i="2"/>
  <c r="I10" i="2" s="1"/>
  <c r="J10" i="2" s="1"/>
  <c r="K10" i="2" s="1"/>
  <c r="L10" i="2" s="1"/>
  <c r="M10" i="2" s="1"/>
  <c r="N10" i="2" s="1"/>
  <c r="O10" i="2" s="1"/>
  <c r="F16" i="2"/>
  <c r="F13" i="2"/>
  <c r="F9" i="2"/>
  <c r="F14" i="2" s="1"/>
  <c r="E16" i="2"/>
  <c r="D16" i="2"/>
  <c r="C16" i="2"/>
  <c r="E13" i="2"/>
  <c r="D13" i="2"/>
  <c r="E14" i="2"/>
  <c r="D14" i="2"/>
  <c r="C14" i="2"/>
  <c r="C13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F7" i="1"/>
  <c r="F6" i="1"/>
  <c r="S61" i="2" s="1"/>
  <c r="G6" i="1"/>
  <c r="G7" i="1" s="1"/>
  <c r="F5" i="1"/>
  <c r="D30" i="2" l="1"/>
  <c r="D32" i="2" s="1"/>
  <c r="F8" i="1"/>
  <c r="F13" i="1" s="1"/>
  <c r="F14" i="1" s="1"/>
  <c r="E30" i="2"/>
  <c r="E32" i="2" s="1"/>
  <c r="G45" i="2"/>
  <c r="H45" i="2" s="1"/>
  <c r="H48" i="2" s="1"/>
  <c r="G51" i="2"/>
  <c r="F48" i="2"/>
  <c r="G48" i="2"/>
  <c r="F50" i="2"/>
  <c r="F52" i="2" s="1"/>
  <c r="I42" i="2"/>
  <c r="K42" i="2" s="1"/>
  <c r="M42" i="2" s="1"/>
  <c r="I44" i="2"/>
  <c r="K44" i="2" s="1"/>
  <c r="M44" i="2" s="1"/>
  <c r="O44" i="2" s="1"/>
  <c r="Q44" i="2" s="1"/>
  <c r="H49" i="2"/>
  <c r="H50" i="2" s="1"/>
  <c r="L42" i="2"/>
  <c r="I45" i="2"/>
  <c r="E50" i="2"/>
  <c r="E52" i="2" s="1"/>
  <c r="D50" i="2"/>
  <c r="D52" i="2" s="1"/>
  <c r="C50" i="2"/>
  <c r="C52" i="2" s="1"/>
  <c r="G28" i="2"/>
  <c r="G29" i="2"/>
  <c r="H25" i="2"/>
  <c r="H31" i="2"/>
  <c r="G31" i="2"/>
  <c r="F29" i="2"/>
  <c r="F28" i="2"/>
  <c r="F31" i="2"/>
  <c r="I22" i="2"/>
  <c r="J24" i="2"/>
  <c r="L24" i="2" s="1"/>
  <c r="N24" i="2" s="1"/>
  <c r="P24" i="2" s="1"/>
  <c r="G30" i="2"/>
  <c r="G13" i="2"/>
  <c r="G16" i="2"/>
  <c r="F15" i="2"/>
  <c r="F17" i="2" s="1"/>
  <c r="H14" i="2"/>
  <c r="H16" i="2"/>
  <c r="G14" i="2"/>
  <c r="H13" i="2"/>
  <c r="C15" i="2"/>
  <c r="C17" i="2" s="1"/>
  <c r="E15" i="2"/>
  <c r="E17" i="2" s="1"/>
  <c r="D15" i="2"/>
  <c r="D17" i="2" s="1"/>
  <c r="G49" i="2" l="1"/>
  <c r="G50" i="2" s="1"/>
  <c r="G52" i="2" s="1"/>
  <c r="F30" i="2"/>
  <c r="F32" i="2" s="1"/>
  <c r="H51" i="2"/>
  <c r="I51" i="2"/>
  <c r="H52" i="2"/>
  <c r="N42" i="2"/>
  <c r="O42" i="2"/>
  <c r="I48" i="2"/>
  <c r="J45" i="2"/>
  <c r="I49" i="2"/>
  <c r="I25" i="2"/>
  <c r="H28" i="2"/>
  <c r="G32" i="2"/>
  <c r="H29" i="2"/>
  <c r="I31" i="2"/>
  <c r="J22" i="2"/>
  <c r="K22" i="2" s="1"/>
  <c r="G15" i="2"/>
  <c r="G17" i="2"/>
  <c r="H15" i="2"/>
  <c r="H17" i="2"/>
  <c r="I14" i="2"/>
  <c r="I16" i="2"/>
  <c r="I13" i="2"/>
  <c r="I50" i="2" l="1"/>
  <c r="I52" i="2" s="1"/>
  <c r="Q42" i="2"/>
  <c r="K45" i="2"/>
  <c r="J49" i="2"/>
  <c r="J48" i="2"/>
  <c r="J50" i="2" s="1"/>
  <c r="J51" i="2"/>
  <c r="P42" i="2"/>
  <c r="H30" i="2"/>
  <c r="H32" i="2" s="1"/>
  <c r="I28" i="2"/>
  <c r="J25" i="2"/>
  <c r="I29" i="2"/>
  <c r="L22" i="2"/>
  <c r="J31" i="2"/>
  <c r="I15" i="2"/>
  <c r="I17" i="2"/>
  <c r="K16" i="2"/>
  <c r="K13" i="2"/>
  <c r="J16" i="2"/>
  <c r="J13" i="2"/>
  <c r="J52" i="2" l="1"/>
  <c r="K49" i="2"/>
  <c r="L45" i="2"/>
  <c r="K48" i="2"/>
  <c r="K50" i="2" s="1"/>
  <c r="K51" i="2"/>
  <c r="K25" i="2"/>
  <c r="J28" i="2"/>
  <c r="J29" i="2"/>
  <c r="I30" i="2"/>
  <c r="I32" i="2" s="1"/>
  <c r="M22" i="2"/>
  <c r="J14" i="2"/>
  <c r="J15" i="2" s="1"/>
  <c r="J17" i="2" s="1"/>
  <c r="L16" i="2"/>
  <c r="L13" i="2"/>
  <c r="K52" i="2" l="1"/>
  <c r="M45" i="2"/>
  <c r="L49" i="2"/>
  <c r="L48" i="2"/>
  <c r="L50" i="2" s="1"/>
  <c r="L51" i="2"/>
  <c r="J30" i="2"/>
  <c r="J32" i="2" s="1"/>
  <c r="K29" i="2"/>
  <c r="K28" i="2"/>
  <c r="K30" i="2" s="1"/>
  <c r="L25" i="2"/>
  <c r="K31" i="2"/>
  <c r="N22" i="2"/>
  <c r="O22" i="2" s="1"/>
  <c r="M13" i="2"/>
  <c r="M16" i="2"/>
  <c r="K14" i="2"/>
  <c r="K15" i="2" s="1"/>
  <c r="K17" i="2" s="1"/>
  <c r="L52" i="2" l="1"/>
  <c r="M48" i="2"/>
  <c r="M49" i="2"/>
  <c r="N45" i="2"/>
  <c r="M51" i="2"/>
  <c r="L28" i="2"/>
  <c r="L31" i="2"/>
  <c r="M25" i="2"/>
  <c r="L29" i="2"/>
  <c r="K32" i="2"/>
  <c r="P22" i="2"/>
  <c r="Q22" i="2"/>
  <c r="L14" i="2"/>
  <c r="L15" i="2" s="1"/>
  <c r="L17" i="2" s="1"/>
  <c r="N16" i="2"/>
  <c r="N13" i="2"/>
  <c r="M50" i="2" l="1"/>
  <c r="M52" i="2" s="1"/>
  <c r="N49" i="2"/>
  <c r="O45" i="2"/>
  <c r="N48" i="2"/>
  <c r="N50" i="2" s="1"/>
  <c r="N51" i="2"/>
  <c r="M28" i="2"/>
  <c r="M31" i="2"/>
  <c r="M29" i="2"/>
  <c r="M30" i="2" s="1"/>
  <c r="M32" i="2" s="1"/>
  <c r="N25" i="2"/>
  <c r="L30" i="2"/>
  <c r="L32" i="2" s="1"/>
  <c r="O16" i="2"/>
  <c r="O13" i="2"/>
  <c r="M14" i="2"/>
  <c r="M15" i="2" s="1"/>
  <c r="M17" i="2" s="1"/>
  <c r="N52" i="2" l="1"/>
  <c r="O49" i="2"/>
  <c r="O48" i="2"/>
  <c r="O50" i="2" s="1"/>
  <c r="P45" i="2"/>
  <c r="O51" i="2"/>
  <c r="N31" i="2"/>
  <c r="O25" i="2"/>
  <c r="N29" i="2"/>
  <c r="N28" i="2"/>
  <c r="O14" i="2"/>
  <c r="O15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N14" i="2"/>
  <c r="N15" i="2" s="1"/>
  <c r="N17" i="2" s="1"/>
  <c r="N30" i="2" l="1"/>
  <c r="N32" i="2" s="1"/>
  <c r="O52" i="2"/>
  <c r="P48" i="2"/>
  <c r="Q45" i="2"/>
  <c r="P49" i="2"/>
  <c r="P51" i="2"/>
  <c r="O31" i="2"/>
  <c r="P25" i="2"/>
  <c r="O29" i="2"/>
  <c r="O28" i="2"/>
  <c r="O30" i="2" s="1"/>
  <c r="S5" i="2"/>
  <c r="S7" i="2" s="1"/>
  <c r="O32" i="2" l="1"/>
  <c r="Q48" i="2"/>
  <c r="Q49" i="2"/>
  <c r="Q51" i="2"/>
  <c r="P50" i="2"/>
  <c r="P52" i="2" s="1"/>
  <c r="Q25" i="2"/>
  <c r="P29" i="2"/>
  <c r="P28" i="2"/>
  <c r="P30" i="2" s="1"/>
  <c r="P31" i="2"/>
  <c r="Q50" i="2" l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S56" i="2" s="1"/>
  <c r="P32" i="2"/>
  <c r="Q28" i="2"/>
  <c r="Q29" i="2"/>
  <c r="Q31" i="2"/>
  <c r="Q30" i="2" l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S37" i="2" s="1"/>
  <c r="S60" i="2" s="1"/>
  <c r="S62" i="2" s="1"/>
  <c r="S64" i="2" s="1"/>
  <c r="S67" i="2" s="1"/>
</calcChain>
</file>

<file path=xl/sharedStrings.xml><?xml version="1.0" encoding="utf-8"?>
<sst xmlns="http://schemas.openxmlformats.org/spreadsheetml/2006/main" count="109" uniqueCount="78">
  <si>
    <t>Price</t>
  </si>
  <si>
    <t>Shares</t>
  </si>
  <si>
    <t xml:space="preserve">Market Cash </t>
  </si>
  <si>
    <t xml:space="preserve">Cash </t>
  </si>
  <si>
    <t>Debt</t>
  </si>
  <si>
    <t xml:space="preserve">Enterprise Value </t>
  </si>
  <si>
    <t>Q324</t>
  </si>
  <si>
    <t>U.S</t>
  </si>
  <si>
    <t>Turkey</t>
  </si>
  <si>
    <t>Canada</t>
  </si>
  <si>
    <t>Argentina</t>
  </si>
  <si>
    <t>gold dore</t>
  </si>
  <si>
    <t>copper</t>
  </si>
  <si>
    <t>silver</t>
  </si>
  <si>
    <t>lead</t>
  </si>
  <si>
    <t>zinc</t>
  </si>
  <si>
    <t>Gold Produced</t>
  </si>
  <si>
    <t xml:space="preserve">Revenue </t>
  </si>
  <si>
    <t xml:space="preserve">Operating Cash Flow </t>
  </si>
  <si>
    <t>Cost of Sales Per Gold Equiv</t>
  </si>
  <si>
    <t xml:space="preserve">Gross Profit </t>
  </si>
  <si>
    <t>Opex</t>
  </si>
  <si>
    <t xml:space="preserve">Assumptions </t>
  </si>
  <si>
    <t>AVG Realized Gold Price ($/oz)</t>
  </si>
  <si>
    <t>$M</t>
  </si>
  <si>
    <t xml:space="preserve">Terminal </t>
  </si>
  <si>
    <t>Discount</t>
  </si>
  <si>
    <t>NPV</t>
  </si>
  <si>
    <t xml:space="preserve">Net Cash </t>
  </si>
  <si>
    <t xml:space="preserve">Total Value </t>
  </si>
  <si>
    <t>Current</t>
  </si>
  <si>
    <t xml:space="preserve">çopler, Türkiye Mine </t>
  </si>
  <si>
    <t>AISC ($/oz gold sold)</t>
  </si>
  <si>
    <t>Cost of sales ($/oz gold sold)</t>
  </si>
  <si>
    <t>Marigold, USA</t>
  </si>
  <si>
    <t>production</t>
  </si>
  <si>
    <t>copler turkiye</t>
  </si>
  <si>
    <t>marigold</t>
  </si>
  <si>
    <t>seabee</t>
  </si>
  <si>
    <t>puna</t>
  </si>
  <si>
    <t>Seabee, Canada</t>
  </si>
  <si>
    <t>Gold Equivalent</t>
  </si>
  <si>
    <t>Group NPV</t>
  </si>
  <si>
    <t>Estimate</t>
  </si>
  <si>
    <t>development</t>
  </si>
  <si>
    <t>hod maden</t>
  </si>
  <si>
    <t>san san luis nsr royalty</t>
  </si>
  <si>
    <t>pitarrilla nsr royalty</t>
  </si>
  <si>
    <t>exploration</t>
  </si>
  <si>
    <t>amisk</t>
  </si>
  <si>
    <t>sunrise lake nsr</t>
  </si>
  <si>
    <t>copper hill</t>
  </si>
  <si>
    <t>Current price: $7.12/share.</t>
  </si>
  <si>
    <t>Q4 2024 or FY2024 earnings showing:</t>
  </si>
  <si>
    <t>Continued high AISC.</t>
  </si>
  <si>
    <t>Weak guidance for 2025.</t>
  </si>
  <si>
    <t>Delays in Çöpler remediation or additional liabilities.</t>
  </si>
  <si>
    <t>Potential equity dilution or increased debt to cover cash burn.</t>
  </si>
  <si>
    <t>Çöpler Mine Impact: Ongoing suspension of operations, uncertainty in remediation, and high associated costs.</t>
  </si>
  <si>
    <t>High AISC: All-in sustaining costs ($2,065/oz) severely limit margins, even with elevated gold prices.</t>
  </si>
  <si>
    <t>Weak Financial Position: Declining revenues, mounting losses, and cash burn from remediation costs.</t>
  </si>
  <si>
    <t>Legal &amp; Reputational Risks: Fatalities at Çöpler and associated investigations create a long-term overhang.</t>
  </si>
  <si>
    <t>Valuation Risk: Stock price does not fully reflect risks, and a re-rating closer to cash or EBITDA levels could lead to further downside.</t>
  </si>
  <si>
    <t>Target Price:</t>
  </si>
  <si>
    <t>Base Case: $5/share (reflecting a 3x EV/EBITDA multiple).</t>
  </si>
  <si>
    <t>Bear Case: $3/share (reflecting valuation near cash value).</t>
  </si>
  <si>
    <t>Catalysts for Downside:</t>
  </si>
  <si>
    <t>Key Thesis:: 1/4/2024</t>
  </si>
  <si>
    <t>FY EBITDA Est</t>
  </si>
  <si>
    <t>EV/EBITDA</t>
  </si>
  <si>
    <t>EV</t>
  </si>
  <si>
    <t>Equity Value</t>
  </si>
  <si>
    <t>Share Estimate</t>
  </si>
  <si>
    <t xml:space="preserve">Adjusted Based on Thesis </t>
  </si>
  <si>
    <t>Key Risks to the Short Thesis:</t>
  </si>
  <si>
    <t>Gold Price Tailwinds: If gold prices rally above $2,700/oz, SSRM might get temporary support despite its issues.</t>
  </si>
  <si>
    <t>Çöpler Restart Optimism: Positive developments in Turkey (e.g., regulatory approval or faster remediation) could reverse sentiment.</t>
  </si>
  <si>
    <t>Institutional Support: Some investors might view SSRM as undervalued at these levels, delaying further downside.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</si>
</sst>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b/>
      <i/>
      <sz val="10"/>
      <color theme="1"/>
      <name val="ArialMT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10" fontId="0" fillId="0" borderId="0" xfId="0" applyNumberFormat="1"/>
    <xf numFmtId="9" fontId="2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" fontId="3" fillId="0" borderId="0" xfId="0" applyNumberFormat="1" applyFont="1"/>
    <xf numFmtId="1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34480</xdr:rowOff>
    </xdr:from>
    <xdr:to>
      <xdr:col>5</xdr:col>
      <xdr:colOff>53751</xdr:colOff>
      <xdr:row>79</xdr:row>
      <xdr:rowOff>33867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E4AAAE-797C-E59E-BD2B-12BFF28EE56E}"/>
            </a:ext>
          </a:extLst>
        </xdr:cNvPr>
        <xdr:cNvCxnSpPr/>
      </xdr:nvCxnSpPr>
      <xdr:spPr>
        <a:xfrm flipH="1">
          <a:off x="4013200" y="34480"/>
          <a:ext cx="19884" cy="133767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5DE8-7F99-BE49-A884-CBFC580963D8}">
  <dimension ref="C3:I35"/>
  <sheetViews>
    <sheetView tabSelected="1" zoomScale="170" workbookViewId="0">
      <selection activeCell="K22" sqref="K22"/>
    </sheetView>
  </sheetViews>
  <sheetFormatPr baseColWidth="10" defaultRowHeight="13"/>
  <cols>
    <col min="1" max="4" width="10.83203125" style="1"/>
    <col min="5" max="5" width="12.83203125" style="1" customWidth="1"/>
    <col min="6" max="6" width="10.83203125" style="1"/>
    <col min="7" max="7" width="5.5" style="1" bestFit="1" customWidth="1"/>
    <col min="8" max="16384" width="10.83203125" style="1"/>
  </cols>
  <sheetData>
    <row r="3" spans="3:9">
      <c r="E3" s="1" t="s">
        <v>0</v>
      </c>
      <c r="F3" s="2">
        <v>7.42</v>
      </c>
    </row>
    <row r="4" spans="3:9">
      <c r="E4" s="1" t="s">
        <v>1</v>
      </c>
      <c r="F4" s="1">
        <v>202.369529</v>
      </c>
      <c r="G4" s="1" t="s">
        <v>6</v>
      </c>
    </row>
    <row r="5" spans="3:9">
      <c r="E5" s="1" t="s">
        <v>2</v>
      </c>
      <c r="F5" s="1">
        <f>+F4*F3</f>
        <v>1501.5819051799999</v>
      </c>
    </row>
    <row r="6" spans="3:9">
      <c r="E6" s="1" t="s">
        <v>3</v>
      </c>
      <c r="F6" s="1">
        <f>334.341+31.411</f>
        <v>365.75200000000001</v>
      </c>
      <c r="G6" s="1" t="str">
        <f>+G4</f>
        <v>Q324</v>
      </c>
    </row>
    <row r="7" spans="3:9">
      <c r="E7" s="1" t="s">
        <v>4</v>
      </c>
      <c r="F7" s="1">
        <f>11+228.305+13.919</f>
        <v>253.22400000000002</v>
      </c>
      <c r="G7" s="1" t="str">
        <f>+G6</f>
        <v>Q324</v>
      </c>
    </row>
    <row r="8" spans="3:9">
      <c r="E8" s="1" t="s">
        <v>5</v>
      </c>
      <c r="F8" s="1">
        <f>+F5-F6+F7</f>
        <v>1389.0539051799999</v>
      </c>
    </row>
    <row r="9" spans="3:9">
      <c r="I9" s="12" t="s">
        <v>67</v>
      </c>
    </row>
    <row r="10" spans="3:9">
      <c r="I10" s="5"/>
    </row>
    <row r="11" spans="3:9">
      <c r="E11" s="15" t="s">
        <v>30</v>
      </c>
      <c r="F11" s="10"/>
      <c r="I11" s="1" t="s">
        <v>58</v>
      </c>
    </row>
    <row r="12" spans="3:9">
      <c r="C12" s="1" t="s">
        <v>7</v>
      </c>
      <c r="E12" s="1" t="s">
        <v>68</v>
      </c>
      <c r="F12" s="1">
        <f>(138062/9*12)/1000</f>
        <v>184.08266666666668</v>
      </c>
      <c r="I12" s="1" t="s">
        <v>59</v>
      </c>
    </row>
    <row r="13" spans="3:9">
      <c r="C13" s="1" t="s">
        <v>8</v>
      </c>
      <c r="E13" s="1" t="s">
        <v>69</v>
      </c>
      <c r="F13" s="13">
        <f>+F8/F12</f>
        <v>7.5458158572597807</v>
      </c>
      <c r="I13" s="1" t="s">
        <v>60</v>
      </c>
    </row>
    <row r="14" spans="3:9">
      <c r="C14" s="1" t="s">
        <v>9</v>
      </c>
      <c r="E14" s="1" t="s">
        <v>70</v>
      </c>
      <c r="F14" s="1">
        <f>+F12*F13</f>
        <v>1389.0539051799999</v>
      </c>
      <c r="I14" s="1" t="s">
        <v>61</v>
      </c>
    </row>
    <row r="15" spans="3:9">
      <c r="C15" s="1" t="s">
        <v>10</v>
      </c>
      <c r="I15" s="1" t="s">
        <v>62</v>
      </c>
    </row>
    <row r="16" spans="3:9">
      <c r="E16" s="1" t="s">
        <v>73</v>
      </c>
    </row>
    <row r="17" spans="3:9">
      <c r="C17" s="1" t="s">
        <v>11</v>
      </c>
      <c r="E17" s="1" t="s">
        <v>69</v>
      </c>
      <c r="F17" s="13">
        <v>6</v>
      </c>
    </row>
    <row r="18" spans="3:9">
      <c r="C18" s="1" t="s">
        <v>12</v>
      </c>
      <c r="E18" s="1" t="s">
        <v>70</v>
      </c>
      <c r="F18" s="1">
        <f>+F17*F12</f>
        <v>1104.4960000000001</v>
      </c>
      <c r="I18" s="1" t="s">
        <v>63</v>
      </c>
    </row>
    <row r="19" spans="3:9">
      <c r="C19" s="1" t="s">
        <v>13</v>
      </c>
      <c r="E19" s="1" t="s">
        <v>71</v>
      </c>
      <c r="F19" s="1">
        <f>+F18-F6+F7</f>
        <v>991.96800000000019</v>
      </c>
      <c r="I19" s="1" t="s">
        <v>64</v>
      </c>
    </row>
    <row r="20" spans="3:9">
      <c r="C20" s="1" t="s">
        <v>14</v>
      </c>
      <c r="E20" s="5" t="s">
        <v>72</v>
      </c>
      <c r="F20" s="14">
        <f>+F19/F4</f>
        <v>4.9017656210486127</v>
      </c>
      <c r="I20" s="1" t="s">
        <v>65</v>
      </c>
    </row>
    <row r="21" spans="3:9">
      <c r="C21" s="1" t="s">
        <v>15</v>
      </c>
      <c r="F21" s="3">
        <f>+F20/F3-1</f>
        <v>-0.33938468719021386</v>
      </c>
      <c r="I21" s="1" t="s">
        <v>52</v>
      </c>
    </row>
    <row r="23" spans="3:9">
      <c r="I23" s="1" t="s">
        <v>66</v>
      </c>
    </row>
    <row r="24" spans="3:9">
      <c r="C24" s="5" t="s">
        <v>35</v>
      </c>
      <c r="D24" s="5" t="s">
        <v>44</v>
      </c>
      <c r="E24" s="5" t="s">
        <v>48</v>
      </c>
    </row>
    <row r="25" spans="3:9">
      <c r="C25" s="1" t="s">
        <v>36</v>
      </c>
      <c r="D25" s="1" t="s">
        <v>45</v>
      </c>
      <c r="E25" s="1" t="s">
        <v>49</v>
      </c>
      <c r="I25" s="1" t="s">
        <v>53</v>
      </c>
    </row>
    <row r="26" spans="3:9">
      <c r="C26" s="1" t="s">
        <v>37</v>
      </c>
      <c r="D26" s="1" t="s">
        <v>46</v>
      </c>
      <c r="E26" s="1" t="s">
        <v>50</v>
      </c>
      <c r="I26" s="1" t="s">
        <v>54</v>
      </c>
    </row>
    <row r="27" spans="3:9">
      <c r="C27" s="1" t="s">
        <v>38</v>
      </c>
      <c r="D27" s="1" t="s">
        <v>47</v>
      </c>
      <c r="E27" s="1" t="s">
        <v>51</v>
      </c>
      <c r="I27" s="1" t="s">
        <v>55</v>
      </c>
    </row>
    <row r="28" spans="3:9">
      <c r="C28" s="1" t="s">
        <v>39</v>
      </c>
      <c r="I28" s="1" t="s">
        <v>56</v>
      </c>
    </row>
    <row r="29" spans="3:9">
      <c r="I29" s="1" t="s">
        <v>57</v>
      </c>
    </row>
    <row r="32" spans="3:9">
      <c r="I32" s="5" t="s">
        <v>74</v>
      </c>
    </row>
    <row r="33" spans="9:9">
      <c r="I33" s="1" t="s">
        <v>75</v>
      </c>
    </row>
    <row r="34" spans="9:9">
      <c r="I34" s="1" t="s">
        <v>76</v>
      </c>
    </row>
    <row r="35" spans="9:9">
      <c r="I35" s="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356A-EF8E-5B48-A606-864540A03E73}">
  <dimension ref="A2:AS67"/>
  <sheetViews>
    <sheetView zoomScale="10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S67" sqref="S67"/>
    </sheetView>
  </sheetViews>
  <sheetFormatPr baseColWidth="10" defaultRowHeight="13"/>
  <cols>
    <col min="1" max="1" width="3.5" style="1" bestFit="1" customWidth="1"/>
    <col min="2" max="2" width="25.6640625" style="1" bestFit="1" customWidth="1"/>
    <col min="3" max="15" width="7.6640625" style="1" bestFit="1" customWidth="1"/>
    <col min="16" max="17" width="5.1640625" style="1" bestFit="1" customWidth="1"/>
    <col min="18" max="18" width="10.83203125" style="1" bestFit="1" customWidth="1"/>
    <col min="19" max="19" width="7.1640625" style="1" bestFit="1" customWidth="1"/>
    <col min="20" max="103" width="5.1640625" style="1" bestFit="1" customWidth="1"/>
    <col min="104" max="215" width="5.6640625" style="1" bestFit="1" customWidth="1"/>
    <col min="216" max="16384" width="10.83203125" style="1"/>
  </cols>
  <sheetData>
    <row r="2" spans="1:45" s="4" customFormat="1">
      <c r="C2" s="4">
        <v>2021</v>
      </c>
      <c r="D2" s="4">
        <v>2022</v>
      </c>
      <c r="E2" s="4">
        <v>2023</v>
      </c>
      <c r="F2" s="4">
        <v>2024</v>
      </c>
      <c r="G2" s="4">
        <f>+F2+1</f>
        <v>2025</v>
      </c>
      <c r="H2" s="4">
        <f t="shared" ref="H2:AS2" si="0">+G2+1</f>
        <v>2026</v>
      </c>
      <c r="I2" s="4">
        <f t="shared" si="0"/>
        <v>2027</v>
      </c>
      <c r="J2" s="4">
        <f t="shared" si="0"/>
        <v>2028</v>
      </c>
      <c r="K2" s="4">
        <f t="shared" si="0"/>
        <v>2029</v>
      </c>
      <c r="L2" s="4">
        <f t="shared" si="0"/>
        <v>2030</v>
      </c>
      <c r="M2" s="4">
        <f t="shared" si="0"/>
        <v>2031</v>
      </c>
      <c r="N2" s="4">
        <f t="shared" si="0"/>
        <v>2032</v>
      </c>
      <c r="O2" s="4">
        <f t="shared" si="0"/>
        <v>2033</v>
      </c>
      <c r="P2" s="4">
        <f t="shared" si="0"/>
        <v>2034</v>
      </c>
      <c r="Q2" s="4">
        <f t="shared" si="0"/>
        <v>2035</v>
      </c>
      <c r="R2" s="4">
        <f t="shared" si="0"/>
        <v>2036</v>
      </c>
      <c r="S2" s="4">
        <f t="shared" si="0"/>
        <v>2037</v>
      </c>
      <c r="T2" s="4">
        <f t="shared" si="0"/>
        <v>2038</v>
      </c>
      <c r="U2" s="4">
        <f t="shared" si="0"/>
        <v>2039</v>
      </c>
      <c r="V2" s="4">
        <f t="shared" si="0"/>
        <v>2040</v>
      </c>
      <c r="W2" s="4">
        <f t="shared" si="0"/>
        <v>2041</v>
      </c>
      <c r="X2" s="4">
        <f t="shared" si="0"/>
        <v>2042</v>
      </c>
      <c r="Y2" s="4">
        <f t="shared" si="0"/>
        <v>2043</v>
      </c>
      <c r="Z2" s="4">
        <f t="shared" si="0"/>
        <v>2044</v>
      </c>
      <c r="AA2" s="4">
        <f t="shared" si="0"/>
        <v>2045</v>
      </c>
      <c r="AB2" s="4">
        <f t="shared" si="0"/>
        <v>2046</v>
      </c>
      <c r="AC2" s="4">
        <f t="shared" si="0"/>
        <v>2047</v>
      </c>
      <c r="AD2" s="4">
        <f t="shared" si="0"/>
        <v>2048</v>
      </c>
      <c r="AE2" s="4">
        <f t="shared" si="0"/>
        <v>2049</v>
      </c>
      <c r="AF2" s="4">
        <f t="shared" si="0"/>
        <v>2050</v>
      </c>
      <c r="AG2" s="4">
        <f t="shared" si="0"/>
        <v>2051</v>
      </c>
      <c r="AH2" s="4">
        <f t="shared" si="0"/>
        <v>2052</v>
      </c>
      <c r="AI2" s="4">
        <f t="shared" si="0"/>
        <v>2053</v>
      </c>
      <c r="AJ2" s="4">
        <f t="shared" si="0"/>
        <v>2054</v>
      </c>
      <c r="AK2" s="4">
        <f t="shared" si="0"/>
        <v>2055</v>
      </c>
      <c r="AL2" s="4">
        <f t="shared" si="0"/>
        <v>2056</v>
      </c>
      <c r="AM2" s="4">
        <f t="shared" si="0"/>
        <v>2057</v>
      </c>
      <c r="AN2" s="4">
        <f t="shared" si="0"/>
        <v>2058</v>
      </c>
      <c r="AO2" s="4">
        <f t="shared" si="0"/>
        <v>2059</v>
      </c>
      <c r="AP2" s="4">
        <f t="shared" si="0"/>
        <v>2060</v>
      </c>
      <c r="AQ2" s="4">
        <f t="shared" si="0"/>
        <v>2061</v>
      </c>
      <c r="AR2" s="4">
        <f t="shared" si="0"/>
        <v>2062</v>
      </c>
      <c r="AS2" s="4">
        <f t="shared" si="0"/>
        <v>2063</v>
      </c>
    </row>
    <row r="3" spans="1:45" s="4" customFormat="1">
      <c r="R3" s="1" t="s">
        <v>25</v>
      </c>
      <c r="S3" s="3">
        <v>0</v>
      </c>
    </row>
    <row r="4" spans="1:45" s="4" customFormat="1">
      <c r="B4" s="11" t="s">
        <v>31</v>
      </c>
      <c r="R4" s="1" t="s">
        <v>26</v>
      </c>
      <c r="S4" s="7">
        <v>0.13</v>
      </c>
    </row>
    <row r="5" spans="1:45" s="4" customFormat="1">
      <c r="R5" s="1" t="s">
        <v>27</v>
      </c>
      <c r="S5" s="1">
        <f>NPV(S4,F17:AS17)</f>
        <v>12.545946459039525</v>
      </c>
    </row>
    <row r="6" spans="1:45" s="4" customFormat="1">
      <c r="B6" s="4" t="s">
        <v>22</v>
      </c>
      <c r="R6" s="1" t="s">
        <v>28</v>
      </c>
      <c r="S6" s="1">
        <v>0</v>
      </c>
    </row>
    <row r="7" spans="1:45">
      <c r="B7" s="1" t="s">
        <v>32</v>
      </c>
      <c r="C7" s="1">
        <v>713</v>
      </c>
      <c r="D7" s="1">
        <v>1328</v>
      </c>
      <c r="E7" s="1">
        <v>1433</v>
      </c>
      <c r="F7" s="1">
        <v>2065</v>
      </c>
      <c r="R7" s="5" t="s">
        <v>29</v>
      </c>
      <c r="S7" s="5">
        <f>SUM(S5:S6)</f>
        <v>12.545946459039525</v>
      </c>
    </row>
    <row r="8" spans="1:45">
      <c r="B8" s="1" t="s">
        <v>23</v>
      </c>
      <c r="C8" s="1">
        <v>1800</v>
      </c>
      <c r="D8" s="1">
        <v>1826</v>
      </c>
      <c r="E8" s="1">
        <v>1945</v>
      </c>
      <c r="F8" s="1">
        <v>2500</v>
      </c>
      <c r="R8" s="8"/>
      <c r="S8" s="9"/>
    </row>
    <row r="9" spans="1:45">
      <c r="B9" s="1" t="s">
        <v>33</v>
      </c>
      <c r="C9" s="1">
        <v>794</v>
      </c>
      <c r="D9" s="1">
        <v>985</v>
      </c>
      <c r="E9" s="1">
        <v>1191</v>
      </c>
      <c r="F9" s="1">
        <f>+(E9/E8)*F8</f>
        <v>1530.8483290488432</v>
      </c>
      <c r="S9" s="10"/>
    </row>
    <row r="10" spans="1:45">
      <c r="B10" s="5" t="s">
        <v>16</v>
      </c>
      <c r="C10" s="6">
        <v>329276</v>
      </c>
      <c r="D10" s="6">
        <v>191366</v>
      </c>
      <c r="E10" s="6">
        <v>220999</v>
      </c>
      <c r="F10" s="1">
        <v>26541</v>
      </c>
      <c r="G10" s="1">
        <v>0</v>
      </c>
      <c r="H10" s="1">
        <f t="shared" ref="H10:O10" si="1">+G10</f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S10" s="10"/>
    </row>
    <row r="12" spans="1:45" s="5" customFormat="1"/>
    <row r="13" spans="1:45">
      <c r="A13" s="1" t="s">
        <v>24</v>
      </c>
      <c r="B13" s="1" t="s">
        <v>17</v>
      </c>
      <c r="C13" s="1">
        <f>+(C10*C8)/10^6</f>
        <v>592.69680000000005</v>
      </c>
      <c r="D13" s="1">
        <f>+(D10*D8)/10^6</f>
        <v>349.43431600000002</v>
      </c>
      <c r="E13" s="1">
        <f>+(E10*E8)/10^6</f>
        <v>429.84305499999999</v>
      </c>
      <c r="F13" s="1">
        <f t="shared" ref="F13:O13" si="2">+(F10*F8)/10^6</f>
        <v>66.352500000000006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  <c r="L13" s="1">
        <f t="shared" si="2"/>
        <v>0</v>
      </c>
      <c r="M13" s="1">
        <f t="shared" si="2"/>
        <v>0</v>
      </c>
      <c r="N13" s="1">
        <f t="shared" si="2"/>
        <v>0</v>
      </c>
      <c r="O13" s="1">
        <f t="shared" si="2"/>
        <v>0</v>
      </c>
    </row>
    <row r="14" spans="1:45">
      <c r="B14" s="1" t="s">
        <v>19</v>
      </c>
      <c r="C14" s="1">
        <f>+(C10*C9)/10^6</f>
        <v>261.44514400000003</v>
      </c>
      <c r="D14" s="1">
        <f>+(D10*D9)/10^6</f>
        <v>188.49551</v>
      </c>
      <c r="E14" s="1">
        <f>+(E10*E9)/10^6</f>
        <v>263.20980900000001</v>
      </c>
      <c r="F14" s="1">
        <f t="shared" ref="F14:O14" si="3">+(F10*F9)/10^6</f>
        <v>40.630245501285344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</row>
    <row r="15" spans="1:45" s="5" customFormat="1">
      <c r="B15" s="5" t="s">
        <v>20</v>
      </c>
      <c r="C15" s="5">
        <f>+C13-C14</f>
        <v>331.25165600000003</v>
      </c>
      <c r="D15" s="5">
        <f>+D13-D14</f>
        <v>160.93880600000003</v>
      </c>
      <c r="E15" s="5">
        <f>+E13-E14</f>
        <v>166.63324599999999</v>
      </c>
      <c r="F15" s="5">
        <f t="shared" ref="F15:O15" si="4">+F13-F14</f>
        <v>25.722254498714662</v>
      </c>
      <c r="G15" s="5">
        <f t="shared" si="4"/>
        <v>0</v>
      </c>
      <c r="H15" s="5">
        <f t="shared" si="4"/>
        <v>0</v>
      </c>
      <c r="I15" s="5">
        <f t="shared" si="4"/>
        <v>0</v>
      </c>
      <c r="J15" s="5">
        <f t="shared" si="4"/>
        <v>0</v>
      </c>
      <c r="K15" s="5">
        <f t="shared" si="4"/>
        <v>0</v>
      </c>
      <c r="L15" s="5">
        <f t="shared" si="4"/>
        <v>0</v>
      </c>
      <c r="M15" s="5">
        <f t="shared" si="4"/>
        <v>0</v>
      </c>
      <c r="N15" s="5">
        <f t="shared" si="4"/>
        <v>0</v>
      </c>
      <c r="O15" s="5">
        <f t="shared" si="4"/>
        <v>0</v>
      </c>
    </row>
    <row r="16" spans="1:45">
      <c r="B16" s="1" t="s">
        <v>21</v>
      </c>
      <c r="C16" s="1">
        <f>+((C8-C7)*C10)/10^6</f>
        <v>357.92301200000003</v>
      </c>
      <c r="D16" s="1">
        <f>+((D8-D7)*D10)/10^6</f>
        <v>95.300268000000003</v>
      </c>
      <c r="E16" s="1">
        <f>+((E8-E7)*E10)/10^6</f>
        <v>113.151488</v>
      </c>
      <c r="F16" s="1">
        <f t="shared" ref="F16:O16" si="5">+((F8-F7)*F10)/10^6</f>
        <v>11.545335</v>
      </c>
      <c r="G16" s="1">
        <f t="shared" si="5"/>
        <v>0</v>
      </c>
      <c r="H16" s="1">
        <f t="shared" si="5"/>
        <v>0</v>
      </c>
      <c r="I16" s="1">
        <f t="shared" si="5"/>
        <v>0</v>
      </c>
      <c r="J16" s="1">
        <f t="shared" si="5"/>
        <v>0</v>
      </c>
      <c r="K16" s="1">
        <f t="shared" si="5"/>
        <v>0</v>
      </c>
      <c r="L16" s="1">
        <f t="shared" si="5"/>
        <v>0</v>
      </c>
      <c r="M16" s="1">
        <f t="shared" si="5"/>
        <v>0</v>
      </c>
      <c r="N16" s="1">
        <f t="shared" si="5"/>
        <v>0</v>
      </c>
      <c r="O16" s="1">
        <f t="shared" si="5"/>
        <v>0</v>
      </c>
    </row>
    <row r="17" spans="2:45" s="5" customFormat="1">
      <c r="B17" s="5" t="s">
        <v>18</v>
      </c>
      <c r="C17" s="5">
        <f>+C15-C16</f>
        <v>-26.671356000000003</v>
      </c>
      <c r="D17" s="5">
        <f t="shared" ref="D17:E17" si="6">+D15-D16</f>
        <v>65.638538000000025</v>
      </c>
      <c r="E17" s="5">
        <f t="shared" si="6"/>
        <v>53.481757999999985</v>
      </c>
      <c r="F17" s="5">
        <f t="shared" ref="F17" si="7">+F15-F16</f>
        <v>14.176919498714662</v>
      </c>
      <c r="G17" s="5">
        <f t="shared" ref="G17" si="8">+G15-G16</f>
        <v>0</v>
      </c>
      <c r="H17" s="5">
        <f t="shared" ref="H17" si="9">+H15-H16</f>
        <v>0</v>
      </c>
      <c r="I17" s="5">
        <f t="shared" ref="I17" si="10">+I15-I16</f>
        <v>0</v>
      </c>
      <c r="J17" s="5">
        <f t="shared" ref="J17" si="11">+J15-J16</f>
        <v>0</v>
      </c>
      <c r="K17" s="5">
        <f t="shared" ref="K17" si="12">+K15-K16</f>
        <v>0</v>
      </c>
      <c r="L17" s="5">
        <f t="shared" ref="L17" si="13">+L15-L16</f>
        <v>0</v>
      </c>
      <c r="M17" s="5">
        <f t="shared" ref="M17" si="14">+M15-M16</f>
        <v>0</v>
      </c>
      <c r="N17" s="5">
        <f t="shared" ref="N17" si="15">+N15-N16</f>
        <v>0</v>
      </c>
      <c r="O17" s="5">
        <f t="shared" ref="O17" si="16">+O15-O16</f>
        <v>0</v>
      </c>
      <c r="P17" s="5">
        <f t="shared" ref="P17:AS17" si="17">+O17*(1+$S$3)</f>
        <v>0</v>
      </c>
      <c r="Q17" s="5">
        <f t="shared" si="17"/>
        <v>0</v>
      </c>
      <c r="R17" s="5">
        <f t="shared" si="17"/>
        <v>0</v>
      </c>
      <c r="S17" s="5">
        <f t="shared" si="17"/>
        <v>0</v>
      </c>
      <c r="T17" s="5">
        <f t="shared" si="17"/>
        <v>0</v>
      </c>
      <c r="U17" s="5">
        <f t="shared" si="17"/>
        <v>0</v>
      </c>
      <c r="V17" s="5">
        <f t="shared" si="17"/>
        <v>0</v>
      </c>
      <c r="W17" s="5">
        <f t="shared" si="17"/>
        <v>0</v>
      </c>
      <c r="X17" s="5">
        <f t="shared" si="17"/>
        <v>0</v>
      </c>
      <c r="Y17" s="5">
        <f t="shared" si="17"/>
        <v>0</v>
      </c>
      <c r="Z17" s="5">
        <f t="shared" si="17"/>
        <v>0</v>
      </c>
      <c r="AA17" s="5">
        <f t="shared" si="17"/>
        <v>0</v>
      </c>
      <c r="AB17" s="5">
        <f t="shared" si="17"/>
        <v>0</v>
      </c>
      <c r="AC17" s="5">
        <f t="shared" si="17"/>
        <v>0</v>
      </c>
      <c r="AD17" s="5">
        <f t="shared" si="17"/>
        <v>0</v>
      </c>
      <c r="AE17" s="5">
        <f t="shared" si="17"/>
        <v>0</v>
      </c>
      <c r="AF17" s="5">
        <f t="shared" si="17"/>
        <v>0</v>
      </c>
      <c r="AG17" s="5">
        <f t="shared" si="17"/>
        <v>0</v>
      </c>
      <c r="AH17" s="5">
        <f t="shared" si="17"/>
        <v>0</v>
      </c>
      <c r="AI17" s="5">
        <f t="shared" si="17"/>
        <v>0</v>
      </c>
      <c r="AJ17" s="5">
        <f t="shared" si="17"/>
        <v>0</v>
      </c>
      <c r="AK17" s="5">
        <f t="shared" si="17"/>
        <v>0</v>
      </c>
      <c r="AL17" s="5">
        <f t="shared" si="17"/>
        <v>0</v>
      </c>
      <c r="AM17" s="5">
        <f t="shared" si="17"/>
        <v>0</v>
      </c>
      <c r="AN17" s="5">
        <f t="shared" si="17"/>
        <v>0</v>
      </c>
      <c r="AO17" s="5">
        <f t="shared" si="17"/>
        <v>0</v>
      </c>
      <c r="AP17" s="5">
        <f t="shared" si="17"/>
        <v>0</v>
      </c>
      <c r="AQ17" s="5">
        <f t="shared" si="17"/>
        <v>0</v>
      </c>
      <c r="AR17" s="5">
        <f t="shared" si="17"/>
        <v>0</v>
      </c>
      <c r="AS17" s="5">
        <f t="shared" si="17"/>
        <v>0</v>
      </c>
    </row>
    <row r="19" spans="2:45">
      <c r="B19" s="5" t="s">
        <v>34</v>
      </c>
    </row>
    <row r="21" spans="2:45">
      <c r="B21" s="1" t="s">
        <v>22</v>
      </c>
    </row>
    <row r="22" spans="2:45">
      <c r="B22" s="1" t="s">
        <v>32</v>
      </c>
      <c r="C22" s="1">
        <v>1187</v>
      </c>
      <c r="D22" s="1">
        <v>1378</v>
      </c>
      <c r="E22" s="1">
        <v>1349</v>
      </c>
      <c r="F22" s="1">
        <v>1749</v>
      </c>
      <c r="G22" s="1">
        <f>AVERAGE(E22:F22)</f>
        <v>1549</v>
      </c>
      <c r="H22" s="1">
        <f t="shared" ref="H22:Q22" si="18">AVERAGE(F22:G22)</f>
        <v>1649</v>
      </c>
      <c r="I22" s="1">
        <f t="shared" si="18"/>
        <v>1599</v>
      </c>
      <c r="J22" s="1">
        <f t="shared" si="18"/>
        <v>1624</v>
      </c>
      <c r="K22" s="1">
        <f t="shared" si="18"/>
        <v>1611.5</v>
      </c>
      <c r="L22" s="1">
        <f t="shared" si="18"/>
        <v>1617.75</v>
      </c>
      <c r="M22" s="1">
        <f t="shared" si="18"/>
        <v>1614.625</v>
      </c>
      <c r="N22" s="1">
        <f t="shared" si="18"/>
        <v>1616.1875</v>
      </c>
      <c r="O22" s="1">
        <f t="shared" si="18"/>
        <v>1615.40625</v>
      </c>
      <c r="P22" s="1">
        <f t="shared" si="18"/>
        <v>1615.796875</v>
      </c>
      <c r="Q22" s="1">
        <f t="shared" si="18"/>
        <v>1615.6015625</v>
      </c>
    </row>
    <row r="23" spans="2:45" s="6" customFormat="1">
      <c r="B23" s="1" t="s">
        <v>23</v>
      </c>
      <c r="C23" s="6">
        <v>1763</v>
      </c>
      <c r="D23" s="6">
        <v>1783</v>
      </c>
      <c r="E23" s="6">
        <v>1950</v>
      </c>
      <c r="F23" s="6">
        <v>2351</v>
      </c>
      <c r="G23" s="6">
        <v>2300</v>
      </c>
      <c r="H23" s="6">
        <v>2300</v>
      </c>
      <c r="I23" s="6">
        <v>2300</v>
      </c>
      <c r="J23" s="6">
        <v>2300</v>
      </c>
      <c r="K23" s="6">
        <v>2300</v>
      </c>
      <c r="L23" s="6">
        <v>2300</v>
      </c>
      <c r="M23" s="6">
        <v>2300</v>
      </c>
      <c r="N23" s="6">
        <v>2300</v>
      </c>
      <c r="O23" s="6">
        <v>2300</v>
      </c>
      <c r="P23" s="6">
        <v>2300</v>
      </c>
      <c r="Q23" s="6">
        <v>2300</v>
      </c>
    </row>
    <row r="24" spans="2:45">
      <c r="B24" s="1" t="s">
        <v>33</v>
      </c>
      <c r="C24" s="1">
        <v>925</v>
      </c>
      <c r="D24" s="1">
        <v>1053</v>
      </c>
      <c r="E24" s="1">
        <v>1047</v>
      </c>
      <c r="F24" s="1">
        <v>1484</v>
      </c>
      <c r="G24" s="1">
        <f>+(E24/E23)*G23</f>
        <v>1234.9230769230769</v>
      </c>
      <c r="H24" s="1">
        <f t="shared" ref="H24:Q24" si="19">+(F24/F23)*H23</f>
        <v>1451.8077413866438</v>
      </c>
      <c r="I24" s="1">
        <f t="shared" si="19"/>
        <v>1234.9230769230769</v>
      </c>
      <c r="J24" s="1">
        <f t="shared" si="19"/>
        <v>1451.8077413866438</v>
      </c>
      <c r="K24" s="1">
        <f t="shared" si="19"/>
        <v>1234.9230769230769</v>
      </c>
      <c r="L24" s="1">
        <f t="shared" si="19"/>
        <v>1451.8077413866438</v>
      </c>
      <c r="M24" s="1">
        <f t="shared" si="19"/>
        <v>1234.9230769230769</v>
      </c>
      <c r="N24" s="1">
        <f t="shared" si="19"/>
        <v>1451.8077413866438</v>
      </c>
      <c r="O24" s="1">
        <f t="shared" si="19"/>
        <v>1234.9230769230769</v>
      </c>
      <c r="P24" s="1">
        <f t="shared" si="19"/>
        <v>1451.8077413866438</v>
      </c>
      <c r="Q24" s="1">
        <f t="shared" si="19"/>
        <v>1234.9230769230769</v>
      </c>
    </row>
    <row r="25" spans="2:45">
      <c r="B25" s="5" t="s">
        <v>16</v>
      </c>
      <c r="C25" s="1">
        <v>235282</v>
      </c>
      <c r="D25" s="1">
        <v>194668</v>
      </c>
      <c r="E25" s="1">
        <v>278488</v>
      </c>
      <c r="F25" s="1">
        <f>108560+30000</f>
        <v>138560</v>
      </c>
      <c r="G25" s="1">
        <f>+F25*1.01</f>
        <v>139945.60000000001</v>
      </c>
      <c r="H25" s="1">
        <f t="shared" ref="H25:Q25" si="20">+G25*1.01</f>
        <v>141345.05600000001</v>
      </c>
      <c r="I25" s="1">
        <f t="shared" si="20"/>
        <v>142758.50656000001</v>
      </c>
      <c r="J25" s="1">
        <f t="shared" si="20"/>
        <v>144186.09162560001</v>
      </c>
      <c r="K25" s="1">
        <f t="shared" si="20"/>
        <v>145627.95254185601</v>
      </c>
      <c r="L25" s="1">
        <f t="shared" si="20"/>
        <v>147084.23206727457</v>
      </c>
      <c r="M25" s="1">
        <f t="shared" si="20"/>
        <v>148555.07438794733</v>
      </c>
      <c r="N25" s="1">
        <f t="shared" si="20"/>
        <v>150040.62513182682</v>
      </c>
      <c r="O25" s="1">
        <f t="shared" si="20"/>
        <v>151541.03138314508</v>
      </c>
      <c r="P25" s="1">
        <f t="shared" si="20"/>
        <v>153056.44169697652</v>
      </c>
      <c r="Q25" s="1">
        <f t="shared" si="20"/>
        <v>154587.00611394629</v>
      </c>
    </row>
    <row r="27" spans="2:45">
      <c r="B27" s="5"/>
    </row>
    <row r="28" spans="2:45">
      <c r="B28" s="1" t="s">
        <v>17</v>
      </c>
      <c r="C28" s="1">
        <f>+(C25*C23)/10^6</f>
        <v>414.802166</v>
      </c>
      <c r="D28" s="1">
        <f>+(D25*D23)/10^6</f>
        <v>347.09304400000002</v>
      </c>
      <c r="E28" s="1">
        <f t="shared" ref="E28:Q28" si="21">+(E25*E23)/10^6</f>
        <v>543.05160000000001</v>
      </c>
      <c r="F28" s="1">
        <f t="shared" si="21"/>
        <v>325.75456000000003</v>
      </c>
      <c r="G28" s="1">
        <f t="shared" si="21"/>
        <v>321.87488000000002</v>
      </c>
      <c r="H28" s="1">
        <f t="shared" si="21"/>
        <v>325.09362880000003</v>
      </c>
      <c r="I28" s="1">
        <f t="shared" si="21"/>
        <v>328.34456508800002</v>
      </c>
      <c r="J28" s="1">
        <f t="shared" si="21"/>
        <v>331.62801073888005</v>
      </c>
      <c r="K28" s="1">
        <f t="shared" si="21"/>
        <v>334.94429084626881</v>
      </c>
      <c r="L28" s="1">
        <f t="shared" si="21"/>
        <v>338.29373375473153</v>
      </c>
      <c r="M28" s="1">
        <f t="shared" si="21"/>
        <v>341.67667109227887</v>
      </c>
      <c r="N28" s="1">
        <f t="shared" si="21"/>
        <v>345.09343780320165</v>
      </c>
      <c r="O28" s="1">
        <f t="shared" si="21"/>
        <v>348.54437218123371</v>
      </c>
      <c r="P28" s="1">
        <f t="shared" si="21"/>
        <v>352.02981590304603</v>
      </c>
      <c r="Q28" s="1">
        <f t="shared" si="21"/>
        <v>355.55011406207643</v>
      </c>
    </row>
    <row r="29" spans="2:45">
      <c r="B29" s="1" t="s">
        <v>19</v>
      </c>
      <c r="C29" s="1">
        <f>+(C25*C24)/10^6</f>
        <v>217.63585</v>
      </c>
      <c r="D29" s="1">
        <f>+(D25*D24)/10^6</f>
        <v>204.98540399999999</v>
      </c>
      <c r="E29" s="1">
        <f t="shared" ref="E29:Q29" si="22">+(E25*E24)/10^6</f>
        <v>291.57693599999999</v>
      </c>
      <c r="F29" s="1">
        <f t="shared" si="22"/>
        <v>205.62304</v>
      </c>
      <c r="G29" s="1">
        <f t="shared" si="22"/>
        <v>172.82205095384614</v>
      </c>
      <c r="H29" s="1">
        <f t="shared" si="22"/>
        <v>205.20584650752869</v>
      </c>
      <c r="I29" s="1">
        <f t="shared" si="22"/>
        <v>176.29577417801849</v>
      </c>
      <c r="J29" s="1">
        <f t="shared" si="22"/>
        <v>209.33048402233001</v>
      </c>
      <c r="K29" s="1">
        <f t="shared" si="22"/>
        <v>179.83931923899664</v>
      </c>
      <c r="L29" s="1">
        <f t="shared" si="22"/>
        <v>213.53802675117885</v>
      </c>
      <c r="M29" s="1">
        <f t="shared" si="22"/>
        <v>183.45408955570048</v>
      </c>
      <c r="N29" s="1">
        <f t="shared" si="22"/>
        <v>217.83014108887758</v>
      </c>
      <c r="O29" s="1">
        <f t="shared" si="22"/>
        <v>187.14151675577008</v>
      </c>
      <c r="P29" s="1">
        <f t="shared" si="22"/>
        <v>222.20852692476402</v>
      </c>
      <c r="Q29" s="1">
        <f t="shared" si="22"/>
        <v>190.90306124256105</v>
      </c>
    </row>
    <row r="30" spans="2:45">
      <c r="B30" s="5" t="s">
        <v>20</v>
      </c>
      <c r="C30" s="5">
        <f>+C28-C29</f>
        <v>197.16631599999999</v>
      </c>
      <c r="D30" s="5">
        <f>+D28-D29</f>
        <v>142.10764000000003</v>
      </c>
      <c r="E30" s="5">
        <f t="shared" ref="E30:Q30" si="23">+E28-E29</f>
        <v>251.47466400000002</v>
      </c>
      <c r="F30" s="5">
        <f t="shared" si="23"/>
        <v>120.13152000000002</v>
      </c>
      <c r="G30" s="5">
        <f t="shared" si="23"/>
        <v>149.05282904615387</v>
      </c>
      <c r="H30" s="5">
        <f t="shared" si="23"/>
        <v>119.88778229247134</v>
      </c>
      <c r="I30" s="5">
        <f t="shared" si="23"/>
        <v>152.04879090998153</v>
      </c>
      <c r="J30" s="5">
        <f t="shared" si="23"/>
        <v>122.29752671655004</v>
      </c>
      <c r="K30" s="5">
        <f t="shared" si="23"/>
        <v>155.10497160727218</v>
      </c>
      <c r="L30" s="5">
        <f t="shared" si="23"/>
        <v>124.75570700355269</v>
      </c>
      <c r="M30" s="5">
        <f t="shared" si="23"/>
        <v>158.22258153657839</v>
      </c>
      <c r="N30" s="5">
        <f t="shared" si="23"/>
        <v>127.26329671432407</v>
      </c>
      <c r="O30" s="5">
        <f t="shared" si="23"/>
        <v>161.40285542546363</v>
      </c>
      <c r="P30" s="5">
        <f t="shared" si="23"/>
        <v>129.82128897828201</v>
      </c>
      <c r="Q30" s="5">
        <f t="shared" si="23"/>
        <v>164.64705281951538</v>
      </c>
    </row>
    <row r="31" spans="2:45">
      <c r="B31" s="1" t="s">
        <v>21</v>
      </c>
      <c r="C31" s="1">
        <f>+((C23-C22)*C25)/10^6</f>
        <v>135.52243200000001</v>
      </c>
      <c r="D31" s="1">
        <f>+((D23-D22)*D25)/10^6</f>
        <v>78.840540000000004</v>
      </c>
      <c r="E31" s="1">
        <f t="shared" ref="E31:Q31" si="24">+((E23-E22)*E25)/10^6</f>
        <v>167.37128799999999</v>
      </c>
      <c r="F31" s="1">
        <f t="shared" si="24"/>
        <v>83.413120000000006</v>
      </c>
      <c r="G31" s="1">
        <f t="shared" si="24"/>
        <v>105.09914560000001</v>
      </c>
      <c r="H31" s="1">
        <f t="shared" si="24"/>
        <v>92.015631455999994</v>
      </c>
      <c r="I31" s="1">
        <f t="shared" si="24"/>
        <v>100.07371309856001</v>
      </c>
      <c r="J31" s="1">
        <f t="shared" si="24"/>
        <v>97.4697979389056</v>
      </c>
      <c r="K31" s="1">
        <f t="shared" si="24"/>
        <v>100.26484532506787</v>
      </c>
      <c r="L31" s="1">
        <f t="shared" si="24"/>
        <v>100.34821732789807</v>
      </c>
      <c r="M31" s="1">
        <f t="shared" si="24"/>
        <v>101.81593410863941</v>
      </c>
      <c r="N31" s="1">
        <f t="shared" si="24"/>
        <v>102.59965497295732</v>
      </c>
      <c r="O31" s="1">
        <f t="shared" si="24"/>
        <v>103.74404295345497</v>
      </c>
      <c r="P31" s="1">
        <f t="shared" si="24"/>
        <v>104.72169571045163</v>
      </c>
      <c r="Q31" s="1">
        <f t="shared" si="24"/>
        <v>105.79910544218778</v>
      </c>
    </row>
    <row r="32" spans="2:45">
      <c r="B32" s="5" t="s">
        <v>18</v>
      </c>
      <c r="C32" s="5">
        <f>+C30-C31</f>
        <v>61.643883999999986</v>
      </c>
      <c r="D32" s="5">
        <f t="shared" ref="D32" si="25">+D30-D31</f>
        <v>63.267100000000028</v>
      </c>
      <c r="E32" s="5">
        <f t="shared" ref="E32" si="26">+E30-E31</f>
        <v>84.103376000000026</v>
      </c>
      <c r="F32" s="5">
        <f t="shared" ref="F32" si="27">+F30-F31</f>
        <v>36.718400000000017</v>
      </c>
      <c r="G32" s="5">
        <f t="shared" ref="G32" si="28">+G30-G31</f>
        <v>43.95368344615386</v>
      </c>
      <c r="H32" s="5">
        <f t="shared" ref="H32" si="29">+H30-H31</f>
        <v>27.872150836471349</v>
      </c>
      <c r="I32" s="5">
        <f t="shared" ref="I32" si="30">+I30-I31</f>
        <v>51.975077811421528</v>
      </c>
      <c r="J32" s="5">
        <f t="shared" ref="J32" si="31">+J30-J31</f>
        <v>24.827728777644438</v>
      </c>
      <c r="K32" s="5">
        <f t="shared" ref="K32" si="32">+K30-K31</f>
        <v>54.840126282204309</v>
      </c>
      <c r="L32" s="5">
        <f t="shared" ref="L32" si="33">+L30-L31</f>
        <v>24.407489675654617</v>
      </c>
      <c r="M32" s="5">
        <f t="shared" ref="M32" si="34">+M30-M31</f>
        <v>56.406647427938978</v>
      </c>
      <c r="N32" s="5">
        <f t="shared" ref="N32" si="35">+N30-N31</f>
        <v>24.663641741366746</v>
      </c>
      <c r="O32" s="5">
        <f t="shared" ref="O32" si="36">+O30-O31</f>
        <v>57.658812472008663</v>
      </c>
      <c r="P32" s="5">
        <f t="shared" ref="P32" si="37">+P30-P31</f>
        <v>25.099593267830386</v>
      </c>
      <c r="Q32" s="5">
        <f t="shared" ref="Q32" si="38">+Q30-Q31</f>
        <v>58.8479473773276</v>
      </c>
      <c r="R32" s="1">
        <f>+Q32*(1+$S$35)</f>
        <v>59.436426851100876</v>
      </c>
      <c r="S32" s="1">
        <f t="shared" ref="S32:AS32" si="39">+R32*(1+$S$35)</f>
        <v>60.030791119611884</v>
      </c>
      <c r="T32" s="1">
        <f t="shared" si="39"/>
        <v>60.631099030808002</v>
      </c>
      <c r="U32" s="1">
        <f t="shared" si="39"/>
        <v>61.237410021116084</v>
      </c>
      <c r="V32" s="1">
        <f t="shared" si="39"/>
        <v>61.849784121327247</v>
      </c>
      <c r="W32" s="1">
        <f t="shared" si="39"/>
        <v>62.468281962540523</v>
      </c>
      <c r="X32" s="1">
        <f t="shared" si="39"/>
        <v>63.092964782165929</v>
      </c>
      <c r="Y32" s="1">
        <f t="shared" si="39"/>
        <v>63.723894429987588</v>
      </c>
      <c r="Z32" s="1">
        <f t="shared" si="39"/>
        <v>64.361133374287462</v>
      </c>
      <c r="AA32" s="1">
        <f t="shared" si="39"/>
        <v>65.004744708030344</v>
      </c>
      <c r="AB32" s="1">
        <f t="shared" si="39"/>
        <v>65.654792155110641</v>
      </c>
      <c r="AC32" s="1">
        <f t="shared" si="39"/>
        <v>66.31134007666175</v>
      </c>
      <c r="AD32" s="1">
        <f t="shared" si="39"/>
        <v>66.974453477428369</v>
      </c>
      <c r="AE32" s="1">
        <f t="shared" si="39"/>
        <v>67.644198012202651</v>
      </c>
      <c r="AF32" s="1">
        <f t="shared" si="39"/>
        <v>68.320639992324672</v>
      </c>
      <c r="AG32" s="1">
        <f t="shared" si="39"/>
        <v>69.003846392247922</v>
      </c>
      <c r="AH32" s="1">
        <f t="shared" si="39"/>
        <v>69.693884856170399</v>
      </c>
      <c r="AI32" s="1">
        <f t="shared" si="39"/>
        <v>70.390823704732099</v>
      </c>
      <c r="AJ32" s="1">
        <f t="shared" si="39"/>
        <v>71.094731941779415</v>
      </c>
      <c r="AK32" s="1">
        <f t="shared" si="39"/>
        <v>71.805679261197213</v>
      </c>
      <c r="AL32" s="1">
        <f t="shared" si="39"/>
        <v>72.523736053809188</v>
      </c>
      <c r="AM32" s="1">
        <f t="shared" si="39"/>
        <v>73.248973414347276</v>
      </c>
      <c r="AN32" s="1">
        <f t="shared" si="39"/>
        <v>73.981463148490747</v>
      </c>
      <c r="AO32" s="1">
        <f t="shared" si="39"/>
        <v>74.721277779975651</v>
      </c>
      <c r="AP32" s="1">
        <f t="shared" si="39"/>
        <v>75.468490557775411</v>
      </c>
      <c r="AQ32" s="1">
        <f t="shared" si="39"/>
        <v>76.223175463353172</v>
      </c>
      <c r="AR32" s="1">
        <f t="shared" si="39"/>
        <v>76.985407217986705</v>
      </c>
      <c r="AS32" s="1">
        <f t="shared" si="39"/>
        <v>77.755261290166573</v>
      </c>
    </row>
    <row r="35" spans="2:19">
      <c r="R35" s="1" t="s">
        <v>25</v>
      </c>
      <c r="S35" s="3">
        <v>0.01</v>
      </c>
    </row>
    <row r="36" spans="2:19">
      <c r="R36" s="1" t="s">
        <v>26</v>
      </c>
      <c r="S36" s="7">
        <v>0.08</v>
      </c>
    </row>
    <row r="37" spans="2:19">
      <c r="R37" s="1" t="s">
        <v>27</v>
      </c>
      <c r="S37" s="1">
        <f>NPV(S36,F32:AS32)</f>
        <v>586.90629455401063</v>
      </c>
    </row>
    <row r="39" spans="2:19">
      <c r="B39" s="1" t="s">
        <v>40</v>
      </c>
      <c r="R39" s="5"/>
      <c r="S39" s="5"/>
    </row>
    <row r="41" spans="2:19">
      <c r="B41" s="1" t="s">
        <v>22</v>
      </c>
    </row>
    <row r="42" spans="2:19">
      <c r="B42" s="1" t="s">
        <v>32</v>
      </c>
      <c r="C42" s="1">
        <v>895</v>
      </c>
      <c r="D42" s="1">
        <v>1280</v>
      </c>
      <c r="E42" s="1">
        <v>1277</v>
      </c>
      <c r="F42" s="1">
        <v>1655</v>
      </c>
      <c r="G42" s="1">
        <f>+(E42/E43)*G43</f>
        <v>2143.8686131386862</v>
      </c>
      <c r="H42" s="1">
        <f t="shared" ref="H42:Q42" si="40">+(F42/F43)*H43</f>
        <v>1705.421146953405</v>
      </c>
      <c r="I42" s="1">
        <f t="shared" si="40"/>
        <v>2143.8686131386862</v>
      </c>
      <c r="J42" s="1">
        <f t="shared" si="40"/>
        <v>1705.421146953405</v>
      </c>
      <c r="K42" s="1">
        <f t="shared" si="40"/>
        <v>2143.8686131386862</v>
      </c>
      <c r="L42" s="1">
        <f t="shared" si="40"/>
        <v>1705.421146953405</v>
      </c>
      <c r="M42" s="1">
        <f t="shared" si="40"/>
        <v>2143.8686131386862</v>
      </c>
      <c r="N42" s="1">
        <f t="shared" si="40"/>
        <v>1705.421146953405</v>
      </c>
      <c r="O42" s="1">
        <f t="shared" si="40"/>
        <v>2143.8686131386862</v>
      </c>
      <c r="P42" s="1">
        <f t="shared" si="40"/>
        <v>1705.421146953405</v>
      </c>
      <c r="Q42" s="1">
        <f t="shared" si="40"/>
        <v>2143.8686131386862</v>
      </c>
    </row>
    <row r="43" spans="2:19">
      <c r="B43" s="1" t="s">
        <v>23</v>
      </c>
      <c r="C43" s="6">
        <f>+C48/C45*1000000</f>
        <v>1842.5652206045379</v>
      </c>
      <c r="D43" s="6">
        <v>1443</v>
      </c>
      <c r="E43" s="6">
        <v>1370</v>
      </c>
      <c r="F43" s="1">
        <v>2232</v>
      </c>
      <c r="G43" s="1">
        <v>2300</v>
      </c>
      <c r="H43" s="1">
        <v>2300</v>
      </c>
      <c r="I43" s="1">
        <v>2300</v>
      </c>
      <c r="J43" s="1">
        <v>2300</v>
      </c>
      <c r="K43" s="1">
        <v>2300</v>
      </c>
      <c r="L43" s="1">
        <v>2300</v>
      </c>
      <c r="M43" s="1">
        <v>2300</v>
      </c>
      <c r="N43" s="1">
        <v>2300</v>
      </c>
      <c r="O43" s="1">
        <v>2300</v>
      </c>
      <c r="P43" s="1">
        <v>2300</v>
      </c>
      <c r="Q43" s="1">
        <v>2300</v>
      </c>
    </row>
    <row r="44" spans="2:19">
      <c r="B44" s="1" t="s">
        <v>33</v>
      </c>
      <c r="C44" s="1">
        <v>762</v>
      </c>
      <c r="D44" s="1">
        <v>1093</v>
      </c>
      <c r="E44" s="1">
        <v>1050</v>
      </c>
      <c r="F44" s="1">
        <v>1025</v>
      </c>
      <c r="G44" s="1">
        <f>+(E44/E43)*G43</f>
        <v>1762.773722627737</v>
      </c>
      <c r="H44" s="1">
        <f t="shared" ref="H44:Q44" si="41">+(F44/F43)*H43</f>
        <v>1056.2275985663082</v>
      </c>
      <c r="I44" s="1">
        <f t="shared" si="41"/>
        <v>1762.773722627737</v>
      </c>
      <c r="J44" s="1">
        <f t="shared" si="41"/>
        <v>1056.2275985663082</v>
      </c>
      <c r="K44" s="1">
        <f t="shared" si="41"/>
        <v>1762.773722627737</v>
      </c>
      <c r="L44" s="1">
        <f t="shared" si="41"/>
        <v>1056.2275985663082</v>
      </c>
      <c r="M44" s="1">
        <f t="shared" si="41"/>
        <v>1762.773722627737</v>
      </c>
      <c r="N44" s="1">
        <f t="shared" si="41"/>
        <v>1056.2275985663082</v>
      </c>
      <c r="O44" s="1">
        <f t="shared" si="41"/>
        <v>1762.773722627737</v>
      </c>
      <c r="P44" s="1">
        <f t="shared" si="41"/>
        <v>1056.2275985663082</v>
      </c>
      <c r="Q44" s="1">
        <f t="shared" si="41"/>
        <v>1762.773722627737</v>
      </c>
    </row>
    <row r="45" spans="2:19">
      <c r="B45" s="5" t="s">
        <v>41</v>
      </c>
      <c r="C45" s="1">
        <v>108248</v>
      </c>
      <c r="D45" s="1">
        <v>95207</v>
      </c>
      <c r="E45" s="1">
        <v>119423</v>
      </c>
      <c r="F45" s="1">
        <f>82195+20000</f>
        <v>102195</v>
      </c>
      <c r="G45" s="1">
        <f>+F45*1.01</f>
        <v>103216.95</v>
      </c>
      <c r="H45" s="1">
        <f t="shared" ref="H45:Q45" si="42">+G45*1.01</f>
        <v>104249.1195</v>
      </c>
      <c r="I45" s="1">
        <f t="shared" si="42"/>
        <v>105291.610695</v>
      </c>
      <c r="J45" s="1">
        <f t="shared" si="42"/>
        <v>106344.52680194999</v>
      </c>
      <c r="K45" s="1">
        <f t="shared" si="42"/>
        <v>107407.97206996949</v>
      </c>
      <c r="L45" s="1">
        <f t="shared" si="42"/>
        <v>108482.05179066918</v>
      </c>
      <c r="M45" s="1">
        <f t="shared" si="42"/>
        <v>109566.87230857587</v>
      </c>
      <c r="N45" s="1">
        <f t="shared" si="42"/>
        <v>110662.54103166163</v>
      </c>
      <c r="O45" s="1">
        <f t="shared" si="42"/>
        <v>111769.16644197825</v>
      </c>
      <c r="P45" s="1">
        <f t="shared" si="42"/>
        <v>112886.85810639802</v>
      </c>
      <c r="Q45" s="1">
        <f t="shared" si="42"/>
        <v>114015.72668746201</v>
      </c>
    </row>
    <row r="47" spans="2:19">
      <c r="B47" s="5"/>
    </row>
    <row r="48" spans="2:19">
      <c r="B48" s="1" t="s">
        <v>17</v>
      </c>
      <c r="C48" s="1">
        <v>199.45400000000001</v>
      </c>
      <c r="D48" s="1">
        <f>+(D45*D43)/10^6</f>
        <v>137.383701</v>
      </c>
      <c r="E48" s="1">
        <f t="shared" ref="E48:F48" si="43">+(E45*E43)/10^6</f>
        <v>163.60951</v>
      </c>
      <c r="F48" s="1">
        <f t="shared" si="43"/>
        <v>228.09924000000001</v>
      </c>
      <c r="G48" s="1">
        <f t="shared" ref="G48:Q48" si="44">+(G45*G43)/10^6</f>
        <v>237.39898500000001</v>
      </c>
      <c r="H48" s="1">
        <f t="shared" si="44"/>
        <v>239.77297485</v>
      </c>
      <c r="I48" s="1">
        <f t="shared" si="44"/>
        <v>242.17070459849998</v>
      </c>
      <c r="J48" s="1">
        <f t="shared" si="44"/>
        <v>244.592411644485</v>
      </c>
      <c r="K48" s="1">
        <f t="shared" si="44"/>
        <v>247.03833576092981</v>
      </c>
      <c r="L48" s="1">
        <f t="shared" si="44"/>
        <v>249.50871911853912</v>
      </c>
      <c r="M48" s="1">
        <f t="shared" si="44"/>
        <v>252.0038063097245</v>
      </c>
      <c r="N48" s="1">
        <f t="shared" si="44"/>
        <v>254.52384437282174</v>
      </c>
      <c r="O48" s="1">
        <f t="shared" si="44"/>
        <v>257.06908281654995</v>
      </c>
      <c r="P48" s="1">
        <f t="shared" si="44"/>
        <v>259.63977364471543</v>
      </c>
      <c r="Q48" s="1">
        <f t="shared" si="44"/>
        <v>262.23617138116259</v>
      </c>
    </row>
    <row r="49" spans="2:45">
      <c r="B49" s="1" t="s">
        <v>19</v>
      </c>
      <c r="C49" s="1">
        <f>+(C45*C44)/10^6</f>
        <v>82.484976000000003</v>
      </c>
      <c r="D49" s="1">
        <f>+(D45*D44)/10^6</f>
        <v>104.061251</v>
      </c>
      <c r="E49" s="1">
        <f t="shared" ref="E49:F49" si="45">+(E45*E44)/10^6</f>
        <v>125.39415</v>
      </c>
      <c r="F49" s="1">
        <f t="shared" si="45"/>
        <v>104.749875</v>
      </c>
      <c r="G49" s="1">
        <f t="shared" ref="G49:Q49" si="46">+(G45*G44)/10^6</f>
        <v>181.94812718978099</v>
      </c>
      <c r="H49" s="1">
        <f t="shared" si="46"/>
        <v>110.1107971421371</v>
      </c>
      <c r="I49" s="1">
        <f t="shared" si="46"/>
        <v>185.60528454629559</v>
      </c>
      <c r="J49" s="1">
        <f t="shared" si="46"/>
        <v>112.32402416469404</v>
      </c>
      <c r="K49" s="1">
        <f t="shared" si="46"/>
        <v>189.3359507656761</v>
      </c>
      <c r="L49" s="1">
        <f t="shared" si="46"/>
        <v>114.58173705040439</v>
      </c>
      <c r="M49" s="1">
        <f t="shared" si="46"/>
        <v>193.1416033760662</v>
      </c>
      <c r="N49" s="1">
        <f t="shared" si="46"/>
        <v>116.88482996511752</v>
      </c>
      <c r="O49" s="1">
        <f t="shared" si="46"/>
        <v>197.02374960392513</v>
      </c>
      <c r="P49" s="1">
        <f t="shared" si="46"/>
        <v>119.23421504741636</v>
      </c>
      <c r="Q49" s="1">
        <f t="shared" si="46"/>
        <v>200.98392697096403</v>
      </c>
    </row>
    <row r="50" spans="2:45">
      <c r="B50" s="5" t="s">
        <v>20</v>
      </c>
      <c r="C50" s="5">
        <f>+C48-C49</f>
        <v>116.969024</v>
      </c>
      <c r="D50" s="5">
        <f>+D48-D49</f>
        <v>33.322450000000003</v>
      </c>
      <c r="E50" s="5">
        <f t="shared" ref="E50:G50" si="47">+E48-E49</f>
        <v>38.215360000000004</v>
      </c>
      <c r="F50" s="5">
        <f t="shared" si="47"/>
        <v>123.34936500000001</v>
      </c>
      <c r="G50" s="5">
        <f t="shared" si="47"/>
        <v>55.45085781021902</v>
      </c>
      <c r="H50" s="5">
        <f t="shared" ref="H50" si="48">+H48-H49</f>
        <v>129.6621777078629</v>
      </c>
      <c r="I50" s="5">
        <f t="shared" ref="I50" si="49">+I48-I49</f>
        <v>56.565420052204388</v>
      </c>
      <c r="J50" s="5">
        <f t="shared" ref="J50" si="50">+J48-J49</f>
        <v>132.26838747979096</v>
      </c>
      <c r="K50" s="5">
        <f t="shared" ref="K50" si="51">+K48-K49</f>
        <v>57.702384995253709</v>
      </c>
      <c r="L50" s="5">
        <f t="shared" ref="L50" si="52">+L48-L49</f>
        <v>134.92698206813475</v>
      </c>
      <c r="M50" s="5">
        <f t="shared" ref="M50" si="53">+M48-M49</f>
        <v>58.862202933658295</v>
      </c>
      <c r="N50" s="5">
        <f t="shared" ref="N50" si="54">+N48-N49</f>
        <v>137.63901440770422</v>
      </c>
      <c r="O50" s="5">
        <f t="shared" ref="O50" si="55">+O48-O49</f>
        <v>60.045333212624826</v>
      </c>
      <c r="P50" s="5">
        <f t="shared" ref="P50" si="56">+P48-P49</f>
        <v>140.40555859729909</v>
      </c>
      <c r="Q50" s="5">
        <f t="shared" ref="Q50" si="57">+Q48-Q49</f>
        <v>61.252244410198557</v>
      </c>
    </row>
    <row r="51" spans="2:45">
      <c r="B51" s="1" t="s">
        <v>21</v>
      </c>
      <c r="C51" s="1">
        <f>+((C43-C42)*C45)/10^6</f>
        <v>102.57204000000002</v>
      </c>
      <c r="D51" s="1">
        <f>+((D43-D42)*D45)/10^6</f>
        <v>15.518741</v>
      </c>
      <c r="E51" s="1">
        <f t="shared" ref="E51:F51" si="58">+((E43-E42)*E45)/10^6</f>
        <v>11.106339</v>
      </c>
      <c r="F51" s="1">
        <f t="shared" si="58"/>
        <v>58.966515000000001</v>
      </c>
      <c r="G51" s="1">
        <f t="shared" ref="G51:Q51" si="59">+((G43-G42)*G45)/10^6</f>
        <v>16.115405551094881</v>
      </c>
      <c r="H51" s="1">
        <f t="shared" si="59"/>
        <v>61.984321903427421</v>
      </c>
      <c r="I51" s="1">
        <f t="shared" si="59"/>
        <v>16.439325202671888</v>
      </c>
      <c r="J51" s="1">
        <f t="shared" si="59"/>
        <v>63.230206773686305</v>
      </c>
      <c r="K51" s="1">
        <f t="shared" si="59"/>
        <v>16.769755639245592</v>
      </c>
      <c r="L51" s="1">
        <f t="shared" si="59"/>
        <v>64.501133929837394</v>
      </c>
      <c r="M51" s="1">
        <f t="shared" si="59"/>
        <v>17.106827727594428</v>
      </c>
      <c r="N51" s="1">
        <f t="shared" si="59"/>
        <v>65.797606721827123</v>
      </c>
      <c r="O51" s="1">
        <f t="shared" si="59"/>
        <v>17.450674964919074</v>
      </c>
      <c r="P51" s="1">
        <f t="shared" si="59"/>
        <v>67.120138616935847</v>
      </c>
      <c r="Q51" s="1">
        <f t="shared" si="59"/>
        <v>17.80143353171395</v>
      </c>
    </row>
    <row r="52" spans="2:45">
      <c r="B52" s="5" t="s">
        <v>18</v>
      </c>
      <c r="C52" s="5">
        <f>+C50-C51</f>
        <v>14.396983999999989</v>
      </c>
      <c r="D52" s="5">
        <f t="shared" ref="D52" si="60">+D50-D51</f>
        <v>17.803709000000005</v>
      </c>
      <c r="E52" s="5">
        <f t="shared" ref="E52:G52" si="61">+E50-E51</f>
        <v>27.109021000000006</v>
      </c>
      <c r="F52" s="5">
        <f t="shared" si="61"/>
        <v>64.382850000000005</v>
      </c>
      <c r="G52" s="5">
        <f t="shared" si="61"/>
        <v>39.335452259124139</v>
      </c>
      <c r="H52" s="5">
        <f t="shared" ref="H52" si="62">+H50-H51</f>
        <v>67.677855804435467</v>
      </c>
      <c r="I52" s="5">
        <f t="shared" ref="I52" si="63">+I50-I51</f>
        <v>40.1260948495325</v>
      </c>
      <c r="J52" s="5">
        <f t="shared" ref="J52" si="64">+J50-J51</f>
        <v>69.038180706104654</v>
      </c>
      <c r="K52" s="5">
        <f t="shared" ref="K52" si="65">+K50-K51</f>
        <v>40.932629356008121</v>
      </c>
      <c r="L52" s="5">
        <f t="shared" ref="L52" si="66">+L50-L51</f>
        <v>70.425848138297354</v>
      </c>
      <c r="M52" s="5">
        <f t="shared" ref="M52" si="67">+M50-M51</f>
        <v>41.755375206063867</v>
      </c>
      <c r="N52" s="5">
        <f t="shared" ref="N52" si="68">+N50-N51</f>
        <v>71.841407685877101</v>
      </c>
      <c r="O52" s="5">
        <f t="shared" ref="O52" si="69">+O50-O51</f>
        <v>42.594658247705752</v>
      </c>
      <c r="P52" s="5">
        <f t="shared" ref="P52" si="70">+P50-P51</f>
        <v>73.285419980363244</v>
      </c>
      <c r="Q52" s="5">
        <f t="shared" ref="Q52" si="71">+Q50-Q51</f>
        <v>43.450810878484603</v>
      </c>
      <c r="R52" s="1">
        <f>+Q52*(1+$S$35)</f>
        <v>43.88531898726945</v>
      </c>
      <c r="S52" s="1">
        <f t="shared" ref="S52:AS52" si="72">+R52*(1+$S$35)</f>
        <v>44.324172177142145</v>
      </c>
      <c r="T52" s="1">
        <f t="shared" si="72"/>
        <v>44.767413898913567</v>
      </c>
      <c r="U52" s="1">
        <f t="shared" si="72"/>
        <v>45.215088037902703</v>
      </c>
      <c r="V52" s="1">
        <f t="shared" si="72"/>
        <v>45.667238918281733</v>
      </c>
      <c r="W52" s="1">
        <f t="shared" si="72"/>
        <v>46.123911307464553</v>
      </c>
      <c r="X52" s="1">
        <f t="shared" si="72"/>
        <v>46.5851504205392</v>
      </c>
      <c r="Y52" s="1">
        <f t="shared" si="72"/>
        <v>47.05100192474459</v>
      </c>
      <c r="Z52" s="1">
        <f t="shared" si="72"/>
        <v>47.521511943992039</v>
      </c>
      <c r="AA52" s="1">
        <f t="shared" si="72"/>
        <v>47.996727063431962</v>
      </c>
      <c r="AB52" s="1">
        <f t="shared" si="72"/>
        <v>48.476694334066281</v>
      </c>
      <c r="AC52" s="1">
        <f t="shared" si="72"/>
        <v>48.961461277406947</v>
      </c>
      <c r="AD52" s="1">
        <f t="shared" si="72"/>
        <v>49.451075890181016</v>
      </c>
      <c r="AE52" s="1">
        <f t="shared" si="72"/>
        <v>49.945586649082827</v>
      </c>
      <c r="AF52" s="1">
        <f t="shared" si="72"/>
        <v>50.445042515573654</v>
      </c>
      <c r="AG52" s="1">
        <f t="shared" si="72"/>
        <v>50.949492940729392</v>
      </c>
      <c r="AH52" s="1">
        <f t="shared" si="72"/>
        <v>51.458987870136689</v>
      </c>
      <c r="AI52" s="1">
        <f t="shared" si="72"/>
        <v>51.973577748838053</v>
      </c>
      <c r="AJ52" s="1">
        <f t="shared" si="72"/>
        <v>52.493313526326432</v>
      </c>
      <c r="AK52" s="1">
        <f t="shared" si="72"/>
        <v>53.0182466615897</v>
      </c>
      <c r="AL52" s="1">
        <f t="shared" si="72"/>
        <v>53.548429128205598</v>
      </c>
      <c r="AM52" s="1">
        <f t="shared" si="72"/>
        <v>54.083913419487651</v>
      </c>
      <c r="AN52" s="1">
        <f t="shared" si="72"/>
        <v>54.624752553682526</v>
      </c>
      <c r="AO52" s="1">
        <f t="shared" si="72"/>
        <v>55.171000079219354</v>
      </c>
      <c r="AP52" s="1">
        <f t="shared" si="72"/>
        <v>55.722710080011545</v>
      </c>
      <c r="AQ52" s="1">
        <f t="shared" si="72"/>
        <v>56.279937180811658</v>
      </c>
      <c r="AR52" s="1">
        <f t="shared" si="72"/>
        <v>56.842736552619776</v>
      </c>
      <c r="AS52" s="1">
        <f t="shared" si="72"/>
        <v>57.411163918145974</v>
      </c>
    </row>
    <row r="54" spans="2:45">
      <c r="R54" s="1" t="s">
        <v>25</v>
      </c>
      <c r="S54" s="3">
        <v>0.01</v>
      </c>
    </row>
    <row r="55" spans="2:45">
      <c r="R55" s="1" t="s">
        <v>26</v>
      </c>
      <c r="S55" s="7">
        <v>0.08</v>
      </c>
    </row>
    <row r="56" spans="2:45">
      <c r="R56" s="1" t="s">
        <v>27</v>
      </c>
      <c r="S56" s="1">
        <f>NPV(S55,F52:AS52)</f>
        <v>628.17643428276233</v>
      </c>
    </row>
    <row r="60" spans="2:45">
      <c r="R60" s="1" t="s">
        <v>42</v>
      </c>
      <c r="S60" s="1">
        <f>+S56+S37+S7</f>
        <v>1227.6286752958124</v>
      </c>
    </row>
    <row r="61" spans="2:45">
      <c r="R61" s="1" t="s">
        <v>28</v>
      </c>
      <c r="S61" s="1">
        <f>+Main!F6-Main!F7</f>
        <v>112.52799999999999</v>
      </c>
    </row>
    <row r="62" spans="2:45">
      <c r="R62" s="1" t="s">
        <v>29</v>
      </c>
      <c r="S62" s="1">
        <f>SUM(S60:S61)</f>
        <v>1340.1566752958124</v>
      </c>
    </row>
    <row r="63" spans="2:45">
      <c r="R63" s="1" t="s">
        <v>1</v>
      </c>
      <c r="S63" s="1">
        <f>+Main!F4</f>
        <v>202.369529</v>
      </c>
    </row>
    <row r="64" spans="2:45">
      <c r="R64" s="1" t="s">
        <v>43</v>
      </c>
      <c r="S64" s="10">
        <f>+S62/S63</f>
        <v>6.622324427586193</v>
      </c>
    </row>
    <row r="65" spans="18:19">
      <c r="R65" s="1" t="s">
        <v>30</v>
      </c>
      <c r="S65" s="2">
        <f>+Main!F3</f>
        <v>7.42</v>
      </c>
    </row>
    <row r="67" spans="18:19">
      <c r="S67" s="3">
        <f>+S64/S65-1</f>
        <v>-0.10750344641695508</v>
      </c>
    </row>
  </sheetData>
  <pageMargins left="0.7" right="0.7" top="0.75" bottom="0.75" header="0.3" footer="0.3"/>
  <ignoredErrors>
    <ignoredError sqref="C15:D15 C16:O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2024-12-22T03:24:13Z</dcterms:created>
  <dcterms:modified xsi:type="dcterms:W3CDTF">2025-02-09T04:43:47Z</dcterms:modified>
</cp:coreProperties>
</file>