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Basic Materials/Building Materials/"/>
    </mc:Choice>
  </mc:AlternateContent>
  <xr:revisionPtr revIDLastSave="0" documentId="13_ncr:1_{6F4F0592-35D7-E347-9F33-A096A85BEEB4}" xr6:coauthVersionLast="47" xr6:coauthVersionMax="47" xr10:uidLastSave="{00000000-0000-0000-0000-000000000000}"/>
  <bookViews>
    <workbookView xWindow="22780" yWindow="2160" windowWidth="27640" windowHeight="22620" activeTab="1" xr2:uid="{213889DA-69A6-8045-B671-AF80A1A6825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0" i="2" l="1"/>
  <c r="V21" i="2"/>
  <c r="W21" i="2"/>
  <c r="X21" i="2"/>
  <c r="Y21" i="2"/>
  <c r="Z21" i="2"/>
  <c r="AA21" i="2"/>
  <c r="AB21" i="2"/>
  <c r="AC21" i="2"/>
  <c r="AD21" i="2"/>
  <c r="V23" i="2"/>
  <c r="W23" i="2"/>
  <c r="X23" i="2"/>
  <c r="Y23" i="2"/>
  <c r="Z23" i="2"/>
  <c r="AA23" i="2"/>
  <c r="AB23" i="2"/>
  <c r="AC23" i="2"/>
  <c r="AD23" i="2"/>
  <c r="AG26" i="2"/>
  <c r="AG24" i="2"/>
  <c r="AG22" i="2"/>
  <c r="GA2" i="2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AF2" i="2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AE14" i="2"/>
  <c r="AE2" i="2"/>
  <c r="W15" i="2"/>
  <c r="W16" i="2" s="1"/>
  <c r="V16" i="2"/>
  <c r="V15" i="2"/>
  <c r="W13" i="2"/>
  <c r="X13" i="2" s="1"/>
  <c r="V14" i="2"/>
  <c r="V13" i="2"/>
  <c r="AD10" i="2"/>
  <c r="AC10" i="2"/>
  <c r="AB10" i="2"/>
  <c r="AA10" i="2"/>
  <c r="Z10" i="2"/>
  <c r="Y10" i="2"/>
  <c r="X10" i="2"/>
  <c r="W10" i="2"/>
  <c r="V11" i="2"/>
  <c r="V12" i="2" s="1"/>
  <c r="V10" i="2"/>
  <c r="V9" i="2"/>
  <c r="W9" i="2" s="1"/>
  <c r="X9" i="2" s="1"/>
  <c r="Y9" i="2" s="1"/>
  <c r="Z9" i="2" s="1"/>
  <c r="AA9" i="2" s="1"/>
  <c r="AB9" i="2" s="1"/>
  <c r="AC9" i="2" s="1"/>
  <c r="AD9" i="2" s="1"/>
  <c r="AD8" i="2"/>
  <c r="AC8" i="2"/>
  <c r="AB8" i="2"/>
  <c r="AA8" i="2"/>
  <c r="Z8" i="2"/>
  <c r="Y8" i="2"/>
  <c r="X8" i="2"/>
  <c r="W8" i="2"/>
  <c r="V8" i="2"/>
  <c r="W7" i="2"/>
  <c r="X7" i="2" s="1"/>
  <c r="Y7" i="2" s="1"/>
  <c r="Z7" i="2" s="1"/>
  <c r="AA7" i="2" s="1"/>
  <c r="AB7" i="2" s="1"/>
  <c r="AC7" i="2" s="1"/>
  <c r="AD7" i="2" s="1"/>
  <c r="V7" i="2"/>
  <c r="W6" i="2"/>
  <c r="X6" i="2" s="1"/>
  <c r="Y6" i="2" s="1"/>
  <c r="Z6" i="2" s="1"/>
  <c r="AA6" i="2" s="1"/>
  <c r="AB6" i="2" s="1"/>
  <c r="AC6" i="2" s="1"/>
  <c r="AD6" i="2" s="1"/>
  <c r="V6" i="2"/>
  <c r="AD2" i="2"/>
  <c r="W5" i="2"/>
  <c r="X5" i="2" s="1"/>
  <c r="Y5" i="2" s="1"/>
  <c r="Z5" i="2" s="1"/>
  <c r="AA5" i="2" s="1"/>
  <c r="AB5" i="2" s="1"/>
  <c r="AC5" i="2" s="1"/>
  <c r="AD5" i="2" s="1"/>
  <c r="V5" i="2"/>
  <c r="U15" i="2"/>
  <c r="U16" i="2"/>
  <c r="U14" i="2"/>
  <c r="U13" i="2"/>
  <c r="U12" i="2"/>
  <c r="U11" i="2"/>
  <c r="U10" i="2"/>
  <c r="U9" i="2"/>
  <c r="U8" i="2"/>
  <c r="U23" i="2" s="1"/>
  <c r="U7" i="2"/>
  <c r="U6" i="2"/>
  <c r="J21" i="2"/>
  <c r="U21" i="2"/>
  <c r="J16" i="2"/>
  <c r="J15" i="2"/>
  <c r="J14" i="2"/>
  <c r="J13" i="2"/>
  <c r="J11" i="2"/>
  <c r="J12" i="2" s="1"/>
  <c r="J10" i="2"/>
  <c r="J9" i="2"/>
  <c r="J8" i="2"/>
  <c r="J7" i="2"/>
  <c r="J6" i="2"/>
  <c r="J5" i="2"/>
  <c r="J4" i="2"/>
  <c r="J3" i="2"/>
  <c r="U5" i="2"/>
  <c r="U4" i="2"/>
  <c r="U3" i="2"/>
  <c r="T25" i="2"/>
  <c r="I25" i="2"/>
  <c r="H25" i="2"/>
  <c r="G25" i="2"/>
  <c r="F25" i="2"/>
  <c r="E25" i="2"/>
  <c r="D25" i="2"/>
  <c r="C25" i="2"/>
  <c r="I49" i="2"/>
  <c r="H49" i="2"/>
  <c r="G49" i="2"/>
  <c r="F49" i="2"/>
  <c r="E49" i="2"/>
  <c r="D49" i="2"/>
  <c r="C49" i="2"/>
  <c r="G22" i="2"/>
  <c r="G21" i="2"/>
  <c r="G20" i="2"/>
  <c r="G19" i="2"/>
  <c r="H22" i="2"/>
  <c r="H21" i="2"/>
  <c r="H20" i="2"/>
  <c r="H19" i="2"/>
  <c r="I22" i="2"/>
  <c r="I21" i="2"/>
  <c r="I20" i="2"/>
  <c r="I19" i="2"/>
  <c r="F48" i="2"/>
  <c r="F47" i="2"/>
  <c r="F46" i="2"/>
  <c r="T48" i="2"/>
  <c r="S48" i="2"/>
  <c r="R48" i="2"/>
  <c r="C48" i="2"/>
  <c r="G48" i="2"/>
  <c r="D47" i="2"/>
  <c r="H47" i="2"/>
  <c r="D46" i="2"/>
  <c r="E46" i="2" s="1"/>
  <c r="H46" i="2"/>
  <c r="I46" i="2" s="1"/>
  <c r="E47" i="2"/>
  <c r="I47" i="2"/>
  <c r="C41" i="2"/>
  <c r="C43" i="2" s="1"/>
  <c r="C33" i="2"/>
  <c r="D41" i="2"/>
  <c r="D43" i="2" s="1"/>
  <c r="D33" i="2"/>
  <c r="E41" i="2"/>
  <c r="E43" i="2" s="1"/>
  <c r="E33" i="2"/>
  <c r="G41" i="2"/>
  <c r="G43" i="2" s="1"/>
  <c r="G33" i="2"/>
  <c r="H41" i="2"/>
  <c r="H43" i="2" s="1"/>
  <c r="H33" i="2"/>
  <c r="F41" i="2"/>
  <c r="F43" i="2" s="1"/>
  <c r="F33" i="2"/>
  <c r="I41" i="2"/>
  <c r="I43" i="2" s="1"/>
  <c r="I33" i="2"/>
  <c r="G23" i="2"/>
  <c r="F16" i="2"/>
  <c r="F13" i="2"/>
  <c r="F11" i="2"/>
  <c r="F9" i="2"/>
  <c r="F7" i="2"/>
  <c r="F6" i="2"/>
  <c r="F4" i="2"/>
  <c r="F3" i="2"/>
  <c r="T8" i="2"/>
  <c r="T10" i="2" s="1"/>
  <c r="S20" i="2"/>
  <c r="R20" i="2"/>
  <c r="Q20" i="2"/>
  <c r="S19" i="2"/>
  <c r="R19" i="2"/>
  <c r="Q19" i="2"/>
  <c r="T20" i="2"/>
  <c r="T19" i="2"/>
  <c r="S5" i="2"/>
  <c r="S8" i="2" s="1"/>
  <c r="R5" i="2"/>
  <c r="Q5" i="2"/>
  <c r="Q23" i="2" s="1"/>
  <c r="P5" i="2"/>
  <c r="P23" i="2" s="1"/>
  <c r="T5" i="2"/>
  <c r="M2" i="2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C5" i="2"/>
  <c r="C8" i="2" s="1"/>
  <c r="F8" i="2" s="1"/>
  <c r="G5" i="2"/>
  <c r="G8" i="2" s="1"/>
  <c r="G10" i="2" s="1"/>
  <c r="G12" i="2" s="1"/>
  <c r="G14" i="2" s="1"/>
  <c r="G15" i="2" s="1"/>
  <c r="D5" i="2"/>
  <c r="D8" i="2" s="1"/>
  <c r="D10" i="2" s="1"/>
  <c r="D12" i="2" s="1"/>
  <c r="D14" i="2" s="1"/>
  <c r="D15" i="2" s="1"/>
  <c r="H5" i="2"/>
  <c r="I5" i="2"/>
  <c r="I8" i="2" s="1"/>
  <c r="I23" i="2" s="1"/>
  <c r="E5" i="2"/>
  <c r="E8" i="2" s="1"/>
  <c r="E10" i="2" s="1"/>
  <c r="E12" i="2" s="1"/>
  <c r="E14" i="2" s="1"/>
  <c r="E15" i="2" s="1"/>
  <c r="G7" i="1"/>
  <c r="G8" i="1" s="1"/>
  <c r="F6" i="1"/>
  <c r="F9" i="1" s="1"/>
  <c r="AG29" i="2" s="1"/>
  <c r="AG31" i="2" s="1"/>
  <c r="F10" i="1" l="1"/>
  <c r="AF14" i="2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EI14" i="2" s="1"/>
  <c r="EJ14" i="2" s="1"/>
  <c r="EK14" i="2" s="1"/>
  <c r="EL14" i="2" s="1"/>
  <c r="EM14" i="2" s="1"/>
  <c r="EN14" i="2" s="1"/>
  <c r="EO14" i="2" s="1"/>
  <c r="EP14" i="2" s="1"/>
  <c r="EQ14" i="2" s="1"/>
  <c r="ER14" i="2" s="1"/>
  <c r="ES14" i="2" s="1"/>
  <c r="ET14" i="2" s="1"/>
  <c r="EU14" i="2" s="1"/>
  <c r="EV14" i="2" s="1"/>
  <c r="EW14" i="2" s="1"/>
  <c r="EX14" i="2" s="1"/>
  <c r="EY14" i="2" s="1"/>
  <c r="EZ14" i="2" s="1"/>
  <c r="FA14" i="2" s="1"/>
  <c r="FB14" i="2" s="1"/>
  <c r="FC14" i="2" s="1"/>
  <c r="FD14" i="2" s="1"/>
  <c r="FE14" i="2" s="1"/>
  <c r="FF14" i="2" s="1"/>
  <c r="FG14" i="2" s="1"/>
  <c r="FH14" i="2" s="1"/>
  <c r="FI14" i="2" s="1"/>
  <c r="FJ14" i="2" s="1"/>
  <c r="FK14" i="2" s="1"/>
  <c r="FL14" i="2" s="1"/>
  <c r="FM14" i="2" s="1"/>
  <c r="FN14" i="2" s="1"/>
  <c r="FO14" i="2" s="1"/>
  <c r="FP14" i="2" s="1"/>
  <c r="FQ14" i="2" s="1"/>
  <c r="FR14" i="2" s="1"/>
  <c r="FS14" i="2" s="1"/>
  <c r="FT14" i="2" s="1"/>
  <c r="FU14" i="2" s="1"/>
  <c r="FV14" i="2" s="1"/>
  <c r="FW14" i="2" s="1"/>
  <c r="FX14" i="2" s="1"/>
  <c r="FY14" i="2" s="1"/>
  <c r="FZ14" i="2" s="1"/>
  <c r="GA14" i="2" s="1"/>
  <c r="GB14" i="2" s="1"/>
  <c r="GC14" i="2" s="1"/>
  <c r="GD14" i="2" s="1"/>
  <c r="GE14" i="2" s="1"/>
  <c r="GF14" i="2" s="1"/>
  <c r="GG14" i="2" s="1"/>
  <c r="GH14" i="2" s="1"/>
  <c r="GI14" i="2" s="1"/>
  <c r="GJ14" i="2" s="1"/>
  <c r="GK14" i="2" s="1"/>
  <c r="GL14" i="2" s="1"/>
  <c r="GM14" i="2" s="1"/>
  <c r="GN14" i="2" s="1"/>
  <c r="GO14" i="2" s="1"/>
  <c r="GP14" i="2" s="1"/>
  <c r="GQ14" i="2" s="1"/>
  <c r="GR14" i="2" s="1"/>
  <c r="GS14" i="2" s="1"/>
  <c r="GT14" i="2" s="1"/>
  <c r="GU14" i="2" s="1"/>
  <c r="GV14" i="2" s="1"/>
  <c r="GW14" i="2" s="1"/>
  <c r="GX14" i="2" s="1"/>
  <c r="GY14" i="2" s="1"/>
  <c r="GZ14" i="2" s="1"/>
  <c r="HA14" i="2" s="1"/>
  <c r="HB14" i="2" s="1"/>
  <c r="HC14" i="2" s="1"/>
  <c r="HD14" i="2" s="1"/>
  <c r="HE14" i="2" s="1"/>
  <c r="HF14" i="2" s="1"/>
  <c r="HG14" i="2" s="1"/>
  <c r="HH14" i="2" s="1"/>
  <c r="HI14" i="2" s="1"/>
  <c r="HJ14" i="2" s="1"/>
  <c r="HK14" i="2" s="1"/>
  <c r="HL14" i="2" s="1"/>
  <c r="HM14" i="2" s="1"/>
  <c r="HN14" i="2" s="1"/>
  <c r="HO14" i="2" s="1"/>
  <c r="HP14" i="2" s="1"/>
  <c r="HQ14" i="2" s="1"/>
  <c r="HR14" i="2" s="1"/>
  <c r="HS14" i="2" s="1"/>
  <c r="HT14" i="2" s="1"/>
  <c r="HU14" i="2" s="1"/>
  <c r="HV14" i="2" s="1"/>
  <c r="X15" i="2"/>
  <c r="Y13" i="2"/>
  <c r="X14" i="2"/>
  <c r="W14" i="2"/>
  <c r="W11" i="2"/>
  <c r="X11" i="2" s="1"/>
  <c r="D48" i="2"/>
  <c r="H48" i="2"/>
  <c r="E48" i="2"/>
  <c r="I48" i="2"/>
  <c r="R21" i="2"/>
  <c r="T23" i="2"/>
  <c r="S23" i="2"/>
  <c r="S10" i="2"/>
  <c r="T12" i="2"/>
  <c r="Q21" i="2"/>
  <c r="R8" i="2"/>
  <c r="T21" i="2"/>
  <c r="C23" i="2"/>
  <c r="S21" i="2"/>
  <c r="D23" i="2"/>
  <c r="F5" i="2"/>
  <c r="F23" i="2" s="1"/>
  <c r="C10" i="2"/>
  <c r="C12" i="2" s="1"/>
  <c r="C14" i="2" s="1"/>
  <c r="C15" i="2" s="1"/>
  <c r="S12" i="2"/>
  <c r="S14" i="2" s="1"/>
  <c r="S15" i="2" s="1"/>
  <c r="H8" i="2"/>
  <c r="I10" i="2"/>
  <c r="I12" i="2" s="1"/>
  <c r="I14" i="2" s="1"/>
  <c r="I15" i="2" s="1"/>
  <c r="E23" i="2"/>
  <c r="AG21" i="2" l="1"/>
  <c r="AG23" i="2" s="1"/>
  <c r="AG25" i="2" s="1"/>
  <c r="AG27" i="2" s="1"/>
  <c r="Y15" i="2"/>
  <c r="X16" i="2"/>
  <c r="Z13" i="2"/>
  <c r="Y14" i="2"/>
  <c r="Y11" i="2"/>
  <c r="X12" i="2"/>
  <c r="W12" i="2"/>
  <c r="R10" i="2"/>
  <c r="R12" i="2" s="1"/>
  <c r="R14" i="2" s="1"/>
  <c r="R15" i="2" s="1"/>
  <c r="R23" i="2"/>
  <c r="F10" i="2"/>
  <c r="T14" i="2"/>
  <c r="F12" i="2"/>
  <c r="H10" i="2"/>
  <c r="H12" i="2" s="1"/>
  <c r="H14" i="2" s="1"/>
  <c r="H15" i="2" s="1"/>
  <c r="H23" i="2"/>
  <c r="Z15" i="2" l="1"/>
  <c r="Y16" i="2"/>
  <c r="AA13" i="2"/>
  <c r="Z14" i="2"/>
  <c r="Y12" i="2"/>
  <c r="Z11" i="2"/>
  <c r="T15" i="2"/>
  <c r="F14" i="2"/>
  <c r="F15" i="2" s="1"/>
  <c r="AA15" i="2" l="1"/>
  <c r="Z16" i="2"/>
  <c r="AB13" i="2"/>
  <c r="AA14" i="2"/>
  <c r="AA11" i="2"/>
  <c r="Z12" i="2"/>
  <c r="AB15" i="2" l="1"/>
  <c r="AA16" i="2"/>
  <c r="AC13" i="2"/>
  <c r="AB14" i="2"/>
  <c r="AB11" i="2"/>
  <c r="AA12" i="2"/>
  <c r="AC15" i="2" l="1"/>
  <c r="AB16" i="2"/>
  <c r="AD13" i="2"/>
  <c r="AD14" i="2" s="1"/>
  <c r="AC14" i="2"/>
  <c r="AB12" i="2"/>
  <c r="AC11" i="2"/>
  <c r="AD15" i="2" l="1"/>
  <c r="AD16" i="2" s="1"/>
  <c r="AC16" i="2"/>
  <c r="AC12" i="2"/>
  <c r="AD11" i="2"/>
  <c r="AD12" i="2" s="1"/>
</calcChain>
</file>

<file path=xl/sharedStrings.xml><?xml version="1.0" encoding="utf-8"?>
<sst xmlns="http://schemas.openxmlformats.org/spreadsheetml/2006/main" count="98" uniqueCount="91">
  <si>
    <t>P</t>
  </si>
  <si>
    <t>S</t>
  </si>
  <si>
    <t>MC</t>
  </si>
  <si>
    <t>C</t>
  </si>
  <si>
    <t>D</t>
  </si>
  <si>
    <t>EV</t>
  </si>
  <si>
    <t>Q123</t>
  </si>
  <si>
    <t>Q223</t>
  </si>
  <si>
    <t>Q323</t>
  </si>
  <si>
    <t>Q124</t>
  </si>
  <si>
    <t>Q224</t>
  </si>
  <si>
    <t>Q324</t>
  </si>
  <si>
    <t>Q424</t>
  </si>
  <si>
    <t>Revenue</t>
  </si>
  <si>
    <t xml:space="preserve">CEO </t>
  </si>
  <si>
    <t xml:space="preserve">CFO </t>
  </si>
  <si>
    <t>Labor</t>
  </si>
  <si>
    <t>DDA</t>
  </si>
  <si>
    <t xml:space="preserve">Gross Profit </t>
  </si>
  <si>
    <t>SGA</t>
  </si>
  <si>
    <t xml:space="preserve">Operating Profit </t>
  </si>
  <si>
    <t>Other (income)</t>
  </si>
  <si>
    <t>EBT</t>
  </si>
  <si>
    <t>Taxes</t>
  </si>
  <si>
    <t>Net Income</t>
  </si>
  <si>
    <t>Diluted</t>
  </si>
  <si>
    <t>EPS</t>
  </si>
  <si>
    <t>GM %</t>
  </si>
  <si>
    <t>Lime and limestone</t>
  </si>
  <si>
    <t>Other</t>
  </si>
  <si>
    <t>Q423</t>
  </si>
  <si>
    <t>Cash</t>
  </si>
  <si>
    <t>Trade Rec</t>
  </si>
  <si>
    <t>Inventories</t>
  </si>
  <si>
    <t>Prepaid exp</t>
  </si>
  <si>
    <t>PPE</t>
  </si>
  <si>
    <t>Op Lease</t>
  </si>
  <si>
    <t>OA</t>
  </si>
  <si>
    <t xml:space="preserve">Total Assets </t>
  </si>
  <si>
    <t>A/P</t>
  </si>
  <si>
    <t>Accrued Exp</t>
  </si>
  <si>
    <t>Deferred Tax Liab</t>
  </si>
  <si>
    <t xml:space="preserve">Op Lease </t>
  </si>
  <si>
    <t>Curr Op Lease</t>
  </si>
  <si>
    <t>OL</t>
  </si>
  <si>
    <t xml:space="preserve">Total Liabilities </t>
  </si>
  <si>
    <t>E</t>
  </si>
  <si>
    <t>Equity</t>
  </si>
  <si>
    <t>Total Liabilities + Equity</t>
  </si>
  <si>
    <t>Growth Analysis Y/Y</t>
  </si>
  <si>
    <t>CFFO</t>
  </si>
  <si>
    <t>Capex</t>
  </si>
  <si>
    <t xml:space="preserve">Free Cash Flow </t>
  </si>
  <si>
    <t>Industries</t>
  </si>
  <si>
    <t>Construction</t>
  </si>
  <si>
    <t>Industrial</t>
  </si>
  <si>
    <t>Metals</t>
  </si>
  <si>
    <t>Environmental</t>
  </si>
  <si>
    <t>Roofing</t>
  </si>
  <si>
    <t>Oil and Gas</t>
  </si>
  <si>
    <t>Agriculture</t>
  </si>
  <si>
    <t xml:space="preserve">Products/Applications </t>
  </si>
  <si>
    <t>Crushed Limestone</t>
  </si>
  <si>
    <t>Pulverized Limestone (PLS)</t>
  </si>
  <si>
    <t>Quicklime (Calcium Oxide)</t>
  </si>
  <si>
    <t>Hydrated Lime (Calcium Hydroxide)</t>
  </si>
  <si>
    <t>Lime Slurry</t>
  </si>
  <si>
    <t>Use</t>
  </si>
  <si>
    <t>Construction aggregates</t>
  </si>
  <si>
    <t>agriculture, glass production, environmental applications</t>
  </si>
  <si>
    <t>metal processing, soil stabilization, and water treatment</t>
  </si>
  <si>
    <t>saniation, water treatment, and construction</t>
  </si>
  <si>
    <t>soil stabilization for construction projects</t>
  </si>
  <si>
    <t>HQ</t>
  </si>
  <si>
    <t>Dallas, TX</t>
  </si>
  <si>
    <t>Product Endpoints</t>
  </si>
  <si>
    <t>limestone mining and processing company</t>
  </si>
  <si>
    <t>mines high quality limestone from both open pit quarries and underground mines and processes it into various products</t>
  </si>
  <si>
    <t>About</t>
  </si>
  <si>
    <t>EV/E</t>
  </si>
  <si>
    <t xml:space="preserve">Net Cash </t>
  </si>
  <si>
    <t xml:space="preserve">Terminal </t>
  </si>
  <si>
    <t xml:space="preserve">Discount </t>
  </si>
  <si>
    <t>NPV</t>
  </si>
  <si>
    <t>Net Cash</t>
  </si>
  <si>
    <t xml:space="preserve">Total Value </t>
  </si>
  <si>
    <t>Shares</t>
  </si>
  <si>
    <t>Estimate</t>
  </si>
  <si>
    <t>Current</t>
  </si>
  <si>
    <t>Upside</t>
  </si>
  <si>
    <t>EV/24E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</si>
</sst>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\x"/>
  </numFmts>
  <fonts count="3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</xdr:colOff>
      <xdr:row>0</xdr:row>
      <xdr:rowOff>30480</xdr:rowOff>
    </xdr:from>
    <xdr:to>
      <xdr:col>9</xdr:col>
      <xdr:colOff>20320</xdr:colOff>
      <xdr:row>58</xdr:row>
      <xdr:rowOff>20320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F60E5BE-981F-4733-98A4-9D7D189307BD}"/>
            </a:ext>
          </a:extLst>
        </xdr:cNvPr>
        <xdr:cNvCxnSpPr/>
      </xdr:nvCxnSpPr>
      <xdr:spPr>
        <a:xfrm>
          <a:off x="4907280" y="30480"/>
          <a:ext cx="10160" cy="9093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20320</xdr:colOff>
      <xdr:row>0</xdr:row>
      <xdr:rowOff>0</xdr:rowOff>
    </xdr:from>
    <xdr:to>
      <xdr:col>20</xdr:col>
      <xdr:colOff>30480</xdr:colOff>
      <xdr:row>57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5846AE4-C821-0D4A-8CA6-F8D3B02981FA}"/>
            </a:ext>
          </a:extLst>
        </xdr:cNvPr>
        <xdr:cNvCxnSpPr/>
      </xdr:nvCxnSpPr>
      <xdr:spPr>
        <a:xfrm>
          <a:off x="10688320" y="0"/>
          <a:ext cx="10160" cy="9093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D2B-AF04-DC40-8FAD-631F6FD76571}">
  <dimension ref="B2:G31"/>
  <sheetViews>
    <sheetView zoomScale="169" workbookViewId="0">
      <selection activeCell="F5" sqref="F5"/>
    </sheetView>
  </sheetViews>
  <sheetFormatPr baseColWidth="10" defaultRowHeight="13"/>
  <cols>
    <col min="1" max="1" width="10.83203125" style="1"/>
    <col min="2" max="2" width="5.33203125" style="1" bestFit="1" customWidth="1"/>
    <col min="3" max="3" width="28.5" style="1" bestFit="1" customWidth="1"/>
    <col min="4" max="4" width="10.83203125" style="1"/>
    <col min="5" max="5" width="3.6640625" style="1" bestFit="1" customWidth="1"/>
    <col min="6" max="6" width="11.1640625" style="1" bestFit="1" customWidth="1"/>
    <col min="7" max="7" width="5.5" style="1" bestFit="1" customWidth="1"/>
    <col min="8" max="16384" width="10.83203125" style="1"/>
  </cols>
  <sheetData>
    <row r="2" spans="2:7">
      <c r="B2" s="1" t="s">
        <v>14</v>
      </c>
    </row>
    <row r="3" spans="2:7">
      <c r="B3" s="1" t="s">
        <v>15</v>
      </c>
    </row>
    <row r="4" spans="2:7">
      <c r="B4" s="1" t="s">
        <v>73</v>
      </c>
      <c r="C4" s="1" t="s">
        <v>74</v>
      </c>
      <c r="E4" s="1" t="s">
        <v>0</v>
      </c>
      <c r="F4" s="1">
        <v>125.32</v>
      </c>
    </row>
    <row r="5" spans="2:7">
      <c r="E5" s="1" t="s">
        <v>1</v>
      </c>
      <c r="F5" s="1">
        <v>28.594270000000002</v>
      </c>
      <c r="G5" s="1" t="s">
        <v>11</v>
      </c>
    </row>
    <row r="6" spans="2:7">
      <c r="E6" s="1" t="s">
        <v>2</v>
      </c>
      <c r="F6" s="1">
        <f>+F4*F5</f>
        <v>3583.4339163999998</v>
      </c>
    </row>
    <row r="7" spans="2:7">
      <c r="E7" s="1" t="s">
        <v>3</v>
      </c>
      <c r="F7" s="1">
        <v>255.02199999999999</v>
      </c>
      <c r="G7" s="1" t="str">
        <f>+G5</f>
        <v>Q324</v>
      </c>
    </row>
    <row r="8" spans="2:7">
      <c r="E8" s="1" t="s">
        <v>4</v>
      </c>
      <c r="F8" s="1">
        <v>0</v>
      </c>
      <c r="G8" s="1" t="str">
        <f>+G7</f>
        <v>Q324</v>
      </c>
    </row>
    <row r="9" spans="2:7">
      <c r="E9" s="1" t="s">
        <v>5</v>
      </c>
      <c r="F9" s="1">
        <f>+F6-F7+F8</f>
        <v>3328.4119163999999</v>
      </c>
    </row>
    <row r="10" spans="2:7">
      <c r="B10" s="5" t="s">
        <v>78</v>
      </c>
      <c r="E10" s="1" t="s">
        <v>79</v>
      </c>
      <c r="F10" s="7">
        <f>+F9/(Model!T14/1000)</f>
        <v>44.647304677460454</v>
      </c>
    </row>
    <row r="11" spans="2:7">
      <c r="B11" s="1" t="s">
        <v>76</v>
      </c>
    </row>
    <row r="12" spans="2:7">
      <c r="B12" s="1" t="s">
        <v>77</v>
      </c>
    </row>
    <row r="16" spans="2:7">
      <c r="C16" s="5" t="s">
        <v>61</v>
      </c>
      <c r="D16" s="5" t="s">
        <v>67</v>
      </c>
    </row>
    <row r="17" spans="3:4">
      <c r="C17" s="1" t="s">
        <v>62</v>
      </c>
      <c r="D17" s="1" t="s">
        <v>68</v>
      </c>
    </row>
    <row r="18" spans="3:4">
      <c r="C18" s="1" t="s">
        <v>63</v>
      </c>
      <c r="D18" s="1" t="s">
        <v>69</v>
      </c>
    </row>
    <row r="19" spans="3:4">
      <c r="C19" s="1" t="s">
        <v>64</v>
      </c>
      <c r="D19" s="1" t="s">
        <v>70</v>
      </c>
    </row>
    <row r="20" spans="3:4">
      <c r="C20" s="1" t="s">
        <v>65</v>
      </c>
      <c r="D20" s="1" t="s">
        <v>71</v>
      </c>
    </row>
    <row r="21" spans="3:4">
      <c r="C21" s="1" t="s">
        <v>66</v>
      </c>
      <c r="D21" s="1" t="s">
        <v>72</v>
      </c>
    </row>
    <row r="23" spans="3:4">
      <c r="C23" s="6" t="s">
        <v>75</v>
      </c>
    </row>
    <row r="24" spans="3:4">
      <c r="C24" s="1" t="s">
        <v>53</v>
      </c>
    </row>
    <row r="25" spans="3:4">
      <c r="C25" s="1" t="s">
        <v>54</v>
      </c>
    </row>
    <row r="26" spans="3:4">
      <c r="C26" s="1" t="s">
        <v>55</v>
      </c>
    </row>
    <row r="27" spans="3:4">
      <c r="C27" s="1" t="s">
        <v>56</v>
      </c>
    </row>
    <row r="28" spans="3:4">
      <c r="C28" s="1" t="s">
        <v>57</v>
      </c>
    </row>
    <row r="29" spans="3:4">
      <c r="C29" s="1" t="s">
        <v>58</v>
      </c>
    </row>
    <row r="30" spans="3:4">
      <c r="C30" s="1" t="s">
        <v>59</v>
      </c>
    </row>
    <row r="31" spans="3:4">
      <c r="C3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28A-4ACD-114C-9E88-2721CDA8347C}">
  <dimension ref="B2:HV49"/>
  <sheetViews>
    <sheetView tabSelected="1" zoomScale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5" sqref="K35"/>
    </sheetView>
  </sheetViews>
  <sheetFormatPr baseColWidth="10" defaultRowHeight="13"/>
  <cols>
    <col min="1" max="1" width="1.1640625" style="1" customWidth="1"/>
    <col min="2" max="2" width="21.5" style="1" bestFit="1" customWidth="1"/>
    <col min="3" max="9" width="7.6640625" style="1" bestFit="1" customWidth="1"/>
    <col min="10" max="10" width="6.6640625" style="1" bestFit="1" customWidth="1"/>
    <col min="11" max="11" width="10.83203125" style="1"/>
    <col min="12" max="15" width="5.1640625" style="1" bestFit="1" customWidth="1"/>
    <col min="16" max="30" width="7.6640625" style="1" bestFit="1" customWidth="1"/>
    <col min="31" max="31" width="8.33203125" style="1" bestFit="1" customWidth="1"/>
    <col min="32" max="32" width="11.6640625" style="1" bestFit="1" customWidth="1"/>
    <col min="33" max="33" width="9.1640625" style="1" bestFit="1" customWidth="1"/>
    <col min="34" max="125" width="7.6640625" style="1" bestFit="1" customWidth="1"/>
    <col min="126" max="230" width="6.6640625" style="1" bestFit="1" customWidth="1"/>
    <col min="231" max="16384" width="10.83203125" style="1"/>
  </cols>
  <sheetData>
    <row r="2" spans="2:230" s="3" customFormat="1">
      <c r="C2" s="3" t="s">
        <v>6</v>
      </c>
      <c r="D2" s="3" t="s">
        <v>7</v>
      </c>
      <c r="E2" s="3" t="s">
        <v>8</v>
      </c>
      <c r="F2" s="3" t="s">
        <v>30</v>
      </c>
      <c r="G2" s="3" t="s">
        <v>9</v>
      </c>
      <c r="H2" s="3" t="s">
        <v>10</v>
      </c>
      <c r="I2" s="3" t="s">
        <v>11</v>
      </c>
      <c r="J2" s="3" t="s">
        <v>12</v>
      </c>
      <c r="L2" s="3">
        <v>2015</v>
      </c>
      <c r="M2" s="3">
        <f>+L2+1</f>
        <v>2016</v>
      </c>
      <c r="N2" s="3">
        <f t="shared" ref="N2:AD2" si="0">+M2+1</f>
        <v>2017</v>
      </c>
      <c r="O2" s="3">
        <f t="shared" si="0"/>
        <v>2018</v>
      </c>
      <c r="P2" s="3">
        <f t="shared" si="0"/>
        <v>2019</v>
      </c>
      <c r="Q2" s="3">
        <f t="shared" si="0"/>
        <v>2020</v>
      </c>
      <c r="R2" s="3">
        <f t="shared" si="0"/>
        <v>2021</v>
      </c>
      <c r="S2" s="3">
        <f t="shared" si="0"/>
        <v>2022</v>
      </c>
      <c r="T2" s="3">
        <f t="shared" si="0"/>
        <v>2023</v>
      </c>
      <c r="U2" s="3">
        <f t="shared" si="0"/>
        <v>2024</v>
      </c>
      <c r="V2" s="3">
        <f t="shared" si="0"/>
        <v>2025</v>
      </c>
      <c r="W2" s="3">
        <f t="shared" si="0"/>
        <v>2026</v>
      </c>
      <c r="X2" s="3">
        <f t="shared" si="0"/>
        <v>2027</v>
      </c>
      <c r="Y2" s="3">
        <f t="shared" si="0"/>
        <v>2028</v>
      </c>
      <c r="Z2" s="3">
        <f t="shared" si="0"/>
        <v>2029</v>
      </c>
      <c r="AA2" s="3">
        <f t="shared" si="0"/>
        <v>2030</v>
      </c>
      <c r="AB2" s="3">
        <f t="shared" si="0"/>
        <v>2031</v>
      </c>
      <c r="AC2" s="3">
        <f t="shared" si="0"/>
        <v>2032</v>
      </c>
      <c r="AD2" s="3">
        <f t="shared" si="0"/>
        <v>2033</v>
      </c>
      <c r="AE2" s="3">
        <f>+AD2+1</f>
        <v>2034</v>
      </c>
      <c r="AF2" s="3">
        <f t="shared" ref="AF2:CQ2" si="1">+AE2+1</f>
        <v>2035</v>
      </c>
      <c r="AG2" s="3">
        <f t="shared" si="1"/>
        <v>2036</v>
      </c>
      <c r="AH2" s="3">
        <f t="shared" si="1"/>
        <v>2037</v>
      </c>
      <c r="AI2" s="3">
        <f t="shared" si="1"/>
        <v>2038</v>
      </c>
      <c r="AJ2" s="3">
        <f t="shared" si="1"/>
        <v>2039</v>
      </c>
      <c r="AK2" s="3">
        <f t="shared" si="1"/>
        <v>2040</v>
      </c>
      <c r="AL2" s="3">
        <f t="shared" si="1"/>
        <v>2041</v>
      </c>
      <c r="AM2" s="3">
        <f t="shared" si="1"/>
        <v>2042</v>
      </c>
      <c r="AN2" s="3">
        <f t="shared" si="1"/>
        <v>2043</v>
      </c>
      <c r="AO2" s="3">
        <f t="shared" si="1"/>
        <v>2044</v>
      </c>
      <c r="AP2" s="3">
        <f t="shared" si="1"/>
        <v>2045</v>
      </c>
      <c r="AQ2" s="3">
        <f t="shared" si="1"/>
        <v>2046</v>
      </c>
      <c r="AR2" s="3">
        <f t="shared" si="1"/>
        <v>2047</v>
      </c>
      <c r="AS2" s="3">
        <f t="shared" si="1"/>
        <v>2048</v>
      </c>
      <c r="AT2" s="3">
        <f t="shared" si="1"/>
        <v>2049</v>
      </c>
      <c r="AU2" s="3">
        <f t="shared" si="1"/>
        <v>2050</v>
      </c>
      <c r="AV2" s="3">
        <f t="shared" si="1"/>
        <v>2051</v>
      </c>
      <c r="AW2" s="3">
        <f t="shared" si="1"/>
        <v>2052</v>
      </c>
      <c r="AX2" s="3">
        <f t="shared" si="1"/>
        <v>2053</v>
      </c>
      <c r="AY2" s="3">
        <f t="shared" si="1"/>
        <v>2054</v>
      </c>
      <c r="AZ2" s="3">
        <f t="shared" si="1"/>
        <v>2055</v>
      </c>
      <c r="BA2" s="3">
        <f t="shared" si="1"/>
        <v>2056</v>
      </c>
      <c r="BB2" s="3">
        <f t="shared" si="1"/>
        <v>2057</v>
      </c>
      <c r="BC2" s="3">
        <f t="shared" si="1"/>
        <v>2058</v>
      </c>
      <c r="BD2" s="3">
        <f t="shared" si="1"/>
        <v>2059</v>
      </c>
      <c r="BE2" s="3">
        <f t="shared" si="1"/>
        <v>2060</v>
      </c>
      <c r="BF2" s="3">
        <f t="shared" si="1"/>
        <v>2061</v>
      </c>
      <c r="BG2" s="3">
        <f t="shared" si="1"/>
        <v>2062</v>
      </c>
      <c r="BH2" s="3">
        <f t="shared" si="1"/>
        <v>2063</v>
      </c>
      <c r="BI2" s="3">
        <f t="shared" si="1"/>
        <v>2064</v>
      </c>
      <c r="BJ2" s="3">
        <f t="shared" si="1"/>
        <v>2065</v>
      </c>
      <c r="BK2" s="3">
        <f t="shared" si="1"/>
        <v>2066</v>
      </c>
      <c r="BL2" s="3">
        <f t="shared" si="1"/>
        <v>2067</v>
      </c>
      <c r="BM2" s="3">
        <f t="shared" si="1"/>
        <v>2068</v>
      </c>
      <c r="BN2" s="3">
        <f t="shared" si="1"/>
        <v>2069</v>
      </c>
      <c r="BO2" s="3">
        <f t="shared" si="1"/>
        <v>2070</v>
      </c>
      <c r="BP2" s="3">
        <f t="shared" si="1"/>
        <v>2071</v>
      </c>
      <c r="BQ2" s="3">
        <f t="shared" si="1"/>
        <v>2072</v>
      </c>
      <c r="BR2" s="3">
        <f t="shared" si="1"/>
        <v>2073</v>
      </c>
      <c r="BS2" s="3">
        <f t="shared" si="1"/>
        <v>2074</v>
      </c>
      <c r="BT2" s="3">
        <f t="shared" si="1"/>
        <v>2075</v>
      </c>
      <c r="BU2" s="3">
        <f t="shared" si="1"/>
        <v>2076</v>
      </c>
      <c r="BV2" s="3">
        <f t="shared" si="1"/>
        <v>2077</v>
      </c>
      <c r="BW2" s="3">
        <f t="shared" si="1"/>
        <v>2078</v>
      </c>
      <c r="BX2" s="3">
        <f t="shared" si="1"/>
        <v>2079</v>
      </c>
      <c r="BY2" s="3">
        <f t="shared" si="1"/>
        <v>2080</v>
      </c>
      <c r="BZ2" s="3">
        <f t="shared" si="1"/>
        <v>2081</v>
      </c>
      <c r="CA2" s="3">
        <f t="shared" si="1"/>
        <v>2082</v>
      </c>
      <c r="CB2" s="3">
        <f t="shared" si="1"/>
        <v>2083</v>
      </c>
      <c r="CC2" s="3">
        <f t="shared" si="1"/>
        <v>2084</v>
      </c>
      <c r="CD2" s="3">
        <f t="shared" si="1"/>
        <v>2085</v>
      </c>
      <c r="CE2" s="3">
        <f t="shared" si="1"/>
        <v>2086</v>
      </c>
      <c r="CF2" s="3">
        <f t="shared" si="1"/>
        <v>2087</v>
      </c>
      <c r="CG2" s="3">
        <f t="shared" si="1"/>
        <v>2088</v>
      </c>
      <c r="CH2" s="3">
        <f t="shared" si="1"/>
        <v>2089</v>
      </c>
      <c r="CI2" s="3">
        <f t="shared" si="1"/>
        <v>2090</v>
      </c>
      <c r="CJ2" s="3">
        <f t="shared" si="1"/>
        <v>2091</v>
      </c>
      <c r="CK2" s="3">
        <f t="shared" si="1"/>
        <v>2092</v>
      </c>
      <c r="CL2" s="3">
        <f t="shared" si="1"/>
        <v>2093</v>
      </c>
      <c r="CM2" s="3">
        <f t="shared" si="1"/>
        <v>2094</v>
      </c>
      <c r="CN2" s="3">
        <f t="shared" si="1"/>
        <v>2095</v>
      </c>
      <c r="CO2" s="3">
        <f t="shared" si="1"/>
        <v>2096</v>
      </c>
      <c r="CP2" s="3">
        <f t="shared" si="1"/>
        <v>2097</v>
      </c>
      <c r="CQ2" s="3">
        <f t="shared" si="1"/>
        <v>2098</v>
      </c>
      <c r="CR2" s="3">
        <f t="shared" ref="CR2:FC2" si="2">+CQ2+1</f>
        <v>2099</v>
      </c>
      <c r="CS2" s="3">
        <f t="shared" si="2"/>
        <v>2100</v>
      </c>
      <c r="CT2" s="3">
        <f t="shared" si="2"/>
        <v>2101</v>
      </c>
      <c r="CU2" s="3">
        <f t="shared" si="2"/>
        <v>2102</v>
      </c>
      <c r="CV2" s="3">
        <f t="shared" si="2"/>
        <v>2103</v>
      </c>
      <c r="CW2" s="3">
        <f t="shared" si="2"/>
        <v>2104</v>
      </c>
      <c r="CX2" s="3">
        <f t="shared" si="2"/>
        <v>2105</v>
      </c>
      <c r="CY2" s="3">
        <f t="shared" si="2"/>
        <v>2106</v>
      </c>
      <c r="CZ2" s="3">
        <f t="shared" si="2"/>
        <v>2107</v>
      </c>
      <c r="DA2" s="3">
        <f t="shared" si="2"/>
        <v>2108</v>
      </c>
      <c r="DB2" s="3">
        <f t="shared" si="2"/>
        <v>2109</v>
      </c>
      <c r="DC2" s="3">
        <f t="shared" si="2"/>
        <v>2110</v>
      </c>
      <c r="DD2" s="3">
        <f t="shared" si="2"/>
        <v>2111</v>
      </c>
      <c r="DE2" s="3">
        <f t="shared" si="2"/>
        <v>2112</v>
      </c>
      <c r="DF2" s="3">
        <f t="shared" si="2"/>
        <v>2113</v>
      </c>
      <c r="DG2" s="3">
        <f t="shared" si="2"/>
        <v>2114</v>
      </c>
      <c r="DH2" s="3">
        <f t="shared" si="2"/>
        <v>2115</v>
      </c>
      <c r="DI2" s="3">
        <f t="shared" si="2"/>
        <v>2116</v>
      </c>
      <c r="DJ2" s="3">
        <f t="shared" si="2"/>
        <v>2117</v>
      </c>
      <c r="DK2" s="3">
        <f t="shared" si="2"/>
        <v>2118</v>
      </c>
      <c r="DL2" s="3">
        <f t="shared" si="2"/>
        <v>2119</v>
      </c>
      <c r="DM2" s="3">
        <f t="shared" si="2"/>
        <v>2120</v>
      </c>
      <c r="DN2" s="3">
        <f t="shared" si="2"/>
        <v>2121</v>
      </c>
      <c r="DO2" s="3">
        <f t="shared" si="2"/>
        <v>2122</v>
      </c>
      <c r="DP2" s="3">
        <f t="shared" si="2"/>
        <v>2123</v>
      </c>
      <c r="DQ2" s="3">
        <f t="shared" si="2"/>
        <v>2124</v>
      </c>
      <c r="DR2" s="3">
        <f t="shared" si="2"/>
        <v>2125</v>
      </c>
      <c r="DS2" s="3">
        <f t="shared" si="2"/>
        <v>2126</v>
      </c>
      <c r="DT2" s="3">
        <f t="shared" si="2"/>
        <v>2127</v>
      </c>
      <c r="DU2" s="3">
        <f t="shared" si="2"/>
        <v>2128</v>
      </c>
      <c r="DV2" s="3">
        <f t="shared" si="2"/>
        <v>2129</v>
      </c>
      <c r="DW2" s="3">
        <f t="shared" si="2"/>
        <v>2130</v>
      </c>
      <c r="DX2" s="3">
        <f t="shared" si="2"/>
        <v>2131</v>
      </c>
      <c r="DY2" s="3">
        <f t="shared" si="2"/>
        <v>2132</v>
      </c>
      <c r="DZ2" s="3">
        <f t="shared" si="2"/>
        <v>2133</v>
      </c>
      <c r="EA2" s="3">
        <f t="shared" si="2"/>
        <v>2134</v>
      </c>
      <c r="EB2" s="3">
        <f t="shared" si="2"/>
        <v>2135</v>
      </c>
      <c r="EC2" s="3">
        <f t="shared" si="2"/>
        <v>2136</v>
      </c>
      <c r="ED2" s="3">
        <f t="shared" si="2"/>
        <v>2137</v>
      </c>
      <c r="EE2" s="3">
        <f t="shared" si="2"/>
        <v>2138</v>
      </c>
      <c r="EF2" s="3">
        <f t="shared" si="2"/>
        <v>2139</v>
      </c>
      <c r="EG2" s="3">
        <f t="shared" si="2"/>
        <v>2140</v>
      </c>
      <c r="EH2" s="3">
        <f t="shared" si="2"/>
        <v>2141</v>
      </c>
      <c r="EI2" s="3">
        <f t="shared" si="2"/>
        <v>2142</v>
      </c>
      <c r="EJ2" s="3">
        <f t="shared" si="2"/>
        <v>2143</v>
      </c>
      <c r="EK2" s="3">
        <f t="shared" si="2"/>
        <v>2144</v>
      </c>
      <c r="EL2" s="3">
        <f t="shared" si="2"/>
        <v>2145</v>
      </c>
      <c r="EM2" s="3">
        <f t="shared" si="2"/>
        <v>2146</v>
      </c>
      <c r="EN2" s="3">
        <f t="shared" si="2"/>
        <v>2147</v>
      </c>
      <c r="EO2" s="3">
        <f t="shared" si="2"/>
        <v>2148</v>
      </c>
      <c r="EP2" s="3">
        <f t="shared" si="2"/>
        <v>2149</v>
      </c>
      <c r="EQ2" s="3">
        <f t="shared" si="2"/>
        <v>2150</v>
      </c>
      <c r="ER2" s="3">
        <f t="shared" si="2"/>
        <v>2151</v>
      </c>
      <c r="ES2" s="3">
        <f t="shared" si="2"/>
        <v>2152</v>
      </c>
      <c r="ET2" s="3">
        <f t="shared" si="2"/>
        <v>2153</v>
      </c>
      <c r="EU2" s="3">
        <f t="shared" si="2"/>
        <v>2154</v>
      </c>
      <c r="EV2" s="3">
        <f t="shared" si="2"/>
        <v>2155</v>
      </c>
      <c r="EW2" s="3">
        <f t="shared" si="2"/>
        <v>2156</v>
      </c>
      <c r="EX2" s="3">
        <f t="shared" si="2"/>
        <v>2157</v>
      </c>
      <c r="EY2" s="3">
        <f t="shared" si="2"/>
        <v>2158</v>
      </c>
      <c r="EZ2" s="3">
        <f t="shared" si="2"/>
        <v>2159</v>
      </c>
      <c r="FA2" s="3">
        <f t="shared" si="2"/>
        <v>2160</v>
      </c>
      <c r="FB2" s="3">
        <f t="shared" si="2"/>
        <v>2161</v>
      </c>
      <c r="FC2" s="3">
        <f t="shared" si="2"/>
        <v>2162</v>
      </c>
      <c r="FD2" s="3">
        <f t="shared" ref="FD2:FZ2" si="3">+FC2+1</f>
        <v>2163</v>
      </c>
      <c r="FE2" s="3">
        <f t="shared" si="3"/>
        <v>2164</v>
      </c>
      <c r="FF2" s="3">
        <f t="shared" si="3"/>
        <v>2165</v>
      </c>
      <c r="FG2" s="3">
        <f t="shared" si="3"/>
        <v>2166</v>
      </c>
      <c r="FH2" s="3">
        <f t="shared" si="3"/>
        <v>2167</v>
      </c>
      <c r="FI2" s="3">
        <f t="shared" si="3"/>
        <v>2168</v>
      </c>
      <c r="FJ2" s="3">
        <f t="shared" si="3"/>
        <v>2169</v>
      </c>
      <c r="FK2" s="3">
        <f t="shared" si="3"/>
        <v>2170</v>
      </c>
      <c r="FL2" s="3">
        <f t="shared" si="3"/>
        <v>2171</v>
      </c>
      <c r="FM2" s="3">
        <f t="shared" si="3"/>
        <v>2172</v>
      </c>
      <c r="FN2" s="3">
        <f t="shared" si="3"/>
        <v>2173</v>
      </c>
      <c r="FO2" s="3">
        <f t="shared" si="3"/>
        <v>2174</v>
      </c>
      <c r="FP2" s="3">
        <f t="shared" si="3"/>
        <v>2175</v>
      </c>
      <c r="FQ2" s="3">
        <f t="shared" si="3"/>
        <v>2176</v>
      </c>
      <c r="FR2" s="3">
        <f t="shared" si="3"/>
        <v>2177</v>
      </c>
      <c r="FS2" s="3">
        <f t="shared" si="3"/>
        <v>2178</v>
      </c>
      <c r="FT2" s="3">
        <f t="shared" si="3"/>
        <v>2179</v>
      </c>
      <c r="FU2" s="3">
        <f t="shared" si="3"/>
        <v>2180</v>
      </c>
      <c r="FV2" s="3">
        <f t="shared" si="3"/>
        <v>2181</v>
      </c>
      <c r="FW2" s="3">
        <f t="shared" si="3"/>
        <v>2182</v>
      </c>
      <c r="FX2" s="3">
        <f t="shared" si="3"/>
        <v>2183</v>
      </c>
      <c r="FY2" s="3">
        <f t="shared" si="3"/>
        <v>2184</v>
      </c>
      <c r="FZ2" s="3">
        <f t="shared" si="3"/>
        <v>2185</v>
      </c>
      <c r="GA2" s="3">
        <f t="shared" ref="GA2:HV2" si="4">+FZ2+1</f>
        <v>2186</v>
      </c>
      <c r="GB2" s="3">
        <f t="shared" si="4"/>
        <v>2187</v>
      </c>
      <c r="GC2" s="3">
        <f t="shared" si="4"/>
        <v>2188</v>
      </c>
      <c r="GD2" s="3">
        <f t="shared" si="4"/>
        <v>2189</v>
      </c>
      <c r="GE2" s="3">
        <f t="shared" si="4"/>
        <v>2190</v>
      </c>
      <c r="GF2" s="3">
        <f t="shared" si="4"/>
        <v>2191</v>
      </c>
      <c r="GG2" s="3">
        <f t="shared" si="4"/>
        <v>2192</v>
      </c>
      <c r="GH2" s="3">
        <f t="shared" si="4"/>
        <v>2193</v>
      </c>
      <c r="GI2" s="3">
        <f t="shared" si="4"/>
        <v>2194</v>
      </c>
      <c r="GJ2" s="3">
        <f t="shared" si="4"/>
        <v>2195</v>
      </c>
      <c r="GK2" s="3">
        <f t="shared" si="4"/>
        <v>2196</v>
      </c>
      <c r="GL2" s="3">
        <f t="shared" si="4"/>
        <v>2197</v>
      </c>
      <c r="GM2" s="3">
        <f t="shared" si="4"/>
        <v>2198</v>
      </c>
      <c r="GN2" s="3">
        <f t="shared" si="4"/>
        <v>2199</v>
      </c>
      <c r="GO2" s="3">
        <f t="shared" si="4"/>
        <v>2200</v>
      </c>
      <c r="GP2" s="3">
        <f t="shared" si="4"/>
        <v>2201</v>
      </c>
      <c r="GQ2" s="3">
        <f t="shared" si="4"/>
        <v>2202</v>
      </c>
      <c r="GR2" s="3">
        <f t="shared" si="4"/>
        <v>2203</v>
      </c>
      <c r="GS2" s="3">
        <f t="shared" si="4"/>
        <v>2204</v>
      </c>
      <c r="GT2" s="3">
        <f t="shared" si="4"/>
        <v>2205</v>
      </c>
      <c r="GU2" s="3">
        <f t="shared" si="4"/>
        <v>2206</v>
      </c>
      <c r="GV2" s="3">
        <f t="shared" si="4"/>
        <v>2207</v>
      </c>
      <c r="GW2" s="3">
        <f t="shared" si="4"/>
        <v>2208</v>
      </c>
      <c r="GX2" s="3">
        <f t="shared" si="4"/>
        <v>2209</v>
      </c>
      <c r="GY2" s="3">
        <f t="shared" si="4"/>
        <v>2210</v>
      </c>
      <c r="GZ2" s="3">
        <f t="shared" si="4"/>
        <v>2211</v>
      </c>
      <c r="HA2" s="3">
        <f t="shared" si="4"/>
        <v>2212</v>
      </c>
      <c r="HB2" s="3">
        <f t="shared" si="4"/>
        <v>2213</v>
      </c>
      <c r="HC2" s="3">
        <f t="shared" si="4"/>
        <v>2214</v>
      </c>
      <c r="HD2" s="3">
        <f t="shared" si="4"/>
        <v>2215</v>
      </c>
      <c r="HE2" s="3">
        <f t="shared" si="4"/>
        <v>2216</v>
      </c>
      <c r="HF2" s="3">
        <f t="shared" si="4"/>
        <v>2217</v>
      </c>
      <c r="HG2" s="3">
        <f t="shared" si="4"/>
        <v>2218</v>
      </c>
      <c r="HH2" s="3">
        <f t="shared" si="4"/>
        <v>2219</v>
      </c>
      <c r="HI2" s="3">
        <f t="shared" si="4"/>
        <v>2220</v>
      </c>
      <c r="HJ2" s="3">
        <f t="shared" si="4"/>
        <v>2221</v>
      </c>
      <c r="HK2" s="3">
        <f t="shared" si="4"/>
        <v>2222</v>
      </c>
      <c r="HL2" s="3">
        <f t="shared" si="4"/>
        <v>2223</v>
      </c>
      <c r="HM2" s="3">
        <f t="shared" si="4"/>
        <v>2224</v>
      </c>
      <c r="HN2" s="3">
        <f t="shared" si="4"/>
        <v>2225</v>
      </c>
      <c r="HO2" s="3">
        <f t="shared" si="4"/>
        <v>2226</v>
      </c>
      <c r="HP2" s="3">
        <f t="shared" si="4"/>
        <v>2227</v>
      </c>
      <c r="HQ2" s="3">
        <f t="shared" si="4"/>
        <v>2228</v>
      </c>
      <c r="HR2" s="3">
        <f t="shared" si="4"/>
        <v>2229</v>
      </c>
      <c r="HS2" s="3">
        <f t="shared" si="4"/>
        <v>2230</v>
      </c>
      <c r="HT2" s="3">
        <f t="shared" si="4"/>
        <v>2231</v>
      </c>
      <c r="HU2" s="3">
        <f t="shared" si="4"/>
        <v>2232</v>
      </c>
      <c r="HV2" s="3">
        <f t="shared" si="4"/>
        <v>2233</v>
      </c>
    </row>
    <row r="3" spans="2:230">
      <c r="B3" s="1" t="s">
        <v>28</v>
      </c>
      <c r="C3" s="1">
        <v>66538</v>
      </c>
      <c r="D3" s="1">
        <v>73688</v>
      </c>
      <c r="E3" s="1">
        <v>74582</v>
      </c>
      <c r="F3" s="1">
        <f>+T3-SUM(C3:E3)</f>
        <v>65394</v>
      </c>
      <c r="G3" s="1">
        <v>71470</v>
      </c>
      <c r="H3" s="1">
        <v>76254</v>
      </c>
      <c r="I3" s="1">
        <v>89212</v>
      </c>
      <c r="J3" s="1">
        <f>+F3*1.2</f>
        <v>78472.800000000003</v>
      </c>
      <c r="P3" s="1">
        <v>156981</v>
      </c>
      <c r="Q3" s="1">
        <v>159707</v>
      </c>
      <c r="R3" s="1">
        <v>187365</v>
      </c>
      <c r="S3" s="1">
        <v>233421</v>
      </c>
      <c r="T3" s="1">
        <v>280202</v>
      </c>
      <c r="U3" s="1">
        <f>+SUM(G3:J3)</f>
        <v>315408.8</v>
      </c>
    </row>
    <row r="4" spans="2:230">
      <c r="B4" s="1" t="s">
        <v>29</v>
      </c>
      <c r="C4" s="1">
        <v>239</v>
      </c>
      <c r="D4" s="1">
        <v>295</v>
      </c>
      <c r="E4" s="1">
        <v>296</v>
      </c>
      <c r="F4" s="1">
        <f t="shared" ref="F4:F16" si="5">+T4-SUM(C4:E4)</f>
        <v>298</v>
      </c>
      <c r="G4" s="1">
        <v>217</v>
      </c>
      <c r="H4" s="1">
        <v>291</v>
      </c>
      <c r="I4" s="1">
        <v>215</v>
      </c>
      <c r="J4" s="1">
        <f>+I4</f>
        <v>215</v>
      </c>
      <c r="P4" s="1">
        <v>1296</v>
      </c>
      <c r="Q4" s="1">
        <v>997</v>
      </c>
      <c r="R4" s="1">
        <v>1890</v>
      </c>
      <c r="S4" s="1">
        <v>2729</v>
      </c>
      <c r="T4" s="1">
        <v>1128</v>
      </c>
      <c r="U4" s="1">
        <f>+SUM(G4:J4)</f>
        <v>938</v>
      </c>
    </row>
    <row r="5" spans="2:230">
      <c r="B5" s="1" t="s">
        <v>13</v>
      </c>
      <c r="C5" s="1">
        <f>+SUM(C3:C4)</f>
        <v>66777</v>
      </c>
      <c r="D5" s="1">
        <f>+SUM(D3:D4)</f>
        <v>73983</v>
      </c>
      <c r="E5" s="1">
        <f>+SUM(E3:E4)</f>
        <v>74878</v>
      </c>
      <c r="F5" s="1">
        <f t="shared" si="5"/>
        <v>65692</v>
      </c>
      <c r="G5" s="1">
        <f>+SUM(G3:G4)</f>
        <v>71687</v>
      </c>
      <c r="H5" s="1">
        <f>+SUM(H3:H4)</f>
        <v>76545</v>
      </c>
      <c r="I5" s="1">
        <f>+SUM(I3:I4)</f>
        <v>89427</v>
      </c>
      <c r="J5" s="1">
        <f>+SUM(J3:J4)</f>
        <v>78687.8</v>
      </c>
      <c r="P5" s="1">
        <f t="shared" ref="P5:S5" si="6">+SUM(P3:P4)</f>
        <v>158277</v>
      </c>
      <c r="Q5" s="1">
        <f t="shared" si="6"/>
        <v>160704</v>
      </c>
      <c r="R5" s="1">
        <f t="shared" si="6"/>
        <v>189255</v>
      </c>
      <c r="S5" s="1">
        <f t="shared" si="6"/>
        <v>236150</v>
      </c>
      <c r="T5" s="1">
        <f>+SUM(T3:T4)</f>
        <v>281330</v>
      </c>
      <c r="U5" s="1">
        <f>+SUM(G5:J5)</f>
        <v>316346.8</v>
      </c>
      <c r="V5" s="1">
        <f>+U5*1.1</f>
        <v>347981.48000000004</v>
      </c>
      <c r="W5" s="1">
        <f t="shared" ref="W5:AD5" si="7">+V5*1.1</f>
        <v>382779.62800000008</v>
      </c>
      <c r="X5" s="1">
        <f t="shared" si="7"/>
        <v>421057.59080000012</v>
      </c>
      <c r="Y5" s="1">
        <f t="shared" si="7"/>
        <v>463163.34988000017</v>
      </c>
      <c r="Z5" s="1">
        <f t="shared" si="7"/>
        <v>509479.68486800021</v>
      </c>
      <c r="AA5" s="1">
        <f t="shared" si="7"/>
        <v>560427.65335480031</v>
      </c>
      <c r="AB5" s="1">
        <f t="shared" si="7"/>
        <v>616470.41869028041</v>
      </c>
      <c r="AC5" s="1">
        <f t="shared" si="7"/>
        <v>678117.46055930853</v>
      </c>
      <c r="AD5" s="1">
        <f t="shared" si="7"/>
        <v>745929.2066152395</v>
      </c>
    </row>
    <row r="6" spans="2:230">
      <c r="B6" s="1" t="s">
        <v>16</v>
      </c>
      <c r="C6" s="1">
        <v>37029</v>
      </c>
      <c r="D6" s="1">
        <v>40940</v>
      </c>
      <c r="E6" s="1">
        <v>40827</v>
      </c>
      <c r="F6" s="1">
        <f t="shared" si="5"/>
        <v>36134</v>
      </c>
      <c r="G6" s="1">
        <v>35101</v>
      </c>
      <c r="H6" s="1">
        <v>35839</v>
      </c>
      <c r="I6" s="1">
        <v>40282</v>
      </c>
      <c r="J6" s="1">
        <f>+J$5*(I6/I$5)</f>
        <v>35444.574452905727</v>
      </c>
      <c r="R6" s="1">
        <v>109365</v>
      </c>
      <c r="S6" s="1">
        <v>143887</v>
      </c>
      <c r="T6" s="1">
        <v>154930</v>
      </c>
      <c r="U6" s="1">
        <f t="shared" ref="U6:U16" si="8">+SUM(G6:J6)</f>
        <v>146666.57445290574</v>
      </c>
      <c r="V6" s="1">
        <f>+V$5*(U6/U$5)</f>
        <v>161333.23189819633</v>
      </c>
      <c r="W6" s="1">
        <f t="shared" ref="W6:AD9" si="9">+W$5*(V6/V$5)</f>
        <v>177466.55508801597</v>
      </c>
      <c r="X6" s="1">
        <f t="shared" si="9"/>
        <v>195213.21059681757</v>
      </c>
      <c r="Y6" s="1">
        <f t="shared" si="9"/>
        <v>214734.53165649937</v>
      </c>
      <c r="Z6" s="1">
        <f t="shared" si="9"/>
        <v>236207.9848221493</v>
      </c>
      <c r="AA6" s="1">
        <f t="shared" si="9"/>
        <v>259828.78330436427</v>
      </c>
      <c r="AB6" s="1">
        <f t="shared" si="9"/>
        <v>285811.66163480072</v>
      </c>
      <c r="AC6" s="1">
        <f t="shared" si="9"/>
        <v>314392.82779828086</v>
      </c>
      <c r="AD6" s="1">
        <f t="shared" si="9"/>
        <v>345832.11057810904</v>
      </c>
    </row>
    <row r="7" spans="2:230">
      <c r="B7" s="1" t="s">
        <v>17</v>
      </c>
      <c r="C7" s="1">
        <v>5756</v>
      </c>
      <c r="D7" s="1">
        <v>5912</v>
      </c>
      <c r="E7" s="1">
        <v>5896</v>
      </c>
      <c r="F7" s="1">
        <f t="shared" si="5"/>
        <v>5969</v>
      </c>
      <c r="G7" s="1">
        <v>5979</v>
      </c>
      <c r="H7" s="1">
        <v>5884</v>
      </c>
      <c r="I7" s="1">
        <v>6032</v>
      </c>
      <c r="J7" s="1">
        <f>+J$5*(I7/I$5)</f>
        <v>5307.6230847506904</v>
      </c>
      <c r="R7" s="1">
        <v>20630</v>
      </c>
      <c r="S7" s="1">
        <v>21921</v>
      </c>
      <c r="T7" s="1">
        <v>23533</v>
      </c>
      <c r="U7" s="1">
        <f t="shared" si="8"/>
        <v>23202.623084750689</v>
      </c>
      <c r="V7" s="1">
        <f>+V$5*(U7/U$5)</f>
        <v>25522.885393225763</v>
      </c>
      <c r="W7" s="1">
        <f t="shared" si="9"/>
        <v>28075.173932548343</v>
      </c>
      <c r="X7" s="1">
        <f t="shared" si="9"/>
        <v>30882.691325803178</v>
      </c>
      <c r="Y7" s="1">
        <f t="shared" si="9"/>
        <v>33970.960458383503</v>
      </c>
      <c r="Z7" s="1">
        <f t="shared" si="9"/>
        <v>37368.056504221851</v>
      </c>
      <c r="AA7" s="1">
        <f t="shared" si="9"/>
        <v>41104.862154644041</v>
      </c>
      <c r="AB7" s="1">
        <f t="shared" si="9"/>
        <v>45215.348370108455</v>
      </c>
      <c r="AC7" s="1">
        <f t="shared" si="9"/>
        <v>49736.883207119303</v>
      </c>
      <c r="AD7" s="1">
        <f t="shared" si="9"/>
        <v>54710.571527831242</v>
      </c>
    </row>
    <row r="8" spans="2:230">
      <c r="B8" s="1" t="s">
        <v>18</v>
      </c>
      <c r="C8" s="1">
        <f>+C5-SUM(C6:C7)</f>
        <v>23992</v>
      </c>
      <c r="D8" s="1">
        <f>+D5-SUM(D6:D7)</f>
        <v>27131</v>
      </c>
      <c r="E8" s="1">
        <f>+E5-SUM(E6:E7)</f>
        <v>28155</v>
      </c>
      <c r="F8" s="1">
        <f t="shared" si="5"/>
        <v>23589</v>
      </c>
      <c r="G8" s="1">
        <f>+G5-SUM(G6:G7)</f>
        <v>30607</v>
      </c>
      <c r="H8" s="1">
        <f>+H5-SUM(H6:H7)</f>
        <v>34822</v>
      </c>
      <c r="I8" s="1">
        <f>+I5-SUM(I6:I7)</f>
        <v>43113</v>
      </c>
      <c r="J8" s="1">
        <f>+J5-SUM(J6:J7)</f>
        <v>37935.602462343588</v>
      </c>
      <c r="R8" s="1">
        <f>+R5-SUM(R6:R7)</f>
        <v>59260</v>
      </c>
      <c r="S8" s="1">
        <f>+S5-SUM(S6:S7)</f>
        <v>70342</v>
      </c>
      <c r="T8" s="1">
        <f>+T5-SUM(T6:T7)</f>
        <v>102867</v>
      </c>
      <c r="U8" s="1">
        <f t="shared" si="8"/>
        <v>146477.60246234358</v>
      </c>
      <c r="V8" s="1">
        <f>+V5-SUM(V6:V7)</f>
        <v>161125.36270857794</v>
      </c>
      <c r="W8" s="1">
        <f t="shared" ref="W8:AD8" si="10">+W5-SUM(W6:W7)</f>
        <v>177237.89897943576</v>
      </c>
      <c r="X8" s="1">
        <f t="shared" si="10"/>
        <v>194961.68887737938</v>
      </c>
      <c r="Y8" s="1">
        <f t="shared" si="10"/>
        <v>214457.85776511731</v>
      </c>
      <c r="Z8" s="1">
        <f t="shared" si="10"/>
        <v>235903.64354162908</v>
      </c>
      <c r="AA8" s="1">
        <f t="shared" si="10"/>
        <v>259494.00789579202</v>
      </c>
      <c r="AB8" s="1">
        <f t="shared" si="10"/>
        <v>285443.40868537122</v>
      </c>
      <c r="AC8" s="1">
        <f t="shared" si="10"/>
        <v>313987.74955390836</v>
      </c>
      <c r="AD8" s="1">
        <f t="shared" si="10"/>
        <v>345386.5245092992</v>
      </c>
    </row>
    <row r="9" spans="2:230">
      <c r="B9" s="1" t="s">
        <v>19</v>
      </c>
      <c r="C9" s="1">
        <v>4152</v>
      </c>
      <c r="D9" s="1">
        <v>4319</v>
      </c>
      <c r="E9" s="1">
        <v>4355</v>
      </c>
      <c r="F9" s="1">
        <f t="shared" si="5"/>
        <v>4619</v>
      </c>
      <c r="G9" s="1">
        <v>4848</v>
      </c>
      <c r="H9" s="1">
        <v>4882</v>
      </c>
      <c r="I9" s="1">
        <v>4976</v>
      </c>
      <c r="J9" s="1">
        <f>+J$5*(I9/I$5)</f>
        <v>4378.4370805237795</v>
      </c>
      <c r="R9" s="1">
        <v>12843</v>
      </c>
      <c r="S9" s="1">
        <v>15559</v>
      </c>
      <c r="T9" s="1">
        <v>17445</v>
      </c>
      <c r="U9" s="1">
        <f t="shared" si="8"/>
        <v>19084.437080523778</v>
      </c>
      <c r="V9" s="1">
        <f>+V$5*(U9/U$5)</f>
        <v>20992.880788576156</v>
      </c>
      <c r="W9" s="1">
        <f t="shared" si="9"/>
        <v>23092.168867433775</v>
      </c>
      <c r="X9" s="1">
        <f t="shared" si="9"/>
        <v>25401.385754177154</v>
      </c>
      <c r="Y9" s="1">
        <f t="shared" si="9"/>
        <v>27941.524329594871</v>
      </c>
      <c r="Z9" s="1">
        <f t="shared" si="9"/>
        <v>30735.676762554362</v>
      </c>
      <c r="AA9" s="1">
        <f t="shared" si="9"/>
        <v>33809.244438809801</v>
      </c>
      <c r="AB9" s="1">
        <f t="shared" si="9"/>
        <v>37190.168882690785</v>
      </c>
      <c r="AC9" s="1">
        <f t="shared" si="9"/>
        <v>40909.18577095987</v>
      </c>
      <c r="AD9" s="1">
        <f t="shared" si="9"/>
        <v>45000.104348055866</v>
      </c>
    </row>
    <row r="10" spans="2:230">
      <c r="B10" s="1" t="s">
        <v>20</v>
      </c>
      <c r="C10" s="1">
        <f>+C8-C9</f>
        <v>19840</v>
      </c>
      <c r="D10" s="1">
        <f>+D8-D9</f>
        <v>22812</v>
      </c>
      <c r="E10" s="1">
        <f>+E8-E9</f>
        <v>23800</v>
      </c>
      <c r="F10" s="1">
        <f t="shared" si="5"/>
        <v>18970</v>
      </c>
      <c r="G10" s="1">
        <f>+G8-G9</f>
        <v>25759</v>
      </c>
      <c r="H10" s="1">
        <f>+H8-H9</f>
        <v>29940</v>
      </c>
      <c r="I10" s="1">
        <f>+I8-I9</f>
        <v>38137</v>
      </c>
      <c r="J10" s="1">
        <f>+J8-J9</f>
        <v>33557.16538181981</v>
      </c>
      <c r="R10" s="1">
        <f>+R8-R9</f>
        <v>46417</v>
      </c>
      <c r="S10" s="1">
        <f>+S8-S9</f>
        <v>54783</v>
      </c>
      <c r="T10" s="1">
        <f>+T8-T9</f>
        <v>85422</v>
      </c>
      <c r="U10" s="1">
        <f t="shared" si="8"/>
        <v>127393.16538181981</v>
      </c>
      <c r="V10" s="1">
        <f>+V8-V9</f>
        <v>140132.4819200018</v>
      </c>
      <c r="W10" s="1">
        <f t="shared" ref="W10:AD10" si="11">+W8-W9</f>
        <v>154145.730112002</v>
      </c>
      <c r="X10" s="1">
        <f t="shared" si="11"/>
        <v>169560.30312320223</v>
      </c>
      <c r="Y10" s="1">
        <f t="shared" si="11"/>
        <v>186516.33343552245</v>
      </c>
      <c r="Z10" s="1">
        <f t="shared" si="11"/>
        <v>205167.96677907472</v>
      </c>
      <c r="AA10" s="1">
        <f t="shared" si="11"/>
        <v>225684.76345698221</v>
      </c>
      <c r="AB10" s="1">
        <f t="shared" si="11"/>
        <v>248253.23980268044</v>
      </c>
      <c r="AC10" s="1">
        <f t="shared" si="11"/>
        <v>273078.56378294848</v>
      </c>
      <c r="AD10" s="1">
        <f t="shared" si="11"/>
        <v>300386.42016124335</v>
      </c>
    </row>
    <row r="11" spans="2:230">
      <c r="B11" s="1" t="s">
        <v>21</v>
      </c>
      <c r="C11" s="1">
        <v>-1507</v>
      </c>
      <c r="D11" s="1">
        <v>-1825</v>
      </c>
      <c r="E11" s="1">
        <v>-2197</v>
      </c>
      <c r="F11" s="1">
        <f t="shared" si="5"/>
        <v>-2411</v>
      </c>
      <c r="G11" s="1">
        <v>-2540</v>
      </c>
      <c r="H11" s="1">
        <v>-2786</v>
      </c>
      <c r="I11" s="1">
        <v>-3061</v>
      </c>
      <c r="J11" s="1">
        <f>+J10*(I11/I10)</f>
        <v>-2693.4075368736512</v>
      </c>
      <c r="R11" s="1">
        <v>-101</v>
      </c>
      <c r="S11" s="1">
        <v>-1779</v>
      </c>
      <c r="T11" s="1">
        <v>-7940</v>
      </c>
      <c r="U11" s="1">
        <f t="shared" si="8"/>
        <v>-11080.407536873652</v>
      </c>
      <c r="V11" s="1">
        <f>+V10*(U11/U10)</f>
        <v>-12188.448290561018</v>
      </c>
      <c r="W11" s="1">
        <f t="shared" ref="W11:AD11" si="12">+W10*(V11/V10)</f>
        <v>-13407.293119617121</v>
      </c>
      <c r="X11" s="1">
        <f t="shared" si="12"/>
        <v>-14748.022431578836</v>
      </c>
      <c r="Y11" s="1">
        <f t="shared" si="12"/>
        <v>-16222.824674736721</v>
      </c>
      <c r="Z11" s="1">
        <f t="shared" si="12"/>
        <v>-17845.107142210396</v>
      </c>
      <c r="AA11" s="1">
        <f t="shared" si="12"/>
        <v>-19629.61785643144</v>
      </c>
      <c r="AB11" s="1">
        <f t="shared" si="12"/>
        <v>-21592.579642074583</v>
      </c>
      <c r="AC11" s="1">
        <f t="shared" si="12"/>
        <v>-23751.837606282043</v>
      </c>
      <c r="AD11" s="1">
        <f t="shared" si="12"/>
        <v>-26127.021366910249</v>
      </c>
    </row>
    <row r="12" spans="2:230">
      <c r="B12" s="1" t="s">
        <v>22</v>
      </c>
      <c r="C12" s="1">
        <f>+C10-C11</f>
        <v>21347</v>
      </c>
      <c r="D12" s="1">
        <f>+D10-D11</f>
        <v>24637</v>
      </c>
      <c r="E12" s="1">
        <f>+E10-E11</f>
        <v>25997</v>
      </c>
      <c r="F12" s="1">
        <f t="shared" si="5"/>
        <v>21381</v>
      </c>
      <c r="G12" s="1">
        <f>+G10-G11</f>
        <v>28299</v>
      </c>
      <c r="H12" s="1">
        <f>+H10-H11</f>
        <v>32726</v>
      </c>
      <c r="I12" s="1">
        <f>+I10-I11</f>
        <v>41198</v>
      </c>
      <c r="J12" s="1">
        <f>+J10-J11</f>
        <v>36250.572918693462</v>
      </c>
      <c r="R12" s="1">
        <f>+R10-R11</f>
        <v>46518</v>
      </c>
      <c r="S12" s="1">
        <f>+S10-S11</f>
        <v>56562</v>
      </c>
      <c r="T12" s="1">
        <f>+T10-T11</f>
        <v>93362</v>
      </c>
      <c r="U12" s="1">
        <f t="shared" si="8"/>
        <v>138473.57291869348</v>
      </c>
      <c r="V12" s="1">
        <f>+V10-V11</f>
        <v>152320.9302105628</v>
      </c>
      <c r="W12" s="1">
        <f t="shared" ref="W12:AD12" si="13">+W10-W11</f>
        <v>167553.02323161912</v>
      </c>
      <c r="X12" s="1">
        <f t="shared" si="13"/>
        <v>184308.32555478107</v>
      </c>
      <c r="Y12" s="1">
        <f t="shared" si="13"/>
        <v>202739.15811025916</v>
      </c>
      <c r="Z12" s="1">
        <f t="shared" si="13"/>
        <v>223013.0739212851</v>
      </c>
      <c r="AA12" s="1">
        <f t="shared" si="13"/>
        <v>245314.38131341364</v>
      </c>
      <c r="AB12" s="1">
        <f t="shared" si="13"/>
        <v>269845.81944475503</v>
      </c>
      <c r="AC12" s="1">
        <f t="shared" si="13"/>
        <v>296830.40138923051</v>
      </c>
      <c r="AD12" s="1">
        <f t="shared" si="13"/>
        <v>326513.44152815361</v>
      </c>
    </row>
    <row r="13" spans="2:230">
      <c r="B13" s="1" t="s">
        <v>23</v>
      </c>
      <c r="C13" s="1">
        <v>4243</v>
      </c>
      <c r="D13" s="1">
        <v>4925</v>
      </c>
      <c r="E13" s="1">
        <v>5264</v>
      </c>
      <c r="F13" s="1">
        <f t="shared" si="5"/>
        <v>4381</v>
      </c>
      <c r="G13" s="1">
        <v>5860</v>
      </c>
      <c r="H13" s="1">
        <v>6669</v>
      </c>
      <c r="I13" s="1">
        <v>7845</v>
      </c>
      <c r="J13" s="1">
        <f>+J12*(I13/I12)</f>
        <v>6902.9017075379925</v>
      </c>
      <c r="R13" s="1">
        <v>9473</v>
      </c>
      <c r="S13" s="1">
        <v>11133</v>
      </c>
      <c r="T13" s="1">
        <v>18813</v>
      </c>
      <c r="U13" s="1">
        <f t="shared" si="8"/>
        <v>27276.901707537992</v>
      </c>
      <c r="V13" s="1">
        <f>+V12*(U13/U12)</f>
        <v>30004.591878291791</v>
      </c>
      <c r="W13" s="1">
        <f t="shared" ref="W13:AD13" si="14">+W12*(V13/V12)</f>
        <v>33005.051066120977</v>
      </c>
      <c r="X13" s="1">
        <f t="shared" si="14"/>
        <v>36305.556172733079</v>
      </c>
      <c r="Y13" s="1">
        <f t="shared" si="14"/>
        <v>39936.111790006384</v>
      </c>
      <c r="Z13" s="1">
        <f t="shared" si="14"/>
        <v>43929.722969007031</v>
      </c>
      <c r="AA13" s="1">
        <f t="shared" si="14"/>
        <v>48322.695265907736</v>
      </c>
      <c r="AB13" s="1">
        <f t="shared" si="14"/>
        <v>53154.964792498518</v>
      </c>
      <c r="AC13" s="1">
        <f t="shared" si="14"/>
        <v>58470.461271748361</v>
      </c>
      <c r="AD13" s="1">
        <f t="shared" si="14"/>
        <v>64317.507398923211</v>
      </c>
    </row>
    <row r="14" spans="2:230">
      <c r="B14" s="1" t="s">
        <v>24</v>
      </c>
      <c r="C14" s="1">
        <f>+C12-C13</f>
        <v>17104</v>
      </c>
      <c r="D14" s="1">
        <f>+D12-D13</f>
        <v>19712</v>
      </c>
      <c r="E14" s="1">
        <f>+E12-E13</f>
        <v>20733</v>
      </c>
      <c r="F14" s="1">
        <f t="shared" si="5"/>
        <v>17000</v>
      </c>
      <c r="G14" s="1">
        <f>+G12-G13</f>
        <v>22439</v>
      </c>
      <c r="H14" s="1">
        <f>+H12-H13</f>
        <v>26057</v>
      </c>
      <c r="I14" s="1">
        <f>+I12-I13</f>
        <v>33353</v>
      </c>
      <c r="J14" s="1">
        <f>+J12-J13</f>
        <v>29347.67121115547</v>
      </c>
      <c r="R14" s="1">
        <f>+R12-R13</f>
        <v>37045</v>
      </c>
      <c r="S14" s="1">
        <f>+S12-S13</f>
        <v>45429</v>
      </c>
      <c r="T14" s="1">
        <f>+T12-T13</f>
        <v>74549</v>
      </c>
      <c r="U14" s="1">
        <f t="shared" si="8"/>
        <v>111196.67121115547</v>
      </c>
      <c r="V14" s="1">
        <f>+V12-V13</f>
        <v>122316.33833227101</v>
      </c>
      <c r="W14" s="1">
        <f t="shared" ref="W14:AD14" si="15">+W12-W13</f>
        <v>134547.97216549815</v>
      </c>
      <c r="X14" s="1">
        <f t="shared" si="15"/>
        <v>148002.76938204799</v>
      </c>
      <c r="Y14" s="1">
        <f t="shared" si="15"/>
        <v>162803.04632025276</v>
      </c>
      <c r="Z14" s="1">
        <f t="shared" si="15"/>
        <v>179083.35095227807</v>
      </c>
      <c r="AA14" s="1">
        <f t="shared" si="15"/>
        <v>196991.68604750591</v>
      </c>
      <c r="AB14" s="1">
        <f t="shared" si="15"/>
        <v>216690.85465225653</v>
      </c>
      <c r="AC14" s="1">
        <f t="shared" si="15"/>
        <v>238359.94011748215</v>
      </c>
      <c r="AD14" s="1">
        <f t="shared" si="15"/>
        <v>262195.93412923039</v>
      </c>
      <c r="AE14" s="1">
        <f t="shared" ref="AE14:BJ14" si="16">+AD14*(1+$AG$19)</f>
        <v>264817.89347052271</v>
      </c>
      <c r="AF14" s="1">
        <f t="shared" si="16"/>
        <v>267466.07240522793</v>
      </c>
      <c r="AG14" s="1">
        <f t="shared" si="16"/>
        <v>270140.73312928021</v>
      </c>
      <c r="AH14" s="1">
        <f t="shared" si="16"/>
        <v>272842.14046057302</v>
      </c>
      <c r="AI14" s="1">
        <f t="shared" si="16"/>
        <v>275570.56186517875</v>
      </c>
      <c r="AJ14" s="1">
        <f t="shared" si="16"/>
        <v>278326.26748383057</v>
      </c>
      <c r="AK14" s="1">
        <f t="shared" si="16"/>
        <v>281109.53015866887</v>
      </c>
      <c r="AL14" s="1">
        <f t="shared" si="16"/>
        <v>283920.62546025554</v>
      </c>
      <c r="AM14" s="1">
        <f t="shared" si="16"/>
        <v>286759.83171485813</v>
      </c>
      <c r="AN14" s="1">
        <f t="shared" si="16"/>
        <v>289627.4300320067</v>
      </c>
      <c r="AO14" s="1">
        <f t="shared" si="16"/>
        <v>292523.70433232677</v>
      </c>
      <c r="AP14" s="1">
        <f t="shared" si="16"/>
        <v>295448.94137565006</v>
      </c>
      <c r="AQ14" s="1">
        <f t="shared" si="16"/>
        <v>298403.43078940659</v>
      </c>
      <c r="AR14" s="1">
        <f t="shared" si="16"/>
        <v>301387.46509730065</v>
      </c>
      <c r="AS14" s="1">
        <f t="shared" si="16"/>
        <v>304401.33974827366</v>
      </c>
      <c r="AT14" s="1">
        <f t="shared" si="16"/>
        <v>307445.35314575641</v>
      </c>
      <c r="AU14" s="1">
        <f t="shared" si="16"/>
        <v>310519.80667721399</v>
      </c>
      <c r="AV14" s="1">
        <f t="shared" si="16"/>
        <v>313625.00474398612</v>
      </c>
      <c r="AW14" s="1">
        <f t="shared" si="16"/>
        <v>316761.25479142601</v>
      </c>
      <c r="AX14" s="1">
        <f t="shared" si="16"/>
        <v>319928.86733934027</v>
      </c>
      <c r="AY14" s="1">
        <f t="shared" si="16"/>
        <v>323128.1560127337</v>
      </c>
      <c r="AZ14" s="1">
        <f t="shared" si="16"/>
        <v>326359.43757286103</v>
      </c>
      <c r="BA14" s="1">
        <f t="shared" si="16"/>
        <v>329623.03194858966</v>
      </c>
      <c r="BB14" s="1">
        <f t="shared" si="16"/>
        <v>332919.26226807554</v>
      </c>
      <c r="BC14" s="1">
        <f t="shared" si="16"/>
        <v>336248.45489075629</v>
      </c>
      <c r="BD14" s="1">
        <f t="shared" si="16"/>
        <v>339610.93943966384</v>
      </c>
      <c r="BE14" s="1">
        <f t="shared" si="16"/>
        <v>343007.04883406049</v>
      </c>
      <c r="BF14" s="1">
        <f t="shared" si="16"/>
        <v>346437.11932240112</v>
      </c>
      <c r="BG14" s="1">
        <f t="shared" si="16"/>
        <v>349901.49051562516</v>
      </c>
      <c r="BH14" s="1">
        <f t="shared" si="16"/>
        <v>353400.50542078144</v>
      </c>
      <c r="BI14" s="1">
        <f t="shared" si="16"/>
        <v>356934.51047498925</v>
      </c>
      <c r="BJ14" s="1">
        <f t="shared" si="16"/>
        <v>360503.85557973915</v>
      </c>
      <c r="BK14" s="1">
        <f t="shared" ref="BK14:CP14" si="17">+BJ14*(1+$AG$19)</f>
        <v>364108.89413553657</v>
      </c>
      <c r="BL14" s="1">
        <f t="shared" si="17"/>
        <v>367749.98307689192</v>
      </c>
      <c r="BM14" s="1">
        <f t="shared" si="17"/>
        <v>371427.48290766083</v>
      </c>
      <c r="BN14" s="1">
        <f t="shared" si="17"/>
        <v>375141.75773673743</v>
      </c>
      <c r="BO14" s="1">
        <f t="shared" si="17"/>
        <v>378893.17531410482</v>
      </c>
      <c r="BP14" s="1">
        <f t="shared" si="17"/>
        <v>382682.10706724587</v>
      </c>
      <c r="BQ14" s="1">
        <f t="shared" si="17"/>
        <v>386508.92813791835</v>
      </c>
      <c r="BR14" s="1">
        <f t="shared" si="17"/>
        <v>390374.01741929754</v>
      </c>
      <c r="BS14" s="1">
        <f t="shared" si="17"/>
        <v>394277.75759349053</v>
      </c>
      <c r="BT14" s="1">
        <f t="shared" si="17"/>
        <v>398220.53516942542</v>
      </c>
      <c r="BU14" s="1">
        <f t="shared" si="17"/>
        <v>402202.74052111967</v>
      </c>
      <c r="BV14" s="1">
        <f t="shared" si="17"/>
        <v>406224.76792633085</v>
      </c>
      <c r="BW14" s="1">
        <f t="shared" si="17"/>
        <v>410287.01560559415</v>
      </c>
      <c r="BX14" s="1">
        <f t="shared" si="17"/>
        <v>414389.8857616501</v>
      </c>
      <c r="BY14" s="1">
        <f t="shared" si="17"/>
        <v>418533.78461926663</v>
      </c>
      <c r="BZ14" s="1">
        <f t="shared" si="17"/>
        <v>422719.12246545928</v>
      </c>
      <c r="CA14" s="1">
        <f t="shared" si="17"/>
        <v>426946.31369011389</v>
      </c>
      <c r="CB14" s="1">
        <f t="shared" si="17"/>
        <v>431215.77682701504</v>
      </c>
      <c r="CC14" s="1">
        <f t="shared" si="17"/>
        <v>435527.93459528522</v>
      </c>
      <c r="CD14" s="1">
        <f t="shared" si="17"/>
        <v>439883.21394123806</v>
      </c>
      <c r="CE14" s="1">
        <f t="shared" si="17"/>
        <v>444282.04608065047</v>
      </c>
      <c r="CF14" s="1">
        <f t="shared" si="17"/>
        <v>448724.86654145696</v>
      </c>
      <c r="CG14" s="1">
        <f t="shared" si="17"/>
        <v>453212.11520687153</v>
      </c>
      <c r="CH14" s="1">
        <f t="shared" si="17"/>
        <v>457744.23635894025</v>
      </c>
      <c r="CI14" s="1">
        <f t="shared" si="17"/>
        <v>462321.67872252967</v>
      </c>
      <c r="CJ14" s="1">
        <f t="shared" si="17"/>
        <v>466944.89550975495</v>
      </c>
      <c r="CK14" s="1">
        <f t="shared" si="17"/>
        <v>471614.34446485247</v>
      </c>
      <c r="CL14" s="1">
        <f t="shared" si="17"/>
        <v>476330.48790950101</v>
      </c>
      <c r="CM14" s="1">
        <f t="shared" si="17"/>
        <v>481093.79278859601</v>
      </c>
      <c r="CN14" s="1">
        <f t="shared" si="17"/>
        <v>485904.73071648198</v>
      </c>
      <c r="CO14" s="1">
        <f t="shared" si="17"/>
        <v>490763.7780236468</v>
      </c>
      <c r="CP14" s="1">
        <f t="shared" si="17"/>
        <v>495671.41580388328</v>
      </c>
      <c r="CQ14" s="1">
        <f t="shared" ref="CQ14:DV14" si="18">+CP14*(1+$AG$19)</f>
        <v>500628.12996192212</v>
      </c>
      <c r="CR14" s="1">
        <f t="shared" si="18"/>
        <v>505634.41126154136</v>
      </c>
      <c r="CS14" s="1">
        <f t="shared" si="18"/>
        <v>510690.75537415675</v>
      </c>
      <c r="CT14" s="1">
        <f t="shared" si="18"/>
        <v>515797.66292789835</v>
      </c>
      <c r="CU14" s="1">
        <f t="shared" si="18"/>
        <v>520955.63955717732</v>
      </c>
      <c r="CV14" s="1">
        <f t="shared" si="18"/>
        <v>526165.19595274911</v>
      </c>
      <c r="CW14" s="1">
        <f t="shared" si="18"/>
        <v>531426.84791227663</v>
      </c>
      <c r="CX14" s="1">
        <f t="shared" si="18"/>
        <v>536741.11639139941</v>
      </c>
      <c r="CY14" s="1">
        <f t="shared" si="18"/>
        <v>542108.52755531343</v>
      </c>
      <c r="CZ14" s="1">
        <f t="shared" si="18"/>
        <v>547529.61283086659</v>
      </c>
      <c r="DA14" s="1">
        <f t="shared" si="18"/>
        <v>553004.90895917523</v>
      </c>
      <c r="DB14" s="1">
        <f t="shared" si="18"/>
        <v>558534.95804876694</v>
      </c>
      <c r="DC14" s="1">
        <f t="shared" si="18"/>
        <v>564120.30762925465</v>
      </c>
      <c r="DD14" s="1">
        <f t="shared" si="18"/>
        <v>569761.51070554717</v>
      </c>
      <c r="DE14" s="1">
        <f t="shared" si="18"/>
        <v>575459.1258126027</v>
      </c>
      <c r="DF14" s="1">
        <f t="shared" si="18"/>
        <v>581213.71707072877</v>
      </c>
      <c r="DG14" s="1">
        <f t="shared" si="18"/>
        <v>587025.85424143611</v>
      </c>
      <c r="DH14" s="1">
        <f t="shared" si="18"/>
        <v>592896.11278385052</v>
      </c>
      <c r="DI14" s="1">
        <f t="shared" si="18"/>
        <v>598825.07391168899</v>
      </c>
      <c r="DJ14" s="1">
        <f t="shared" si="18"/>
        <v>604813.32465080591</v>
      </c>
      <c r="DK14" s="1">
        <f t="shared" si="18"/>
        <v>610861.45789731399</v>
      </c>
      <c r="DL14" s="1">
        <f t="shared" si="18"/>
        <v>616970.07247628714</v>
      </c>
      <c r="DM14" s="1">
        <f t="shared" si="18"/>
        <v>623139.77320105</v>
      </c>
      <c r="DN14" s="1">
        <f t="shared" si="18"/>
        <v>629371.17093306046</v>
      </c>
      <c r="DO14" s="1">
        <f t="shared" si="18"/>
        <v>635664.88264239102</v>
      </c>
      <c r="DP14" s="1">
        <f t="shared" si="18"/>
        <v>642021.53146881494</v>
      </c>
      <c r="DQ14" s="1">
        <f t="shared" si="18"/>
        <v>648441.7467835031</v>
      </c>
      <c r="DR14" s="1">
        <f t="shared" si="18"/>
        <v>654926.16425133811</v>
      </c>
      <c r="DS14" s="1">
        <f t="shared" si="18"/>
        <v>661475.42589385144</v>
      </c>
      <c r="DT14" s="1">
        <f t="shared" si="18"/>
        <v>668090.18015278992</v>
      </c>
      <c r="DU14" s="1">
        <f t="shared" si="18"/>
        <v>674771.08195431787</v>
      </c>
      <c r="DV14" s="1">
        <f t="shared" si="18"/>
        <v>681518.79277386109</v>
      </c>
      <c r="DW14" s="1">
        <f t="shared" ref="DW14:FB14" si="19">+DV14*(1+$AG$19)</f>
        <v>688333.98070159974</v>
      </c>
      <c r="DX14" s="1">
        <f t="shared" si="19"/>
        <v>695217.3205086157</v>
      </c>
      <c r="DY14" s="1">
        <f t="shared" si="19"/>
        <v>702169.49371370184</v>
      </c>
      <c r="DZ14" s="1">
        <f t="shared" si="19"/>
        <v>709191.18865083891</v>
      </c>
      <c r="EA14" s="1">
        <f t="shared" si="19"/>
        <v>716283.10053734726</v>
      </c>
      <c r="EB14" s="1">
        <f t="shared" si="19"/>
        <v>723445.93154272076</v>
      </c>
      <c r="EC14" s="1">
        <f t="shared" si="19"/>
        <v>730680.39085814799</v>
      </c>
      <c r="ED14" s="1">
        <f t="shared" si="19"/>
        <v>737987.19476672949</v>
      </c>
      <c r="EE14" s="1">
        <f t="shared" si="19"/>
        <v>745367.06671439682</v>
      </c>
      <c r="EF14" s="1">
        <f t="shared" si="19"/>
        <v>752820.73738154082</v>
      </c>
      <c r="EG14" s="1">
        <f t="shared" si="19"/>
        <v>760348.94475535629</v>
      </c>
      <c r="EH14" s="1">
        <f t="shared" si="19"/>
        <v>767952.43420290982</v>
      </c>
      <c r="EI14" s="1">
        <f t="shared" si="19"/>
        <v>775631.95854493894</v>
      </c>
      <c r="EJ14" s="1">
        <f t="shared" si="19"/>
        <v>783388.27813038835</v>
      </c>
      <c r="EK14" s="1">
        <f t="shared" si="19"/>
        <v>791222.16091169219</v>
      </c>
      <c r="EL14" s="1">
        <f t="shared" si="19"/>
        <v>799134.38252080907</v>
      </c>
      <c r="EM14" s="1">
        <f t="shared" si="19"/>
        <v>807125.72634601721</v>
      </c>
      <c r="EN14" s="1">
        <f t="shared" si="19"/>
        <v>815196.98360947741</v>
      </c>
      <c r="EO14" s="1">
        <f t="shared" si="19"/>
        <v>823348.95344557217</v>
      </c>
      <c r="EP14" s="1">
        <f t="shared" si="19"/>
        <v>831582.44298002787</v>
      </c>
      <c r="EQ14" s="1">
        <f t="shared" si="19"/>
        <v>839898.26740982814</v>
      </c>
      <c r="ER14" s="1">
        <f t="shared" si="19"/>
        <v>848297.25008392648</v>
      </c>
      <c r="ES14" s="1">
        <f t="shared" si="19"/>
        <v>856780.22258476575</v>
      </c>
      <c r="ET14" s="1">
        <f t="shared" si="19"/>
        <v>865348.02481061337</v>
      </c>
      <c r="EU14" s="1">
        <f t="shared" si="19"/>
        <v>874001.50505871954</v>
      </c>
      <c r="EV14" s="1">
        <f t="shared" si="19"/>
        <v>882741.52010930679</v>
      </c>
      <c r="EW14" s="1">
        <f t="shared" si="19"/>
        <v>891568.93531039986</v>
      </c>
      <c r="EX14" s="1">
        <f t="shared" si="19"/>
        <v>900484.62466350384</v>
      </c>
      <c r="EY14" s="1">
        <f t="shared" si="19"/>
        <v>909489.47091013892</v>
      </c>
      <c r="EZ14" s="1">
        <f t="shared" si="19"/>
        <v>918584.36561924033</v>
      </c>
      <c r="FA14" s="1">
        <f t="shared" si="19"/>
        <v>927770.20927543275</v>
      </c>
      <c r="FB14" s="1">
        <f t="shared" si="19"/>
        <v>937047.91136818705</v>
      </c>
      <c r="FC14" s="1">
        <f t="shared" ref="FC14:GH14" si="20">+FB14*(1+$AG$19)</f>
        <v>946418.39048186888</v>
      </c>
      <c r="FD14" s="1">
        <f t="shared" si="20"/>
        <v>955882.5743866876</v>
      </c>
      <c r="FE14" s="1">
        <f t="shared" si="20"/>
        <v>965441.40013055445</v>
      </c>
      <c r="FF14" s="1">
        <f t="shared" si="20"/>
        <v>975095.81413186004</v>
      </c>
      <c r="FG14" s="1">
        <f t="shared" si="20"/>
        <v>984846.77227317868</v>
      </c>
      <c r="FH14" s="1">
        <f t="shared" si="20"/>
        <v>994695.23999591044</v>
      </c>
      <c r="FI14" s="1">
        <f t="shared" si="20"/>
        <v>1004642.1923958695</v>
      </c>
      <c r="FJ14" s="1">
        <f t="shared" si="20"/>
        <v>1014688.6143198282</v>
      </c>
      <c r="FK14" s="1">
        <f t="shared" si="20"/>
        <v>1024835.5004630265</v>
      </c>
      <c r="FL14" s="1">
        <f t="shared" si="20"/>
        <v>1035083.8554676567</v>
      </c>
      <c r="FM14" s="1">
        <f t="shared" si="20"/>
        <v>1045434.6940223334</v>
      </c>
      <c r="FN14" s="1">
        <f t="shared" si="20"/>
        <v>1055889.0409625566</v>
      </c>
      <c r="FO14" s="1">
        <f t="shared" si="20"/>
        <v>1066447.9313721822</v>
      </c>
      <c r="FP14" s="1">
        <f t="shared" si="20"/>
        <v>1077112.4106859041</v>
      </c>
      <c r="FQ14" s="1">
        <f t="shared" si="20"/>
        <v>1087883.5347927632</v>
      </c>
      <c r="FR14" s="1">
        <f t="shared" si="20"/>
        <v>1098762.3701406908</v>
      </c>
      <c r="FS14" s="1">
        <f t="shared" si="20"/>
        <v>1109749.9938420977</v>
      </c>
      <c r="FT14" s="1">
        <f t="shared" si="20"/>
        <v>1120847.4937805186</v>
      </c>
      <c r="FU14" s="1">
        <f t="shared" si="20"/>
        <v>1132055.9687183239</v>
      </c>
      <c r="FV14" s="1">
        <f t="shared" si="20"/>
        <v>1143376.5284055071</v>
      </c>
      <c r="FW14" s="1">
        <f t="shared" si="20"/>
        <v>1154810.2936895622</v>
      </c>
      <c r="FX14" s="1">
        <f t="shared" si="20"/>
        <v>1166358.3966264578</v>
      </c>
      <c r="FY14" s="1">
        <f t="shared" si="20"/>
        <v>1178021.9805927223</v>
      </c>
      <c r="FZ14" s="1">
        <f t="shared" si="20"/>
        <v>1189802.2003986496</v>
      </c>
      <c r="GA14" s="1">
        <f t="shared" si="20"/>
        <v>1201700.222402636</v>
      </c>
      <c r="GB14" s="1">
        <f t="shared" si="20"/>
        <v>1213717.2246266624</v>
      </c>
      <c r="GC14" s="1">
        <f t="shared" si="20"/>
        <v>1225854.3968729291</v>
      </c>
      <c r="GD14" s="1">
        <f t="shared" si="20"/>
        <v>1238112.9408416583</v>
      </c>
      <c r="GE14" s="1">
        <f t="shared" si="20"/>
        <v>1250494.0702500748</v>
      </c>
      <c r="GF14" s="1">
        <f t="shared" si="20"/>
        <v>1262999.0109525756</v>
      </c>
      <c r="GG14" s="1">
        <f t="shared" si="20"/>
        <v>1275629.0010621015</v>
      </c>
      <c r="GH14" s="1">
        <f t="shared" si="20"/>
        <v>1288385.2910727225</v>
      </c>
      <c r="GI14" s="1">
        <f t="shared" ref="GI14:HN14" si="21">+GH14*(1+$AG$19)</f>
        <v>1301269.1439834498</v>
      </c>
      <c r="GJ14" s="1">
        <f t="shared" si="21"/>
        <v>1314281.8354232842</v>
      </c>
      <c r="GK14" s="1">
        <f t="shared" si="21"/>
        <v>1327424.6537775171</v>
      </c>
      <c r="GL14" s="1">
        <f t="shared" si="21"/>
        <v>1340698.9003152924</v>
      </c>
      <c r="GM14" s="1">
        <f t="shared" si="21"/>
        <v>1354105.8893184455</v>
      </c>
      <c r="GN14" s="1">
        <f t="shared" si="21"/>
        <v>1367646.9482116299</v>
      </c>
      <c r="GO14" s="1">
        <f t="shared" si="21"/>
        <v>1381323.4176937463</v>
      </c>
      <c r="GP14" s="1">
        <f t="shared" si="21"/>
        <v>1395136.6518706838</v>
      </c>
      <c r="GQ14" s="1">
        <f t="shared" si="21"/>
        <v>1409088.0183893905</v>
      </c>
      <c r="GR14" s="1">
        <f t="shared" si="21"/>
        <v>1423178.8985732845</v>
      </c>
      <c r="GS14" s="1">
        <f t="shared" si="21"/>
        <v>1437410.6875590174</v>
      </c>
      <c r="GT14" s="1">
        <f t="shared" si="21"/>
        <v>1451784.7944346077</v>
      </c>
      <c r="GU14" s="1">
        <f t="shared" si="21"/>
        <v>1466302.6423789538</v>
      </c>
      <c r="GV14" s="1">
        <f t="shared" si="21"/>
        <v>1480965.6688027433</v>
      </c>
      <c r="GW14" s="1">
        <f t="shared" si="21"/>
        <v>1495775.3254907709</v>
      </c>
      <c r="GX14" s="1">
        <f t="shared" si="21"/>
        <v>1510733.0787456785</v>
      </c>
      <c r="GY14" s="1">
        <f t="shared" si="21"/>
        <v>1525840.4095331354</v>
      </c>
      <c r="GZ14" s="1">
        <f t="shared" si="21"/>
        <v>1541098.8136284668</v>
      </c>
      <c r="HA14" s="1">
        <f t="shared" si="21"/>
        <v>1556509.8017647516</v>
      </c>
      <c r="HB14" s="1">
        <f t="shared" si="21"/>
        <v>1572074.8997823992</v>
      </c>
      <c r="HC14" s="1">
        <f t="shared" si="21"/>
        <v>1587795.6487802232</v>
      </c>
      <c r="HD14" s="1">
        <f t="shared" si="21"/>
        <v>1603673.6052680255</v>
      </c>
      <c r="HE14" s="1">
        <f t="shared" si="21"/>
        <v>1619710.3413207058</v>
      </c>
      <c r="HF14" s="1">
        <f t="shared" si="21"/>
        <v>1635907.4447339128</v>
      </c>
      <c r="HG14" s="1">
        <f t="shared" si="21"/>
        <v>1652266.519181252</v>
      </c>
      <c r="HH14" s="1">
        <f t="shared" si="21"/>
        <v>1668789.1843730644</v>
      </c>
      <c r="HI14" s="1">
        <f t="shared" si="21"/>
        <v>1685477.076216795</v>
      </c>
      <c r="HJ14" s="1">
        <f t="shared" si="21"/>
        <v>1702331.8469789629</v>
      </c>
      <c r="HK14" s="1">
        <f t="shared" si="21"/>
        <v>1719355.1654487525</v>
      </c>
      <c r="HL14" s="1">
        <f t="shared" si="21"/>
        <v>1736548.7171032401</v>
      </c>
      <c r="HM14" s="1">
        <f t="shared" si="21"/>
        <v>1753914.2042742725</v>
      </c>
      <c r="HN14" s="1">
        <f t="shared" si="21"/>
        <v>1771453.3463170154</v>
      </c>
      <c r="HO14" s="1">
        <f t="shared" ref="HO14:HV14" si="22">+HN14*(1+$AG$19)</f>
        <v>1789167.8797801854</v>
      </c>
      <c r="HP14" s="1">
        <f t="shared" si="22"/>
        <v>1807059.5585779874</v>
      </c>
      <c r="HQ14" s="1">
        <f t="shared" si="22"/>
        <v>1825130.1541637674</v>
      </c>
      <c r="HR14" s="1">
        <f t="shared" si="22"/>
        <v>1843381.455705405</v>
      </c>
      <c r="HS14" s="1">
        <f t="shared" si="22"/>
        <v>1861815.2702624591</v>
      </c>
      <c r="HT14" s="1">
        <f t="shared" si="22"/>
        <v>1880433.4229650837</v>
      </c>
      <c r="HU14" s="1">
        <f t="shared" si="22"/>
        <v>1899237.7571947346</v>
      </c>
      <c r="HV14" s="1">
        <f t="shared" si="22"/>
        <v>1918230.1347666821</v>
      </c>
    </row>
    <row r="15" spans="2:230">
      <c r="B15" s="1" t="s">
        <v>25</v>
      </c>
      <c r="C15" s="1">
        <f t="shared" ref="C15:I15" si="23">+C14/C16</f>
        <v>5701.333333333333</v>
      </c>
      <c r="D15" s="1">
        <f t="shared" si="23"/>
        <v>28568.115942028988</v>
      </c>
      <c r="E15" s="1">
        <f t="shared" si="23"/>
        <v>28401.369863013701</v>
      </c>
      <c r="F15" s="1">
        <f t="shared" si="23"/>
        <v>1967.5925925925924</v>
      </c>
      <c r="G15" s="1">
        <f t="shared" si="23"/>
        <v>5724.2346938775509</v>
      </c>
      <c r="H15" s="1">
        <f t="shared" si="23"/>
        <v>28634.065934065933</v>
      </c>
      <c r="I15" s="1">
        <f t="shared" si="23"/>
        <v>28752.586206896554</v>
      </c>
      <c r="J15" s="1">
        <f>+I15</f>
        <v>28752.586206896554</v>
      </c>
      <c r="R15" s="1">
        <f>+R14/R16</f>
        <v>5664.3730886850153</v>
      </c>
      <c r="S15" s="1">
        <f>+S14/S16</f>
        <v>5678.625</v>
      </c>
      <c r="T15" s="1">
        <f>+T14/T16</f>
        <v>5708.1929555895867</v>
      </c>
      <c r="U15" s="1">
        <f>+U14/U16</f>
        <v>15861.00144149992</v>
      </c>
      <c r="V15" s="1">
        <f>+U15</f>
        <v>15861.00144149992</v>
      </c>
      <c r="W15" s="1">
        <f t="shared" ref="W15:AD15" si="24">+V15</f>
        <v>15861.00144149992</v>
      </c>
      <c r="X15" s="1">
        <f t="shared" si="24"/>
        <v>15861.00144149992</v>
      </c>
      <c r="Y15" s="1">
        <f t="shared" si="24"/>
        <v>15861.00144149992</v>
      </c>
      <c r="Z15" s="1">
        <f t="shared" si="24"/>
        <v>15861.00144149992</v>
      </c>
      <c r="AA15" s="1">
        <f t="shared" si="24"/>
        <v>15861.00144149992</v>
      </c>
      <c r="AB15" s="1">
        <f t="shared" si="24"/>
        <v>15861.00144149992</v>
      </c>
      <c r="AC15" s="1">
        <f t="shared" si="24"/>
        <v>15861.00144149992</v>
      </c>
      <c r="AD15" s="1">
        <f t="shared" si="24"/>
        <v>15861.00144149992</v>
      </c>
    </row>
    <row r="16" spans="2:230" s="4" customFormat="1">
      <c r="B16" s="4" t="s">
        <v>26</v>
      </c>
      <c r="C16" s="4">
        <v>3</v>
      </c>
      <c r="D16" s="4">
        <v>0.69</v>
      </c>
      <c r="E16" s="4">
        <v>0.73</v>
      </c>
      <c r="F16" s="4">
        <f t="shared" si="5"/>
        <v>8.64</v>
      </c>
      <c r="G16" s="4">
        <v>3.92</v>
      </c>
      <c r="H16" s="4">
        <v>0.91</v>
      </c>
      <c r="I16" s="4">
        <v>1.1599999999999999</v>
      </c>
      <c r="J16" s="4">
        <f>+J14/J15</f>
        <v>1.0206967470674404</v>
      </c>
      <c r="R16" s="4">
        <v>6.54</v>
      </c>
      <c r="S16" s="4">
        <v>8</v>
      </c>
      <c r="T16" s="4">
        <v>13.06</v>
      </c>
      <c r="U16" s="1">
        <f t="shared" si="8"/>
        <v>7.0106967470674402</v>
      </c>
      <c r="V16" s="4">
        <f>+V14/V15</f>
        <v>7.7117664217741835</v>
      </c>
      <c r="W16" s="4">
        <f t="shared" ref="W16:AD16" si="25">+W14/W15</f>
        <v>8.4829430639516055</v>
      </c>
      <c r="X16" s="4">
        <f t="shared" si="25"/>
        <v>9.3312373703467664</v>
      </c>
      <c r="Y16" s="4">
        <f t="shared" si="25"/>
        <v>10.264361107381442</v>
      </c>
      <c r="Z16" s="4">
        <f t="shared" si="25"/>
        <v>11.290797218119588</v>
      </c>
      <c r="AA16" s="4">
        <f t="shared" si="25"/>
        <v>12.419876939931548</v>
      </c>
      <c r="AB16" s="4">
        <f t="shared" si="25"/>
        <v>13.661864633924704</v>
      </c>
      <c r="AC16" s="4">
        <f t="shared" si="25"/>
        <v>15.028051097317174</v>
      </c>
      <c r="AD16" s="4">
        <f t="shared" si="25"/>
        <v>16.530856207048892</v>
      </c>
    </row>
    <row r="18" spans="2:33">
      <c r="B18" s="6" t="s">
        <v>49</v>
      </c>
    </row>
    <row r="19" spans="2:33" s="2" customFormat="1">
      <c r="B19" s="1" t="s">
        <v>28</v>
      </c>
      <c r="G19" s="2">
        <f t="shared" ref="G19:I22" si="26">+G3/C3-1</f>
        <v>7.4123057500976808E-2</v>
      </c>
      <c r="H19" s="2">
        <f t="shared" si="26"/>
        <v>3.4822494843122387E-2</v>
      </c>
      <c r="I19" s="2">
        <f t="shared" si="26"/>
        <v>0.19615993135072807</v>
      </c>
      <c r="Q19" s="2">
        <f t="shared" ref="Q19:S19" si="27">+Q3/P3-1</f>
        <v>1.7365158840878747E-2</v>
      </c>
      <c r="R19" s="2">
        <f t="shared" si="27"/>
        <v>0.17317963520697277</v>
      </c>
      <c r="S19" s="2">
        <f t="shared" si="27"/>
        <v>0.24580898246737659</v>
      </c>
      <c r="T19" s="2">
        <f>+T3/S3-1</f>
        <v>0.2004147013336417</v>
      </c>
      <c r="AF19" s="2" t="s">
        <v>81</v>
      </c>
      <c r="AG19" s="8">
        <v>0.01</v>
      </c>
    </row>
    <row r="20" spans="2:33" s="2" customFormat="1">
      <c r="B20" s="1" t="s">
        <v>29</v>
      </c>
      <c r="G20" s="2">
        <f t="shared" si="26"/>
        <v>-9.2050209205020939E-2</v>
      </c>
      <c r="H20" s="2">
        <f t="shared" si="26"/>
        <v>-1.3559322033898313E-2</v>
      </c>
      <c r="I20" s="2">
        <f t="shared" si="26"/>
        <v>-0.27364864864864868</v>
      </c>
      <c r="Q20" s="2">
        <f t="shared" ref="Q20:S20" si="28">+Q4/P4-1</f>
        <v>-0.23070987654320985</v>
      </c>
      <c r="R20" s="2">
        <f t="shared" si="28"/>
        <v>0.89568706118355057</v>
      </c>
      <c r="S20" s="2">
        <f t="shared" si="28"/>
        <v>0.44391534391534382</v>
      </c>
      <c r="T20" s="2">
        <f>+T4/S4-1</f>
        <v>-0.5866617808721144</v>
      </c>
      <c r="AF20" s="2" t="s">
        <v>82</v>
      </c>
      <c r="AG20" s="8">
        <v>0.08</v>
      </c>
    </row>
    <row r="21" spans="2:33">
      <c r="B21" s="1" t="s">
        <v>13</v>
      </c>
      <c r="G21" s="2">
        <f t="shared" si="26"/>
        <v>7.3528310645881056E-2</v>
      </c>
      <c r="H21" s="2">
        <f t="shared" si="26"/>
        <v>3.462957706500136E-2</v>
      </c>
      <c r="I21" s="2">
        <f t="shared" si="26"/>
        <v>0.1943027324447768</v>
      </c>
      <c r="J21" s="2">
        <f>+J5/F5-1</f>
        <v>0.19782926383730137</v>
      </c>
      <c r="Q21" s="2">
        <f t="shared" ref="Q21:S21" si="29">+Q5/P5-1</f>
        <v>1.5333876684546777E-2</v>
      </c>
      <c r="R21" s="2">
        <f t="shared" si="29"/>
        <v>0.17766203703703698</v>
      </c>
      <c r="S21" s="2">
        <f t="shared" si="29"/>
        <v>0.24778737681963481</v>
      </c>
      <c r="T21" s="2">
        <f>+T5/S5-1</f>
        <v>0.19131907685792937</v>
      </c>
      <c r="U21" s="2">
        <f>+U5/T5-1</f>
        <v>0.12446877332669803</v>
      </c>
      <c r="V21" s="2">
        <f t="shared" ref="V21:AD21" si="30">+V5/U5-1</f>
        <v>0.10000000000000009</v>
      </c>
      <c r="W21" s="2">
        <f t="shared" si="30"/>
        <v>0.10000000000000009</v>
      </c>
      <c r="X21" s="2">
        <f t="shared" si="30"/>
        <v>0.10000000000000009</v>
      </c>
      <c r="Y21" s="2">
        <f t="shared" si="30"/>
        <v>0.10000000000000009</v>
      </c>
      <c r="Z21" s="2">
        <f t="shared" si="30"/>
        <v>0.10000000000000009</v>
      </c>
      <c r="AA21" s="2">
        <f t="shared" si="30"/>
        <v>0.10000000000000009</v>
      </c>
      <c r="AB21" s="2">
        <f t="shared" si="30"/>
        <v>0.10000000000000009</v>
      </c>
      <c r="AC21" s="2">
        <f t="shared" si="30"/>
        <v>0.10000000000000009</v>
      </c>
      <c r="AD21" s="2">
        <f t="shared" si="30"/>
        <v>0.10000000000000009</v>
      </c>
      <c r="AF21" s="1" t="s">
        <v>83</v>
      </c>
      <c r="AG21" s="1">
        <f>+NPV(AG20,U14:HV14)</f>
        <v>2872086.6980301477</v>
      </c>
    </row>
    <row r="22" spans="2:33">
      <c r="B22" s="1" t="s">
        <v>16</v>
      </c>
      <c r="G22" s="2">
        <f t="shared" si="26"/>
        <v>-5.2067298603796996E-2</v>
      </c>
      <c r="H22" s="2">
        <f t="shared" si="26"/>
        <v>-0.1245969711773327</v>
      </c>
      <c r="I22" s="2">
        <f t="shared" si="26"/>
        <v>-1.3349009234085329E-2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1" t="s">
        <v>84</v>
      </c>
      <c r="AG22" s="1">
        <f>+(Main!F7-Main!F8)*1000</f>
        <v>255022</v>
      </c>
    </row>
    <row r="23" spans="2:33" s="2" customFormat="1">
      <c r="B23" s="2" t="s">
        <v>27</v>
      </c>
      <c r="C23" s="2">
        <f t="shared" ref="C23:D23" si="31">+C8/C5</f>
        <v>0.35928538269164534</v>
      </c>
      <c r="D23" s="2">
        <f t="shared" si="31"/>
        <v>0.36671938147952909</v>
      </c>
      <c r="E23" s="2">
        <f>+E8/E5</f>
        <v>0.37601164561019257</v>
      </c>
      <c r="F23" s="2">
        <f t="shared" ref="F23:G23" si="32">+F8/F5</f>
        <v>0.35908482006941483</v>
      </c>
      <c r="G23" s="2">
        <f t="shared" si="32"/>
        <v>0.42695328302202629</v>
      </c>
      <c r="H23" s="2">
        <f>+H8/H5</f>
        <v>0.45492194134169445</v>
      </c>
      <c r="I23" s="2">
        <f>+I8/I5</f>
        <v>0.48210272065483578</v>
      </c>
      <c r="P23" s="2">
        <f>+P8/P5</f>
        <v>0</v>
      </c>
      <c r="Q23" s="2">
        <f t="shared" ref="Q23:T23" si="33">+Q8/Q5</f>
        <v>0</v>
      </c>
      <c r="R23" s="2">
        <f t="shared" si="33"/>
        <v>0.31312250667089375</v>
      </c>
      <c r="S23" s="2">
        <f t="shared" si="33"/>
        <v>0.29786999788270169</v>
      </c>
      <c r="T23" s="2">
        <f t="shared" si="33"/>
        <v>0.36564532755127432</v>
      </c>
      <c r="U23" s="2">
        <f t="shared" ref="U23:AD23" si="34">+U8/U5</f>
        <v>0.46302855746397176</v>
      </c>
      <c r="V23" s="2">
        <f t="shared" si="34"/>
        <v>0.4630285574639717</v>
      </c>
      <c r="W23" s="2">
        <f t="shared" si="34"/>
        <v>0.46302855746397176</v>
      </c>
      <c r="X23" s="2">
        <f t="shared" si="34"/>
        <v>0.46302855746397181</v>
      </c>
      <c r="Y23" s="2">
        <f t="shared" si="34"/>
        <v>0.46302855746397176</v>
      </c>
      <c r="Z23" s="2">
        <f t="shared" si="34"/>
        <v>0.46302855746397181</v>
      </c>
      <c r="AA23" s="2">
        <f t="shared" si="34"/>
        <v>0.46302855746397181</v>
      </c>
      <c r="AB23" s="2">
        <f t="shared" si="34"/>
        <v>0.46302855746397176</v>
      </c>
      <c r="AC23" s="2">
        <f t="shared" si="34"/>
        <v>0.4630285574639717</v>
      </c>
      <c r="AD23" s="2">
        <f t="shared" si="34"/>
        <v>0.46302855746397165</v>
      </c>
      <c r="AF23" s="2" t="s">
        <v>85</v>
      </c>
      <c r="AG23" s="1">
        <f>+SUM(AG21:AG22)</f>
        <v>3127108.6980301477</v>
      </c>
    </row>
    <row r="24" spans="2:33">
      <c r="AF24" s="1" t="s">
        <v>86</v>
      </c>
      <c r="AG24" s="1">
        <f>+Main!F5*1000</f>
        <v>28594.27</v>
      </c>
    </row>
    <row r="25" spans="2:33" s="5" customFormat="1">
      <c r="B25" s="5" t="s">
        <v>80</v>
      </c>
      <c r="C25" s="5">
        <f>+C26</f>
        <v>147575</v>
      </c>
      <c r="D25" s="5">
        <f t="shared" ref="D25:I25" si="35">+D26</f>
        <v>156198</v>
      </c>
      <c r="E25" s="5">
        <f t="shared" si="35"/>
        <v>176305</v>
      </c>
      <c r="F25" s="5">
        <f t="shared" si="35"/>
        <v>187964</v>
      </c>
      <c r="G25" s="5">
        <f t="shared" si="35"/>
        <v>206995</v>
      </c>
      <c r="H25" s="5">
        <f t="shared" si="35"/>
        <v>222501</v>
      </c>
      <c r="I25" s="5">
        <f t="shared" si="35"/>
        <v>255022</v>
      </c>
      <c r="T25" s="5">
        <f>+I25</f>
        <v>255022</v>
      </c>
      <c r="AF25" s="5" t="s">
        <v>87</v>
      </c>
      <c r="AG25" s="5">
        <f>+AG23/AG24</f>
        <v>109.36137547942813</v>
      </c>
    </row>
    <row r="26" spans="2:33">
      <c r="B26" s="1" t="s">
        <v>31</v>
      </c>
      <c r="C26" s="1">
        <v>147575</v>
      </c>
      <c r="D26" s="1">
        <v>156198</v>
      </c>
      <c r="E26" s="1">
        <v>176305</v>
      </c>
      <c r="F26" s="1">
        <v>187964</v>
      </c>
      <c r="G26" s="1">
        <v>206995</v>
      </c>
      <c r="H26" s="1">
        <v>222501</v>
      </c>
      <c r="I26" s="1">
        <v>255022</v>
      </c>
      <c r="AF26" s="1" t="s">
        <v>88</v>
      </c>
      <c r="AG26" s="1">
        <f>+Main!F4</f>
        <v>125.32</v>
      </c>
    </row>
    <row r="27" spans="2:33">
      <c r="B27" s="1" t="s">
        <v>32</v>
      </c>
      <c r="C27" s="1">
        <v>38356</v>
      </c>
      <c r="D27" s="1">
        <v>40735</v>
      </c>
      <c r="E27" s="1">
        <v>44061</v>
      </c>
      <c r="F27" s="1">
        <v>38052</v>
      </c>
      <c r="G27" s="1">
        <v>42155</v>
      </c>
      <c r="H27" s="1">
        <v>46284</v>
      </c>
      <c r="I27" s="1">
        <v>59905</v>
      </c>
      <c r="AF27" s="1" t="s">
        <v>89</v>
      </c>
      <c r="AG27" s="2">
        <f>+AG25/AG26-1</f>
        <v>-0.12734299808946581</v>
      </c>
    </row>
    <row r="28" spans="2:33">
      <c r="B28" s="1" t="s">
        <v>33</v>
      </c>
      <c r="C28" s="1">
        <v>22046</v>
      </c>
      <c r="D28" s="1">
        <v>22350</v>
      </c>
      <c r="E28" s="1">
        <v>23778</v>
      </c>
      <c r="F28" s="1">
        <v>24313</v>
      </c>
      <c r="G28" s="1">
        <v>25724</v>
      </c>
      <c r="H28" s="1">
        <v>27300</v>
      </c>
      <c r="I28" s="1">
        <v>27783</v>
      </c>
    </row>
    <row r="29" spans="2:33">
      <c r="B29" s="1" t="s">
        <v>34</v>
      </c>
      <c r="C29" s="1">
        <v>2826</v>
      </c>
      <c r="D29" s="1">
        <v>2824</v>
      </c>
      <c r="E29" s="1">
        <v>2250</v>
      </c>
      <c r="F29" s="1">
        <v>4640</v>
      </c>
      <c r="G29" s="1">
        <v>4001</v>
      </c>
      <c r="H29" s="1">
        <v>3466</v>
      </c>
      <c r="I29" s="1">
        <v>2749</v>
      </c>
      <c r="AF29" s="1" t="s">
        <v>5</v>
      </c>
      <c r="AG29" s="1">
        <f>+Main!F9*1000</f>
        <v>3328411.9164</v>
      </c>
    </row>
    <row r="30" spans="2:33">
      <c r="B30" s="1" t="s">
        <v>35</v>
      </c>
      <c r="C30" s="1">
        <v>171191</v>
      </c>
      <c r="D30" s="1">
        <v>174531</v>
      </c>
      <c r="E30" s="1">
        <v>172061</v>
      </c>
      <c r="F30" s="1">
        <v>179795</v>
      </c>
      <c r="G30" s="1">
        <v>179676</v>
      </c>
      <c r="H30" s="1">
        <v>177848</v>
      </c>
      <c r="I30" s="1">
        <v>177790</v>
      </c>
      <c r="AF30" s="1" t="s">
        <v>46</v>
      </c>
      <c r="AG30" s="1">
        <f>+U14</f>
        <v>111196.67121115547</v>
      </c>
    </row>
    <row r="31" spans="2:33">
      <c r="B31" s="1" t="s">
        <v>36</v>
      </c>
      <c r="C31" s="1">
        <v>5307</v>
      </c>
      <c r="D31" s="1">
        <v>5254</v>
      </c>
      <c r="E31" s="1">
        <v>5010</v>
      </c>
      <c r="F31" s="1">
        <v>5273</v>
      </c>
      <c r="G31" s="1">
        <v>4897</v>
      </c>
      <c r="H31" s="1">
        <v>4629</v>
      </c>
      <c r="I31" s="1">
        <v>4964</v>
      </c>
      <c r="AF31" s="1" t="s">
        <v>90</v>
      </c>
      <c r="AG31" s="7">
        <f>+AG29/AG30</f>
        <v>29.932657876777224</v>
      </c>
    </row>
    <row r="32" spans="2:33">
      <c r="B32" s="1" t="s">
        <v>37</v>
      </c>
      <c r="C32" s="1">
        <v>444</v>
      </c>
      <c r="D32" s="1">
        <v>480</v>
      </c>
      <c r="E32" s="1">
        <v>590</v>
      </c>
      <c r="F32" s="1">
        <v>565</v>
      </c>
      <c r="G32" s="1">
        <v>548</v>
      </c>
      <c r="H32" s="1">
        <v>2127</v>
      </c>
      <c r="I32" s="1">
        <v>546</v>
      </c>
    </row>
    <row r="33" spans="2:20" s="5" customFormat="1">
      <c r="B33" s="5" t="s">
        <v>38</v>
      </c>
      <c r="C33" s="5">
        <f t="shared" ref="C33:I33" si="36">+SUM(C26:C32)</f>
        <v>387745</v>
      </c>
      <c r="D33" s="5">
        <f t="shared" si="36"/>
        <v>402372</v>
      </c>
      <c r="E33" s="5">
        <f t="shared" si="36"/>
        <v>424055</v>
      </c>
      <c r="F33" s="5">
        <f t="shared" si="36"/>
        <v>440602</v>
      </c>
      <c r="G33" s="5">
        <f t="shared" si="36"/>
        <v>463996</v>
      </c>
      <c r="H33" s="5">
        <f t="shared" si="36"/>
        <v>484155</v>
      </c>
      <c r="I33" s="5">
        <f t="shared" si="36"/>
        <v>528759</v>
      </c>
    </row>
    <row r="35" spans="2:20">
      <c r="B35" s="1" t="s">
        <v>39</v>
      </c>
      <c r="C35" s="1">
        <v>8830</v>
      </c>
      <c r="D35" s="1">
        <v>7511</v>
      </c>
      <c r="E35" s="1">
        <v>8070</v>
      </c>
      <c r="F35" s="1">
        <v>7404</v>
      </c>
      <c r="G35" s="1">
        <v>6980</v>
      </c>
      <c r="H35" s="1">
        <v>7186</v>
      </c>
      <c r="I35" s="1">
        <v>8496</v>
      </c>
    </row>
    <row r="36" spans="2:20">
      <c r="B36" s="1" t="s">
        <v>43</v>
      </c>
      <c r="C36" s="1">
        <v>1199</v>
      </c>
      <c r="D36" s="1">
        <v>1457</v>
      </c>
      <c r="E36" s="1">
        <v>1494</v>
      </c>
      <c r="F36" s="1">
        <v>1582</v>
      </c>
      <c r="G36" s="1">
        <v>1520</v>
      </c>
      <c r="H36" s="1">
        <v>1506</v>
      </c>
      <c r="I36" s="1">
        <v>1531</v>
      </c>
    </row>
    <row r="37" spans="2:20">
      <c r="B37" s="1" t="s">
        <v>40</v>
      </c>
      <c r="C37" s="1">
        <v>8683</v>
      </c>
      <c r="D37" s="1">
        <v>5596</v>
      </c>
      <c r="E37" s="1">
        <v>6438</v>
      </c>
      <c r="F37" s="1">
        <v>8505</v>
      </c>
      <c r="G37" s="1">
        <v>10746</v>
      </c>
      <c r="H37" s="1">
        <v>5377</v>
      </c>
      <c r="I37" s="1">
        <v>8671</v>
      </c>
    </row>
    <row r="38" spans="2:20">
      <c r="B38" s="1" t="s">
        <v>41</v>
      </c>
      <c r="C38" s="1">
        <v>25421</v>
      </c>
      <c r="D38" s="1">
        <v>25129</v>
      </c>
      <c r="E38" s="1">
        <v>25263</v>
      </c>
      <c r="F38" s="1">
        <v>24659</v>
      </c>
      <c r="G38" s="1">
        <v>24421</v>
      </c>
      <c r="H38" s="1">
        <v>24258</v>
      </c>
      <c r="I38" s="1">
        <v>23834</v>
      </c>
    </row>
    <row r="39" spans="2:20">
      <c r="B39" s="1" t="s">
        <v>42</v>
      </c>
      <c r="C39" s="1">
        <v>4303</v>
      </c>
      <c r="D39" s="1">
        <v>4015</v>
      </c>
      <c r="E39" s="1">
        <v>3740</v>
      </c>
      <c r="F39" s="1">
        <v>3919</v>
      </c>
      <c r="G39" s="1">
        <v>3601</v>
      </c>
      <c r="H39" s="1">
        <v>3343</v>
      </c>
      <c r="I39" s="1">
        <v>3633</v>
      </c>
    </row>
    <row r="40" spans="2:20">
      <c r="B40" s="1" t="s">
        <v>44</v>
      </c>
      <c r="C40" s="1">
        <v>1427</v>
      </c>
      <c r="D40" s="1">
        <v>1413</v>
      </c>
      <c r="E40" s="1">
        <v>1418</v>
      </c>
      <c r="F40" s="1">
        <v>1429</v>
      </c>
      <c r="G40" s="1">
        <v>1412</v>
      </c>
      <c r="H40" s="1">
        <v>1396</v>
      </c>
      <c r="I40" s="1">
        <v>1380</v>
      </c>
    </row>
    <row r="41" spans="2:20" s="5" customFormat="1">
      <c r="B41" s="5" t="s">
        <v>45</v>
      </c>
      <c r="C41" s="5">
        <f t="shared" ref="C41:I41" si="37">+SUM(C35:C40)</f>
        <v>49863</v>
      </c>
      <c r="D41" s="5">
        <f t="shared" si="37"/>
        <v>45121</v>
      </c>
      <c r="E41" s="5">
        <f t="shared" si="37"/>
        <v>46423</v>
      </c>
      <c r="F41" s="5">
        <f t="shared" si="37"/>
        <v>47498</v>
      </c>
      <c r="G41" s="5">
        <f t="shared" si="37"/>
        <v>48680</v>
      </c>
      <c r="H41" s="5">
        <f t="shared" si="37"/>
        <v>43066</v>
      </c>
      <c r="I41" s="5">
        <f t="shared" si="37"/>
        <v>47545</v>
      </c>
    </row>
    <row r="42" spans="2:20">
      <c r="B42" s="1" t="s">
        <v>47</v>
      </c>
      <c r="C42" s="1">
        <v>337882</v>
      </c>
      <c r="D42" s="1">
        <v>357251</v>
      </c>
      <c r="E42" s="1">
        <v>377632</v>
      </c>
      <c r="F42" s="1">
        <v>393104</v>
      </c>
      <c r="G42" s="1">
        <v>415316</v>
      </c>
      <c r="H42" s="1">
        <v>441089</v>
      </c>
      <c r="I42" s="1">
        <v>474214</v>
      </c>
    </row>
    <row r="43" spans="2:20" s="5" customFormat="1">
      <c r="B43" s="5" t="s">
        <v>48</v>
      </c>
      <c r="C43" s="5">
        <f t="shared" ref="C43:I43" si="38">+SUM(C41:C42)</f>
        <v>387745</v>
      </c>
      <c r="D43" s="5">
        <f t="shared" si="38"/>
        <v>402372</v>
      </c>
      <c r="E43" s="5">
        <f t="shared" si="38"/>
        <v>424055</v>
      </c>
      <c r="F43" s="5">
        <f t="shared" si="38"/>
        <v>440602</v>
      </c>
      <c r="G43" s="5">
        <f t="shared" si="38"/>
        <v>463996</v>
      </c>
      <c r="H43" s="5">
        <f t="shared" si="38"/>
        <v>484155</v>
      </c>
      <c r="I43" s="5">
        <f t="shared" si="38"/>
        <v>521759</v>
      </c>
    </row>
    <row r="46" spans="2:20">
      <c r="B46" s="1" t="s">
        <v>50</v>
      </c>
      <c r="C46" s="1">
        <v>20644</v>
      </c>
      <c r="D46" s="1">
        <f>40273-C46</f>
        <v>19629</v>
      </c>
      <c r="E46" s="1">
        <f>64682-SUM(C46:D46)</f>
        <v>24409</v>
      </c>
      <c r="F46" s="1">
        <f>+T46-SUM(C46:E46)</f>
        <v>27577</v>
      </c>
      <c r="G46" s="1">
        <v>27167</v>
      </c>
      <c r="H46" s="1">
        <f>48364-G46</f>
        <v>21197</v>
      </c>
      <c r="I46" s="1">
        <f>87414-SUM(G46:H46)</f>
        <v>39050</v>
      </c>
      <c r="R46" s="1">
        <v>55689</v>
      </c>
      <c r="S46" s="1">
        <v>64363</v>
      </c>
      <c r="T46" s="1">
        <v>92259</v>
      </c>
    </row>
    <row r="47" spans="2:20">
      <c r="B47" s="1" t="s">
        <v>51</v>
      </c>
      <c r="C47" s="1">
        <v>-5451</v>
      </c>
      <c r="D47" s="1">
        <f>+-15432-C47</f>
        <v>-9981</v>
      </c>
      <c r="E47" s="1">
        <f>+-20541-SUM(C47:D47)</f>
        <v>-5109</v>
      </c>
      <c r="F47" s="1">
        <f>+T47-SUM(C47:E47)</f>
        <v>-13709</v>
      </c>
      <c r="G47" s="1">
        <v>-6824</v>
      </c>
      <c r="H47" s="1">
        <f>+-11220-G47</f>
        <v>-4396</v>
      </c>
      <c r="I47" s="1">
        <f>+-16371-SUM(G47:H47)</f>
        <v>-5151</v>
      </c>
      <c r="R47" s="1">
        <v>-29914</v>
      </c>
      <c r="S47" s="1">
        <v>-26815</v>
      </c>
      <c r="T47" s="1">
        <v>-34250</v>
      </c>
    </row>
    <row r="48" spans="2:20">
      <c r="B48" s="1" t="s">
        <v>52</v>
      </c>
      <c r="C48" s="1">
        <f t="shared" ref="C48:I48" si="39">+SUM(C46:C47)</f>
        <v>15193</v>
      </c>
      <c r="D48" s="1">
        <f t="shared" si="39"/>
        <v>9648</v>
      </c>
      <c r="E48" s="1">
        <f t="shared" si="39"/>
        <v>19300</v>
      </c>
      <c r="F48" s="1">
        <f t="shared" si="39"/>
        <v>13868</v>
      </c>
      <c r="G48" s="1">
        <f t="shared" si="39"/>
        <v>20343</v>
      </c>
      <c r="H48" s="1">
        <f t="shared" si="39"/>
        <v>16801</v>
      </c>
      <c r="I48" s="1">
        <f t="shared" si="39"/>
        <v>33899</v>
      </c>
      <c r="R48" s="1">
        <f>+SUM(R46:R47)</f>
        <v>25775</v>
      </c>
      <c r="S48" s="1">
        <f>+SUM(S46:S47)</f>
        <v>37548</v>
      </c>
      <c r="T48" s="1">
        <f>+SUM(T46:T47)</f>
        <v>58009</v>
      </c>
    </row>
    <row r="49" spans="2:9">
      <c r="B49" s="1" t="s">
        <v>24</v>
      </c>
      <c r="C49" s="1">
        <f>+C14</f>
        <v>17104</v>
      </c>
      <c r="D49" s="1">
        <f t="shared" ref="D49:I49" si="40">+D14</f>
        <v>19712</v>
      </c>
      <c r="E49" s="1">
        <f t="shared" si="40"/>
        <v>20733</v>
      </c>
      <c r="F49" s="1">
        <f t="shared" si="40"/>
        <v>17000</v>
      </c>
      <c r="G49" s="1">
        <f t="shared" si="40"/>
        <v>22439</v>
      </c>
      <c r="H49" s="1">
        <f t="shared" si="40"/>
        <v>26057</v>
      </c>
      <c r="I49" s="1">
        <f t="shared" si="40"/>
        <v>33353</v>
      </c>
    </row>
  </sheetData>
  <pageMargins left="0.7" right="0.7" top="0.75" bottom="0.75" header="0.3" footer="0.3"/>
  <ignoredErrors>
    <ignoredError sqref="E5:F14 F15 T8:AD12 U13:AD14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2024-12-24T06:38:22Z</dcterms:created>
  <dcterms:modified xsi:type="dcterms:W3CDTF">2025-01-16T04:27:50Z</dcterms:modified>
</cp:coreProperties>
</file>