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005D7CFC-8C8C-5542-93C7-17BADCB758DF}" xr6:coauthVersionLast="47" xr6:coauthVersionMax="47" xr10:uidLastSave="{00000000-0000-0000-0000-000000000000}"/>
  <bookViews>
    <workbookView xWindow="17160" yWindow="4700" windowWidth="27640" windowHeight="16940" xr2:uid="{EE93A09E-1A26-2D4A-9A14-B3EF75D91F2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0" i="2" l="1"/>
  <c r="J18" i="2"/>
  <c r="K18" i="2"/>
  <c r="L18" i="2"/>
  <c r="T5" i="2" l="1"/>
  <c r="Y21" i="2"/>
  <c r="AK13" i="2" l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HH13" i="2" s="1"/>
  <c r="HI13" i="2" s="1"/>
  <c r="HJ13" i="2" s="1"/>
  <c r="HK13" i="2" s="1"/>
  <c r="HL13" i="2" s="1"/>
  <c r="HM13" i="2" s="1"/>
  <c r="HN13" i="2" s="1"/>
  <c r="HO13" i="2" s="1"/>
  <c r="HP13" i="2" s="1"/>
  <c r="HQ13" i="2" s="1"/>
  <c r="HR13" i="2" s="1"/>
  <c r="HS13" i="2" s="1"/>
  <c r="HT13" i="2" s="1"/>
  <c r="HU13" i="2" s="1"/>
  <c r="HV13" i="2" s="1"/>
  <c r="HW13" i="2" s="1"/>
  <c r="HX13" i="2" s="1"/>
  <c r="HY13" i="2" s="1"/>
  <c r="HZ13" i="2" s="1"/>
  <c r="IA13" i="2" s="1"/>
  <c r="IB13" i="2" s="1"/>
  <c r="IC13" i="2" s="1"/>
  <c r="Z17" i="2"/>
  <c r="M12" i="2"/>
  <c r="N12" i="2" s="1"/>
  <c r="L17" i="2"/>
  <c r="K17" i="2"/>
  <c r="I17" i="2"/>
  <c r="H17" i="2"/>
  <c r="G17" i="2"/>
  <c r="E17" i="2"/>
  <c r="D17" i="2"/>
  <c r="C17" i="2"/>
  <c r="M5" i="2"/>
  <c r="M7" i="2" s="1"/>
  <c r="K72" i="2"/>
  <c r="K70" i="2"/>
  <c r="K64" i="2"/>
  <c r="K60" i="2"/>
  <c r="K44" i="2"/>
  <c r="K46" i="2" s="1"/>
  <c r="K35" i="2"/>
  <c r="L69" i="2"/>
  <c r="L68" i="2"/>
  <c r="L67" i="2"/>
  <c r="L66" i="2"/>
  <c r="L63" i="2"/>
  <c r="L62" i="2"/>
  <c r="L59" i="2"/>
  <c r="L58" i="2"/>
  <c r="L57" i="2"/>
  <c r="L56" i="2"/>
  <c r="L55" i="2"/>
  <c r="L54" i="2"/>
  <c r="L53" i="2"/>
  <c r="L52" i="2"/>
  <c r="L51" i="2"/>
  <c r="L50" i="2"/>
  <c r="L49" i="2"/>
  <c r="L48" i="2"/>
  <c r="J44" i="2"/>
  <c r="J46" i="2" s="1"/>
  <c r="J35" i="2"/>
  <c r="L44" i="2"/>
  <c r="L46" i="2" s="1"/>
  <c r="L35" i="2"/>
  <c r="M8" i="2" l="1"/>
  <c r="M9" i="2" s="1"/>
  <c r="M11" i="2" s="1"/>
  <c r="M13" i="2" s="1"/>
  <c r="N5" i="2"/>
  <c r="M6" i="2"/>
  <c r="N7" i="2"/>
  <c r="AA7" i="2"/>
  <c r="L64" i="2"/>
  <c r="K71" i="2"/>
  <c r="K73" i="2" s="1"/>
  <c r="L72" i="2" s="1"/>
  <c r="K75" i="2"/>
  <c r="L70" i="2"/>
  <c r="L60" i="2"/>
  <c r="N6" i="2" l="1"/>
  <c r="AA6" i="2" s="1"/>
  <c r="AA5" i="2"/>
  <c r="N8" i="2"/>
  <c r="AA8" i="2"/>
  <c r="AA22" i="2" s="1"/>
  <c r="L71" i="2"/>
  <c r="L73" i="2" s="1"/>
  <c r="L75" i="2"/>
  <c r="Z22" i="2"/>
  <c r="Z21" i="2"/>
  <c r="L22" i="2"/>
  <c r="K22" i="2"/>
  <c r="I22" i="2"/>
  <c r="H22" i="2"/>
  <c r="G22" i="2"/>
  <c r="E22" i="2"/>
  <c r="D22" i="2"/>
  <c r="L21" i="2"/>
  <c r="K21" i="2"/>
  <c r="I21" i="2"/>
  <c r="H21" i="2"/>
  <c r="G21" i="2"/>
  <c r="E21" i="2"/>
  <c r="D21" i="2"/>
  <c r="C22" i="2"/>
  <c r="C21" i="2"/>
  <c r="Z16" i="2"/>
  <c r="F12" i="2"/>
  <c r="F10" i="2"/>
  <c r="F8" i="2"/>
  <c r="F7" i="2"/>
  <c r="F6" i="2"/>
  <c r="F5" i="2"/>
  <c r="J12" i="2"/>
  <c r="J10" i="2"/>
  <c r="J8" i="2"/>
  <c r="J7" i="2"/>
  <c r="J6" i="2"/>
  <c r="J5" i="2"/>
  <c r="J17" i="2" s="1"/>
  <c r="Y9" i="2"/>
  <c r="Y11" i="2" s="1"/>
  <c r="Y13" i="2" s="1"/>
  <c r="Z9" i="2"/>
  <c r="Z11" i="2" s="1"/>
  <c r="Z13" i="2" s="1"/>
  <c r="C9" i="2"/>
  <c r="C11" i="2" s="1"/>
  <c r="C13" i="2" s="1"/>
  <c r="D9" i="2"/>
  <c r="D11" i="2" s="1"/>
  <c r="D13" i="2" s="1"/>
  <c r="E9" i="2"/>
  <c r="E11" i="2" s="1"/>
  <c r="E13" i="2" s="1"/>
  <c r="I9" i="2"/>
  <c r="I11" i="2" s="1"/>
  <c r="I13" i="2" s="1"/>
  <c r="G9" i="2"/>
  <c r="G11" i="2" s="1"/>
  <c r="G13" i="2" s="1"/>
  <c r="K16" i="2"/>
  <c r="K9" i="2"/>
  <c r="L16" i="2"/>
  <c r="H9" i="2"/>
  <c r="H11" i="2" s="1"/>
  <c r="H13" i="2" s="1"/>
  <c r="L9" i="2"/>
  <c r="L11" i="2" s="1"/>
  <c r="L13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J6" i="1"/>
  <c r="J7" i="1" s="1"/>
  <c r="I7" i="1"/>
  <c r="AM26" i="2" s="1"/>
  <c r="I6" i="1"/>
  <c r="I4" i="1"/>
  <c r="I5" i="1" l="1"/>
  <c r="I8" i="1" s="1"/>
  <c r="AM21" i="2" s="1"/>
  <c r="I12" i="1"/>
  <c r="I13" i="1" s="1"/>
  <c r="AM28" i="2"/>
  <c r="I10" i="1"/>
  <c r="I11" i="1" s="1"/>
  <c r="AM25" i="2"/>
  <c r="F17" i="2"/>
  <c r="N9" i="2"/>
  <c r="N11" i="2" s="1"/>
  <c r="N13" i="2" s="1"/>
  <c r="AM22" i="2"/>
  <c r="AM24" i="2" s="1"/>
  <c r="AM27" i="2" s="1"/>
  <c r="AM29" i="2" s="1"/>
  <c r="AA17" i="2"/>
  <c r="AB5" i="2"/>
  <c r="AA16" i="2"/>
  <c r="J21" i="2"/>
  <c r="AA21" i="2"/>
  <c r="K11" i="2"/>
  <c r="K13" i="2" s="1"/>
  <c r="AA9" i="2"/>
  <c r="F22" i="2"/>
  <c r="J22" i="2"/>
  <c r="F21" i="2"/>
  <c r="F13" i="2"/>
  <c r="J16" i="2"/>
  <c r="J13" i="2"/>
  <c r="J11" i="2"/>
  <c r="F9" i="2"/>
  <c r="F11" i="2"/>
  <c r="J9" i="2"/>
  <c r="AB8" i="2" l="1"/>
  <c r="AB22" i="2" s="1"/>
  <c r="AB7" i="2"/>
  <c r="AB21" i="2" s="1"/>
  <c r="AB6" i="2"/>
  <c r="AB9" i="2" s="1"/>
  <c r="AB16" i="2"/>
  <c r="AC5" i="2"/>
  <c r="AC7" i="2" l="1"/>
  <c r="AC21" i="2" s="1"/>
  <c r="AC8" i="2"/>
  <c r="AC22" i="2" s="1"/>
  <c r="AC6" i="2"/>
  <c r="AC16" i="2"/>
  <c r="AD5" i="2"/>
  <c r="AC17" i="2"/>
  <c r="AB17" i="2"/>
  <c r="AE5" i="2" l="1"/>
  <c r="AD7" i="2"/>
  <c r="AD21" i="2" s="1"/>
  <c r="AD16" i="2"/>
  <c r="AD8" i="2"/>
  <c r="AD22" i="2" s="1"/>
  <c r="AC9" i="2"/>
  <c r="AD6" i="2"/>
  <c r="AD17" i="2" s="1"/>
  <c r="AD9" i="2" l="1"/>
  <c r="AF5" i="2"/>
  <c r="AE7" i="2"/>
  <c r="AE21" i="2" s="1"/>
  <c r="AE16" i="2"/>
  <c r="AE6" i="2"/>
  <c r="AE17" i="2" s="1"/>
  <c r="AE8" i="2"/>
  <c r="AF8" i="2" l="1"/>
  <c r="AF22" i="2" s="1"/>
  <c r="AG5" i="2"/>
  <c r="AF7" i="2"/>
  <c r="AF21" i="2" s="1"/>
  <c r="AF16" i="2"/>
  <c r="AF6" i="2"/>
  <c r="AF17" i="2" s="1"/>
  <c r="AF9" i="2"/>
  <c r="AE9" i="2"/>
  <c r="AE22" i="2"/>
  <c r="AG8" i="2" l="1"/>
  <c r="AG22" i="2" s="1"/>
  <c r="AH5" i="2"/>
  <c r="AG7" i="2"/>
  <c r="AG21" i="2" s="1"/>
  <c r="AG16" i="2"/>
  <c r="AG6" i="2"/>
  <c r="AG17" i="2" l="1"/>
  <c r="AG9" i="2"/>
  <c r="AH8" i="2"/>
  <c r="AH22" i="2" s="1"/>
  <c r="AI5" i="2"/>
  <c r="AH7" i="2"/>
  <c r="AH21" i="2" s="1"/>
  <c r="AH16" i="2"/>
  <c r="AH6" i="2"/>
  <c r="AH9" i="2" l="1"/>
  <c r="AH17" i="2"/>
  <c r="AI16" i="2"/>
  <c r="AI6" i="2"/>
  <c r="AI17" i="2" s="1"/>
  <c r="AI8" i="2"/>
  <c r="AI22" i="2" s="1"/>
  <c r="AJ5" i="2"/>
  <c r="AI7" i="2"/>
  <c r="AI21" i="2" s="1"/>
  <c r="AI9" i="2" l="1"/>
  <c r="AJ7" i="2"/>
  <c r="AJ21" i="2" s="1"/>
  <c r="AJ16" i="2"/>
  <c r="AJ6" i="2"/>
  <c r="AJ17" i="2" s="1"/>
  <c r="AJ8" i="2"/>
  <c r="AJ22" i="2" s="1"/>
  <c r="AJ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K16" authorId="0" shapeId="0" xr:uid="{8C06D897-F60B-2D4F-A46C-8B794F358E0D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scheme val="minor"/>
          </rPr>
          <t>This was primarily driven by an increase in member count as well as improvements in Average Revenue Per User (“ARPU”) due to the increase in prices</t>
        </r>
      </text>
    </comment>
    <comment ref="L16" authorId="0" shapeId="0" xr:uid="{D85B5DEA-F83E-C949-BB93-773BB69DAA19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member growth &amp; ARPU</t>
        </r>
      </text>
    </comment>
  </commentList>
</comments>
</file>

<file path=xl/sharedStrings.xml><?xml version="1.0" encoding="utf-8"?>
<sst xmlns="http://schemas.openxmlformats.org/spreadsheetml/2006/main" count="107" uniqueCount="93">
  <si>
    <t>P</t>
  </si>
  <si>
    <t>S</t>
  </si>
  <si>
    <t>MC</t>
  </si>
  <si>
    <t>C</t>
  </si>
  <si>
    <t>D</t>
  </si>
  <si>
    <t>EV</t>
  </si>
  <si>
    <t>Q225</t>
  </si>
  <si>
    <t xml:space="preserve">CEO </t>
  </si>
  <si>
    <t xml:space="preserve">CFO 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</si>
  <si>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</si>
  <si>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</si>
  <si>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</si>
  <si>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</si>
  <si>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</si>
  <si>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</si>
  <si>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</si>
  <si>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</si>
  <si>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</si>
  <si>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Q325</t>
  </si>
  <si>
    <t>Q425</t>
  </si>
  <si>
    <t>Revenues</t>
  </si>
  <si>
    <t>Selling&amp;Op</t>
  </si>
  <si>
    <t>Corp/G&amp;A</t>
  </si>
  <si>
    <t xml:space="preserve">Operating </t>
  </si>
  <si>
    <t>Other Income</t>
  </si>
  <si>
    <t>EBT</t>
  </si>
  <si>
    <t>Taxes</t>
  </si>
  <si>
    <t>Net Income</t>
  </si>
  <si>
    <t xml:space="preserve">Original Content creation: boulder colorado </t>
  </si>
  <si>
    <t>Kiersten Medvedich</t>
  </si>
  <si>
    <t xml:space="preserve">Media Library </t>
  </si>
  <si>
    <t xml:space="preserve">Cash </t>
  </si>
  <si>
    <t>A/R</t>
  </si>
  <si>
    <t>Other Rec</t>
  </si>
  <si>
    <t>Prepaid Exp</t>
  </si>
  <si>
    <t>OpLease</t>
  </si>
  <si>
    <t>PPE</t>
  </si>
  <si>
    <t>Tech License</t>
  </si>
  <si>
    <t>Investments</t>
  </si>
  <si>
    <t>Goodwill</t>
  </si>
  <si>
    <t xml:space="preserve">Total Assets </t>
  </si>
  <si>
    <t>A/P</t>
  </si>
  <si>
    <t>Accrued/Other</t>
  </si>
  <si>
    <t>Op Lease</t>
  </si>
  <si>
    <t>Deferred rev</t>
  </si>
  <si>
    <t xml:space="preserve">Total Liabilities </t>
  </si>
  <si>
    <t xml:space="preserve">Equity </t>
  </si>
  <si>
    <t>TL + E</t>
  </si>
  <si>
    <t xml:space="preserve">Current Debt </t>
  </si>
  <si>
    <t>Op Lease LT</t>
  </si>
  <si>
    <t>Deferred Taxes</t>
  </si>
  <si>
    <t xml:space="preserve">Net Income </t>
  </si>
  <si>
    <t>Media Library Amortization</t>
  </si>
  <si>
    <t>D&amp;A</t>
  </si>
  <si>
    <t>Noncash op lease</t>
  </si>
  <si>
    <t>SBC</t>
  </si>
  <si>
    <t xml:space="preserve">Additions to media library </t>
  </si>
  <si>
    <t>Accrued &amp; Other Liab</t>
  </si>
  <si>
    <t xml:space="preserve">Deferred Rev </t>
  </si>
  <si>
    <t xml:space="preserve">CFFO </t>
  </si>
  <si>
    <t>Capex</t>
  </si>
  <si>
    <t>Purchases of Intangibles</t>
  </si>
  <si>
    <t>CFFI</t>
  </si>
  <si>
    <t>Repay STD</t>
  </si>
  <si>
    <t>Proceeds from ST borrowings</t>
  </si>
  <si>
    <t>Procees sale of subsi stock</t>
  </si>
  <si>
    <t>Proceeds from common</t>
  </si>
  <si>
    <t>CFFF</t>
  </si>
  <si>
    <t>Net Change in Cash</t>
  </si>
  <si>
    <t xml:space="preserve">Cash @ Beginning </t>
  </si>
  <si>
    <t>YY Growth</t>
  </si>
  <si>
    <t>GM%</t>
  </si>
  <si>
    <t xml:space="preserve">Net Cash </t>
  </si>
  <si>
    <t>Cash Per Share</t>
  </si>
  <si>
    <t>Shares</t>
  </si>
  <si>
    <t xml:space="preserve">Estimate </t>
  </si>
  <si>
    <t>25R</t>
  </si>
  <si>
    <t>EV/25R</t>
  </si>
  <si>
    <t>Debt</t>
  </si>
  <si>
    <t>BVPS</t>
  </si>
  <si>
    <t>Notes</t>
  </si>
  <si>
    <t>Press Releases</t>
  </si>
  <si>
    <t>1.5x BV</t>
  </si>
  <si>
    <t>Founded</t>
  </si>
  <si>
    <t>Over 10k titles</t>
  </si>
  <si>
    <t>Ned Preston</t>
  </si>
  <si>
    <t>Contet Categories: Personal Growth &amp; Transformation, Ancient Wisdom &amp; Unexplained Mysteries, Wellness, Yoga &amp; Meditation</t>
  </si>
  <si>
    <t xml:space="preserve">Core Demographic: 65% Female, 45-65yrs old, Highly Educated, $75k+ HH income </t>
  </si>
  <si>
    <t>FCF</t>
  </si>
  <si>
    <t>LTV/CAC</t>
  </si>
  <si>
    <t xml:space="preserve">Gross Profit to Content Efficiency </t>
  </si>
  <si>
    <t xml:space="preserve">Investor Deck 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</si>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</sst>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"/>
    <numFmt numFmtId="166" formatCode="0.0\x"/>
    <numFmt numFmtId="168" formatCode="0.00\x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5" fillId="0" borderId="0" xfId="1" applyNumberFormat="1"/>
    <xf numFmtId="3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3" fontId="6" fillId="0" borderId="0" xfId="0" applyNumberFormat="1" applyFont="1"/>
    <xf numFmtId="164" fontId="1" fillId="0" borderId="0" xfId="0" applyNumberFormat="1" applyFont="1"/>
    <xf numFmtId="1" fontId="0" fillId="0" borderId="0" xfId="0" applyNumberFormat="1" applyAlignment="1">
      <alignment horizontal="left"/>
    </xf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101600</xdr:rowOff>
    </xdr:from>
    <xdr:to>
      <xdr:col>12</xdr:col>
      <xdr:colOff>33130</xdr:colOff>
      <xdr:row>83</xdr:row>
      <xdr:rowOff>55217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20743E9-A95E-F3F4-6A45-B1E0E6727EA9}"/>
            </a:ext>
          </a:extLst>
        </xdr:cNvPr>
        <xdr:cNvCxnSpPr/>
      </xdr:nvCxnSpPr>
      <xdr:spPr>
        <a:xfrm>
          <a:off x="6329570" y="101600"/>
          <a:ext cx="20430" cy="156574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495300</xdr:colOff>
      <xdr:row>0</xdr:row>
      <xdr:rowOff>12700</xdr:rowOff>
    </xdr:from>
    <xdr:to>
      <xdr:col>26</xdr:col>
      <xdr:colOff>0</xdr:colOff>
      <xdr:row>56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E106E6-18BE-AE41-B152-544BC7EDCD11}"/>
            </a:ext>
          </a:extLst>
        </xdr:cNvPr>
        <xdr:cNvCxnSpPr/>
      </xdr:nvCxnSpPr>
      <xdr:spPr>
        <a:xfrm>
          <a:off x="12725400" y="12700"/>
          <a:ext cx="12700" cy="10020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ntent.equisolve.net/_339d228d3799382dc3d98c8ecc4952ad/gaia/db/313/1793/pdf/Gaia+Investor+Presentation+-+September+2025+FINAL+v4.pdf" TargetMode="External"/><Relationship Id="rId1" Type="http://schemas.openxmlformats.org/officeDocument/2006/relationships/hyperlink" Target="https://ir.gaia.com/news-events/press-releases/detail/371/gaia-reports-second-quarter-2025-resul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ACA3-89D4-F445-9BA3-D6CC99CBB8D1}">
  <dimension ref="B3:J24"/>
  <sheetViews>
    <sheetView tabSelected="1" workbookViewId="0">
      <selection activeCell="I15" sqref="I15"/>
    </sheetView>
  </sheetViews>
  <sheetFormatPr baseColWidth="10" defaultRowHeight="16" x14ac:dyDescent="0.2"/>
  <cols>
    <col min="1" max="1" width="1.83203125" style="1" customWidth="1"/>
    <col min="2" max="2" width="8.1640625" style="1" bestFit="1" customWidth="1"/>
    <col min="3" max="3" width="21" style="1" customWidth="1"/>
    <col min="4" max="7" width="10.83203125" style="1"/>
    <col min="8" max="8" width="13.33203125" style="1" bestFit="1" customWidth="1"/>
    <col min="9" max="9" width="6.6640625" style="1" bestFit="1" customWidth="1"/>
    <col min="10" max="10" width="5.5" style="1" bestFit="1" customWidth="1"/>
    <col min="11" max="16384" width="10.83203125" style="1"/>
  </cols>
  <sheetData>
    <row r="3" spans="2:10" x14ac:dyDescent="0.2">
      <c r="B3" s="1" t="s">
        <v>7</v>
      </c>
      <c r="C3" s="1" t="s">
        <v>29</v>
      </c>
      <c r="H3" s="1" t="s">
        <v>0</v>
      </c>
      <c r="I3" s="8">
        <v>6.05</v>
      </c>
    </row>
    <row r="4" spans="2:10" x14ac:dyDescent="0.2">
      <c r="B4" s="1" t="s">
        <v>8</v>
      </c>
      <c r="C4" s="1" t="s">
        <v>85</v>
      </c>
      <c r="H4" s="1" t="s">
        <v>1</v>
      </c>
      <c r="I4" s="1">
        <f>19.709325+5.4</f>
        <v>25.109324999999998</v>
      </c>
      <c r="J4" s="1" t="s">
        <v>6</v>
      </c>
    </row>
    <row r="5" spans="2:10" x14ac:dyDescent="0.2">
      <c r="B5" s="1" t="s">
        <v>83</v>
      </c>
      <c r="C5" s="14">
        <v>1988</v>
      </c>
      <c r="H5" s="1" t="s">
        <v>2</v>
      </c>
      <c r="I5" s="1">
        <f>+I3*I4</f>
        <v>151.91141624999997</v>
      </c>
    </row>
    <row r="6" spans="2:10" x14ac:dyDescent="0.2">
      <c r="H6" s="1" t="s">
        <v>3</v>
      </c>
      <c r="I6" s="1">
        <f>13.924+0</f>
        <v>13.923999999999999</v>
      </c>
      <c r="J6" s="1" t="str">
        <f>+J4</f>
        <v>Q225</v>
      </c>
    </row>
    <row r="7" spans="2:10" x14ac:dyDescent="0.2">
      <c r="H7" s="1" t="s">
        <v>4</v>
      </c>
      <c r="I7" s="1">
        <f>5.719+0</f>
        <v>5.7190000000000003</v>
      </c>
      <c r="J7" s="1" t="str">
        <f>+J6</f>
        <v>Q225</v>
      </c>
    </row>
    <row r="8" spans="2:10" x14ac:dyDescent="0.2">
      <c r="C8" s="5" t="s">
        <v>91</v>
      </c>
      <c r="H8" s="1" t="s">
        <v>5</v>
      </c>
      <c r="I8" s="1">
        <f>+I5-I6+I7</f>
        <v>143.70641624999996</v>
      </c>
    </row>
    <row r="10" spans="2:10" x14ac:dyDescent="0.2">
      <c r="H10" s="1" t="s">
        <v>72</v>
      </c>
      <c r="I10" s="1">
        <f>(I6-I7)</f>
        <v>8.2049999999999983</v>
      </c>
    </row>
    <row r="11" spans="2:10" x14ac:dyDescent="0.2">
      <c r="H11" s="1" t="s">
        <v>73</v>
      </c>
      <c r="I11" s="9">
        <f>+I10/I4</f>
        <v>0.32677103028456556</v>
      </c>
    </row>
    <row r="12" spans="2:10" x14ac:dyDescent="0.2">
      <c r="H12" s="1" t="s">
        <v>79</v>
      </c>
      <c r="I12" s="8">
        <f>+(Model!L45 / 10^3) /I4</f>
        <v>3.9264695486636936</v>
      </c>
      <c r="J12" s="8"/>
    </row>
    <row r="13" spans="2:10" x14ac:dyDescent="0.2">
      <c r="H13" s="1" t="s">
        <v>82</v>
      </c>
      <c r="I13" s="8">
        <f>+I12*1.5</f>
        <v>5.8897043229955406</v>
      </c>
    </row>
    <row r="16" spans="2:10" x14ac:dyDescent="0.2">
      <c r="C16" s="4" t="s">
        <v>80</v>
      </c>
    </row>
    <row r="17" spans="3:3" x14ac:dyDescent="0.2">
      <c r="C17" s="1" t="s">
        <v>84</v>
      </c>
    </row>
    <row r="18" spans="3:3" x14ac:dyDescent="0.2">
      <c r="C18" s="1" t="s">
        <v>86</v>
      </c>
    </row>
    <row r="19" spans="3:3" x14ac:dyDescent="0.2">
      <c r="C19" s="1" t="s">
        <v>28</v>
      </c>
    </row>
    <row r="20" spans="3:3" x14ac:dyDescent="0.2">
      <c r="C20" s="1" t="s">
        <v>87</v>
      </c>
    </row>
    <row r="23" spans="3:3" x14ac:dyDescent="0.2">
      <c r="C23" s="4" t="s">
        <v>81</v>
      </c>
    </row>
    <row r="24" spans="3:3" x14ac:dyDescent="0.2">
      <c r="C24" s="5" t="s">
        <v>6</v>
      </c>
    </row>
  </sheetData>
  <hyperlinks>
    <hyperlink ref="C24" r:id="rId1" xr:uid="{DD4EC3A5-AC3C-9B4B-81CF-7FC21F88D011}"/>
    <hyperlink ref="C8" r:id="rId2" xr:uid="{6459CA3F-19A8-9547-8CEC-2406936B0A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A0C7-C353-8444-840B-71DCF6BF377C}">
  <dimension ref="B2:IC75"/>
  <sheetViews>
    <sheetView zoomScale="89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I26" sqref="AI26"/>
    </sheetView>
  </sheetViews>
  <sheetFormatPr baseColWidth="10" defaultRowHeight="16" x14ac:dyDescent="0.2"/>
  <cols>
    <col min="1" max="1" width="1" style="1" customWidth="1"/>
    <col min="2" max="2" width="29" style="1" bestFit="1" customWidth="1"/>
    <col min="3" max="9" width="7.5" style="1" bestFit="1" customWidth="1"/>
    <col min="10" max="12" width="8.6640625" style="1" bestFit="1" customWidth="1"/>
    <col min="13" max="14" width="7.5" style="1" bestFit="1" customWidth="1"/>
    <col min="15" max="16" width="10.83203125" style="1"/>
    <col min="17" max="19" width="5.83203125" style="1" bestFit="1" customWidth="1"/>
    <col min="20" max="22" width="7.5" style="1" bestFit="1" customWidth="1"/>
    <col min="23" max="24" width="5.83203125" style="1" bestFit="1" customWidth="1"/>
    <col min="25" max="27" width="7.5" style="1" bestFit="1" customWidth="1"/>
    <col min="28" max="36" width="8.6640625" style="1" bestFit="1" customWidth="1"/>
    <col min="37" max="37" width="5.83203125" style="1" bestFit="1" customWidth="1"/>
    <col min="38" max="38" width="8.83203125" style="1" bestFit="1" customWidth="1"/>
    <col min="39" max="237" width="5.83203125" style="1" bestFit="1" customWidth="1"/>
    <col min="238" max="16384" width="10.83203125" style="1"/>
  </cols>
  <sheetData>
    <row r="2" spans="2:237" s="2" customFormat="1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6</v>
      </c>
      <c r="M2" s="2" t="s">
        <v>18</v>
      </c>
      <c r="N2" s="2" t="s">
        <v>19</v>
      </c>
      <c r="Q2" s="2">
        <v>2015</v>
      </c>
      <c r="R2" s="2">
        <f>+Q2+1</f>
        <v>2016</v>
      </c>
      <c r="S2" s="2">
        <f t="shared" ref="S2:AJ2" si="0">+R2+1</f>
        <v>2017</v>
      </c>
      <c r="T2" s="2">
        <f t="shared" si="0"/>
        <v>2018</v>
      </c>
      <c r="U2" s="2">
        <f t="shared" si="0"/>
        <v>2019</v>
      </c>
      <c r="V2" s="2">
        <f t="shared" si="0"/>
        <v>2020</v>
      </c>
      <c r="W2" s="2">
        <f t="shared" si="0"/>
        <v>2021</v>
      </c>
      <c r="X2" s="2">
        <f t="shared" si="0"/>
        <v>2022</v>
      </c>
      <c r="Y2" s="2">
        <f t="shared" si="0"/>
        <v>2023</v>
      </c>
      <c r="Z2" s="2">
        <f t="shared" si="0"/>
        <v>2024</v>
      </c>
      <c r="AA2" s="2">
        <f t="shared" si="0"/>
        <v>2025</v>
      </c>
      <c r="AB2" s="2">
        <f t="shared" si="0"/>
        <v>2026</v>
      </c>
      <c r="AC2" s="2">
        <f t="shared" si="0"/>
        <v>2027</v>
      </c>
      <c r="AD2" s="2">
        <f t="shared" si="0"/>
        <v>2028</v>
      </c>
      <c r="AE2" s="2">
        <f t="shared" si="0"/>
        <v>2029</v>
      </c>
      <c r="AF2" s="2">
        <f t="shared" si="0"/>
        <v>2030</v>
      </c>
      <c r="AG2" s="2">
        <f t="shared" si="0"/>
        <v>2031</v>
      </c>
      <c r="AH2" s="2">
        <f t="shared" si="0"/>
        <v>2032</v>
      </c>
      <c r="AI2" s="2">
        <f t="shared" si="0"/>
        <v>2033</v>
      </c>
      <c r="AJ2" s="2">
        <f t="shared" si="0"/>
        <v>2034</v>
      </c>
      <c r="AK2" s="2">
        <f>+AJ2+1</f>
        <v>2035</v>
      </c>
      <c r="AL2" s="2">
        <f t="shared" ref="AL2:CW2" si="1">+AK2+1</f>
        <v>2036</v>
      </c>
      <c r="AM2" s="2">
        <f t="shared" si="1"/>
        <v>2037</v>
      </c>
      <c r="AN2" s="2">
        <f t="shared" si="1"/>
        <v>2038</v>
      </c>
      <c r="AO2" s="2">
        <f t="shared" si="1"/>
        <v>2039</v>
      </c>
      <c r="AP2" s="2">
        <f t="shared" si="1"/>
        <v>2040</v>
      </c>
      <c r="AQ2" s="2">
        <f t="shared" si="1"/>
        <v>2041</v>
      </c>
      <c r="AR2" s="2">
        <f t="shared" si="1"/>
        <v>2042</v>
      </c>
      <c r="AS2" s="2">
        <f t="shared" si="1"/>
        <v>2043</v>
      </c>
      <c r="AT2" s="2">
        <f t="shared" si="1"/>
        <v>2044</v>
      </c>
      <c r="AU2" s="2">
        <f t="shared" si="1"/>
        <v>2045</v>
      </c>
      <c r="AV2" s="2">
        <f t="shared" si="1"/>
        <v>2046</v>
      </c>
      <c r="AW2" s="2">
        <f t="shared" si="1"/>
        <v>2047</v>
      </c>
      <c r="AX2" s="2">
        <f t="shared" si="1"/>
        <v>2048</v>
      </c>
      <c r="AY2" s="2">
        <f t="shared" si="1"/>
        <v>2049</v>
      </c>
      <c r="AZ2" s="2">
        <f t="shared" si="1"/>
        <v>2050</v>
      </c>
      <c r="BA2" s="2">
        <f t="shared" si="1"/>
        <v>2051</v>
      </c>
      <c r="BB2" s="2">
        <f t="shared" si="1"/>
        <v>2052</v>
      </c>
      <c r="BC2" s="2">
        <f t="shared" si="1"/>
        <v>2053</v>
      </c>
      <c r="BD2" s="2">
        <f t="shared" si="1"/>
        <v>2054</v>
      </c>
      <c r="BE2" s="2">
        <f t="shared" si="1"/>
        <v>2055</v>
      </c>
      <c r="BF2" s="2">
        <f t="shared" si="1"/>
        <v>2056</v>
      </c>
      <c r="BG2" s="2">
        <f t="shared" si="1"/>
        <v>2057</v>
      </c>
      <c r="BH2" s="2">
        <f t="shared" si="1"/>
        <v>2058</v>
      </c>
      <c r="BI2" s="2">
        <f t="shared" si="1"/>
        <v>2059</v>
      </c>
      <c r="BJ2" s="2">
        <f t="shared" si="1"/>
        <v>2060</v>
      </c>
      <c r="BK2" s="2">
        <f t="shared" si="1"/>
        <v>2061</v>
      </c>
      <c r="BL2" s="2">
        <f t="shared" si="1"/>
        <v>2062</v>
      </c>
      <c r="BM2" s="2">
        <f t="shared" si="1"/>
        <v>2063</v>
      </c>
      <c r="BN2" s="2">
        <f t="shared" si="1"/>
        <v>2064</v>
      </c>
      <c r="BO2" s="2">
        <f t="shared" si="1"/>
        <v>2065</v>
      </c>
      <c r="BP2" s="2">
        <f t="shared" si="1"/>
        <v>2066</v>
      </c>
      <c r="BQ2" s="2">
        <f t="shared" si="1"/>
        <v>2067</v>
      </c>
      <c r="BR2" s="2">
        <f t="shared" si="1"/>
        <v>2068</v>
      </c>
      <c r="BS2" s="2">
        <f t="shared" si="1"/>
        <v>2069</v>
      </c>
      <c r="BT2" s="2">
        <f t="shared" si="1"/>
        <v>2070</v>
      </c>
      <c r="BU2" s="2">
        <f t="shared" si="1"/>
        <v>2071</v>
      </c>
      <c r="BV2" s="2">
        <f t="shared" si="1"/>
        <v>2072</v>
      </c>
      <c r="BW2" s="2">
        <f t="shared" si="1"/>
        <v>2073</v>
      </c>
      <c r="BX2" s="2">
        <f t="shared" si="1"/>
        <v>2074</v>
      </c>
      <c r="BY2" s="2">
        <f t="shared" si="1"/>
        <v>2075</v>
      </c>
      <c r="BZ2" s="2">
        <f t="shared" si="1"/>
        <v>2076</v>
      </c>
      <c r="CA2" s="2">
        <f t="shared" si="1"/>
        <v>2077</v>
      </c>
      <c r="CB2" s="2">
        <f t="shared" si="1"/>
        <v>2078</v>
      </c>
      <c r="CC2" s="2">
        <f t="shared" si="1"/>
        <v>2079</v>
      </c>
      <c r="CD2" s="2">
        <f t="shared" si="1"/>
        <v>2080</v>
      </c>
      <c r="CE2" s="2">
        <f t="shared" si="1"/>
        <v>2081</v>
      </c>
      <c r="CF2" s="2">
        <f t="shared" si="1"/>
        <v>2082</v>
      </c>
      <c r="CG2" s="2">
        <f t="shared" si="1"/>
        <v>2083</v>
      </c>
      <c r="CH2" s="2">
        <f t="shared" si="1"/>
        <v>2084</v>
      </c>
      <c r="CI2" s="2">
        <f t="shared" si="1"/>
        <v>2085</v>
      </c>
      <c r="CJ2" s="2">
        <f t="shared" si="1"/>
        <v>2086</v>
      </c>
      <c r="CK2" s="2">
        <f t="shared" si="1"/>
        <v>2087</v>
      </c>
      <c r="CL2" s="2">
        <f t="shared" si="1"/>
        <v>2088</v>
      </c>
      <c r="CM2" s="2">
        <f t="shared" si="1"/>
        <v>2089</v>
      </c>
      <c r="CN2" s="2">
        <f t="shared" si="1"/>
        <v>2090</v>
      </c>
      <c r="CO2" s="2">
        <f t="shared" si="1"/>
        <v>2091</v>
      </c>
      <c r="CP2" s="2">
        <f t="shared" si="1"/>
        <v>2092</v>
      </c>
      <c r="CQ2" s="2">
        <f t="shared" si="1"/>
        <v>2093</v>
      </c>
      <c r="CR2" s="2">
        <f t="shared" si="1"/>
        <v>2094</v>
      </c>
      <c r="CS2" s="2">
        <f t="shared" si="1"/>
        <v>2095</v>
      </c>
      <c r="CT2" s="2">
        <f t="shared" si="1"/>
        <v>2096</v>
      </c>
      <c r="CU2" s="2">
        <f t="shared" si="1"/>
        <v>2097</v>
      </c>
      <c r="CV2" s="2">
        <f t="shared" si="1"/>
        <v>2098</v>
      </c>
      <c r="CW2" s="2">
        <f t="shared" si="1"/>
        <v>2099</v>
      </c>
      <c r="CX2" s="2">
        <f t="shared" ref="CX2:DN2" si="2">+CW2+1</f>
        <v>2100</v>
      </c>
      <c r="CY2" s="2">
        <f t="shared" si="2"/>
        <v>2101</v>
      </c>
      <c r="CZ2" s="2">
        <f t="shared" si="2"/>
        <v>2102</v>
      </c>
      <c r="DA2" s="2">
        <f t="shared" si="2"/>
        <v>2103</v>
      </c>
      <c r="DB2" s="2">
        <f t="shared" si="2"/>
        <v>2104</v>
      </c>
      <c r="DC2" s="2">
        <f t="shared" si="2"/>
        <v>2105</v>
      </c>
      <c r="DD2" s="2">
        <f t="shared" si="2"/>
        <v>2106</v>
      </c>
      <c r="DE2" s="2">
        <f t="shared" si="2"/>
        <v>2107</v>
      </c>
      <c r="DF2" s="2">
        <f t="shared" si="2"/>
        <v>2108</v>
      </c>
      <c r="DG2" s="2">
        <f t="shared" si="2"/>
        <v>2109</v>
      </c>
      <c r="DH2" s="2">
        <f t="shared" si="2"/>
        <v>2110</v>
      </c>
      <c r="DI2" s="2">
        <f t="shared" si="2"/>
        <v>2111</v>
      </c>
      <c r="DJ2" s="2">
        <f t="shared" si="2"/>
        <v>2112</v>
      </c>
      <c r="DK2" s="2">
        <f t="shared" si="2"/>
        <v>2113</v>
      </c>
      <c r="DL2" s="2">
        <f t="shared" si="2"/>
        <v>2114</v>
      </c>
      <c r="DM2" s="2">
        <f t="shared" si="2"/>
        <v>2115</v>
      </c>
      <c r="DN2" s="2">
        <f t="shared" si="2"/>
        <v>2116</v>
      </c>
      <c r="DO2" s="2">
        <f t="shared" ref="DO2:EW2" si="3">+DN2+1</f>
        <v>2117</v>
      </c>
      <c r="DP2" s="2">
        <f t="shared" si="3"/>
        <v>2118</v>
      </c>
      <c r="DQ2" s="2">
        <f t="shared" si="3"/>
        <v>2119</v>
      </c>
      <c r="DR2" s="2">
        <f t="shared" si="3"/>
        <v>2120</v>
      </c>
      <c r="DS2" s="2">
        <f t="shared" si="3"/>
        <v>2121</v>
      </c>
      <c r="DT2" s="2">
        <f t="shared" si="3"/>
        <v>2122</v>
      </c>
      <c r="DU2" s="2">
        <f t="shared" si="3"/>
        <v>2123</v>
      </c>
      <c r="DV2" s="2">
        <f t="shared" si="3"/>
        <v>2124</v>
      </c>
      <c r="DW2" s="2">
        <f t="shared" si="3"/>
        <v>2125</v>
      </c>
      <c r="DX2" s="2">
        <f t="shared" si="3"/>
        <v>2126</v>
      </c>
      <c r="DY2" s="2">
        <f t="shared" si="3"/>
        <v>2127</v>
      </c>
      <c r="DZ2" s="2">
        <f t="shared" si="3"/>
        <v>2128</v>
      </c>
      <c r="EA2" s="2">
        <f t="shared" si="3"/>
        <v>2129</v>
      </c>
      <c r="EB2" s="2">
        <f t="shared" si="3"/>
        <v>2130</v>
      </c>
      <c r="EC2" s="2">
        <f t="shared" si="3"/>
        <v>2131</v>
      </c>
      <c r="ED2" s="2">
        <f t="shared" si="3"/>
        <v>2132</v>
      </c>
      <c r="EE2" s="2">
        <f t="shared" si="3"/>
        <v>2133</v>
      </c>
      <c r="EF2" s="2">
        <f t="shared" si="3"/>
        <v>2134</v>
      </c>
      <c r="EG2" s="2">
        <f t="shared" si="3"/>
        <v>2135</v>
      </c>
      <c r="EH2" s="2">
        <f t="shared" si="3"/>
        <v>2136</v>
      </c>
      <c r="EI2" s="2">
        <f t="shared" si="3"/>
        <v>2137</v>
      </c>
      <c r="EJ2" s="2">
        <f t="shared" si="3"/>
        <v>2138</v>
      </c>
      <c r="EK2" s="2">
        <f t="shared" si="3"/>
        <v>2139</v>
      </c>
      <c r="EL2" s="2">
        <f t="shared" si="3"/>
        <v>2140</v>
      </c>
      <c r="EM2" s="2">
        <f t="shared" si="3"/>
        <v>2141</v>
      </c>
      <c r="EN2" s="2">
        <f t="shared" si="3"/>
        <v>2142</v>
      </c>
      <c r="EO2" s="2">
        <f t="shared" si="3"/>
        <v>2143</v>
      </c>
      <c r="EP2" s="2">
        <f t="shared" si="3"/>
        <v>2144</v>
      </c>
      <c r="EQ2" s="2">
        <f t="shared" si="3"/>
        <v>2145</v>
      </c>
      <c r="ER2" s="2">
        <f t="shared" si="3"/>
        <v>2146</v>
      </c>
      <c r="ES2" s="2">
        <f t="shared" si="3"/>
        <v>2147</v>
      </c>
      <c r="ET2" s="2">
        <f t="shared" si="3"/>
        <v>2148</v>
      </c>
      <c r="EU2" s="2">
        <f t="shared" si="3"/>
        <v>2149</v>
      </c>
      <c r="EV2" s="2">
        <f t="shared" si="3"/>
        <v>2150</v>
      </c>
      <c r="EW2" s="2">
        <f t="shared" si="3"/>
        <v>2151</v>
      </c>
      <c r="EX2" s="2">
        <f t="shared" ref="EX2:FL2" si="4">+EW2+1</f>
        <v>2152</v>
      </c>
      <c r="EY2" s="2">
        <f t="shared" si="4"/>
        <v>2153</v>
      </c>
      <c r="EZ2" s="2">
        <f t="shared" si="4"/>
        <v>2154</v>
      </c>
      <c r="FA2" s="2">
        <f t="shared" si="4"/>
        <v>2155</v>
      </c>
      <c r="FB2" s="2">
        <f t="shared" si="4"/>
        <v>2156</v>
      </c>
      <c r="FC2" s="2">
        <f t="shared" si="4"/>
        <v>2157</v>
      </c>
      <c r="FD2" s="2">
        <f t="shared" si="4"/>
        <v>2158</v>
      </c>
      <c r="FE2" s="2">
        <f t="shared" si="4"/>
        <v>2159</v>
      </c>
      <c r="FF2" s="2">
        <f t="shared" si="4"/>
        <v>2160</v>
      </c>
      <c r="FG2" s="2">
        <f t="shared" si="4"/>
        <v>2161</v>
      </c>
      <c r="FH2" s="2">
        <f t="shared" si="4"/>
        <v>2162</v>
      </c>
      <c r="FI2" s="2">
        <f t="shared" si="4"/>
        <v>2163</v>
      </c>
      <c r="FJ2" s="2">
        <f t="shared" si="4"/>
        <v>2164</v>
      </c>
      <c r="FK2" s="2">
        <f t="shared" si="4"/>
        <v>2165</v>
      </c>
      <c r="FL2" s="2">
        <f t="shared" si="4"/>
        <v>2166</v>
      </c>
      <c r="FM2" s="2">
        <f t="shared" ref="FM2:HF2" si="5">+FL2+1</f>
        <v>2167</v>
      </c>
      <c r="FN2" s="2">
        <f t="shared" si="5"/>
        <v>2168</v>
      </c>
      <c r="FO2" s="2">
        <f t="shared" si="5"/>
        <v>2169</v>
      </c>
      <c r="FP2" s="2">
        <f t="shared" si="5"/>
        <v>2170</v>
      </c>
      <c r="FQ2" s="2">
        <f t="shared" si="5"/>
        <v>2171</v>
      </c>
      <c r="FR2" s="2">
        <f t="shared" si="5"/>
        <v>2172</v>
      </c>
      <c r="FS2" s="2">
        <f t="shared" si="5"/>
        <v>2173</v>
      </c>
      <c r="FT2" s="2">
        <f t="shared" si="5"/>
        <v>2174</v>
      </c>
      <c r="FU2" s="2">
        <f t="shared" si="5"/>
        <v>2175</v>
      </c>
      <c r="FV2" s="2">
        <f t="shared" si="5"/>
        <v>2176</v>
      </c>
      <c r="FW2" s="2">
        <f t="shared" si="5"/>
        <v>2177</v>
      </c>
      <c r="FX2" s="2">
        <f t="shared" si="5"/>
        <v>2178</v>
      </c>
      <c r="FY2" s="2">
        <f t="shared" si="5"/>
        <v>2179</v>
      </c>
      <c r="FZ2" s="2">
        <f t="shared" si="5"/>
        <v>2180</v>
      </c>
      <c r="GA2" s="2">
        <f t="shared" si="5"/>
        <v>2181</v>
      </c>
      <c r="GB2" s="2">
        <f t="shared" si="5"/>
        <v>2182</v>
      </c>
      <c r="GC2" s="2">
        <f t="shared" si="5"/>
        <v>2183</v>
      </c>
      <c r="GD2" s="2">
        <f t="shared" si="5"/>
        <v>2184</v>
      </c>
      <c r="GE2" s="2">
        <f t="shared" si="5"/>
        <v>2185</v>
      </c>
      <c r="GF2" s="2">
        <f t="shared" si="5"/>
        <v>2186</v>
      </c>
      <c r="GG2" s="2">
        <f t="shared" si="5"/>
        <v>2187</v>
      </c>
      <c r="GH2" s="2">
        <f t="shared" si="5"/>
        <v>2188</v>
      </c>
      <c r="GI2" s="2">
        <f t="shared" si="5"/>
        <v>2189</v>
      </c>
      <c r="GJ2" s="2">
        <f t="shared" si="5"/>
        <v>2190</v>
      </c>
      <c r="GK2" s="2">
        <f t="shared" si="5"/>
        <v>2191</v>
      </c>
      <c r="GL2" s="2">
        <f t="shared" si="5"/>
        <v>2192</v>
      </c>
      <c r="GM2" s="2">
        <f t="shared" si="5"/>
        <v>2193</v>
      </c>
      <c r="GN2" s="2">
        <f t="shared" si="5"/>
        <v>2194</v>
      </c>
      <c r="GO2" s="2">
        <f t="shared" si="5"/>
        <v>2195</v>
      </c>
      <c r="GP2" s="2">
        <f t="shared" si="5"/>
        <v>2196</v>
      </c>
      <c r="GQ2" s="2">
        <f t="shared" si="5"/>
        <v>2197</v>
      </c>
      <c r="GR2" s="2">
        <f t="shared" si="5"/>
        <v>2198</v>
      </c>
      <c r="GS2" s="2">
        <f t="shared" si="5"/>
        <v>2199</v>
      </c>
      <c r="GT2" s="2">
        <f t="shared" si="5"/>
        <v>2200</v>
      </c>
      <c r="GU2" s="2">
        <f t="shared" si="5"/>
        <v>2201</v>
      </c>
      <c r="GV2" s="2">
        <f t="shared" si="5"/>
        <v>2202</v>
      </c>
      <c r="GW2" s="2">
        <f t="shared" si="5"/>
        <v>2203</v>
      </c>
      <c r="GX2" s="2">
        <f t="shared" si="5"/>
        <v>2204</v>
      </c>
      <c r="GY2" s="2">
        <f t="shared" si="5"/>
        <v>2205</v>
      </c>
      <c r="GZ2" s="2">
        <f t="shared" si="5"/>
        <v>2206</v>
      </c>
      <c r="HA2" s="2">
        <f t="shared" si="5"/>
        <v>2207</v>
      </c>
      <c r="HB2" s="2">
        <f t="shared" si="5"/>
        <v>2208</v>
      </c>
      <c r="HC2" s="2">
        <f t="shared" si="5"/>
        <v>2209</v>
      </c>
      <c r="HD2" s="2">
        <f t="shared" si="5"/>
        <v>2210</v>
      </c>
      <c r="HE2" s="2">
        <f t="shared" si="5"/>
        <v>2211</v>
      </c>
      <c r="HF2" s="2">
        <f t="shared" si="5"/>
        <v>2212</v>
      </c>
      <c r="HG2" s="2">
        <f t="shared" ref="HG2:HN2" si="6">+HF2+1</f>
        <v>2213</v>
      </c>
      <c r="HH2" s="2">
        <f t="shared" si="6"/>
        <v>2214</v>
      </c>
      <c r="HI2" s="2">
        <f t="shared" si="6"/>
        <v>2215</v>
      </c>
      <c r="HJ2" s="2">
        <f t="shared" si="6"/>
        <v>2216</v>
      </c>
      <c r="HK2" s="2">
        <f t="shared" si="6"/>
        <v>2217</v>
      </c>
      <c r="HL2" s="2">
        <f t="shared" si="6"/>
        <v>2218</v>
      </c>
      <c r="HM2" s="2">
        <f t="shared" si="6"/>
        <v>2219</v>
      </c>
      <c r="HN2" s="2">
        <f t="shared" si="6"/>
        <v>2220</v>
      </c>
      <c r="HO2" s="2">
        <f t="shared" ref="HO2:HX2" si="7">+HN2+1</f>
        <v>2221</v>
      </c>
      <c r="HP2" s="2">
        <f t="shared" si="7"/>
        <v>2222</v>
      </c>
      <c r="HQ2" s="2">
        <f t="shared" si="7"/>
        <v>2223</v>
      </c>
      <c r="HR2" s="2">
        <f t="shared" si="7"/>
        <v>2224</v>
      </c>
      <c r="HS2" s="2">
        <f t="shared" si="7"/>
        <v>2225</v>
      </c>
      <c r="HT2" s="2">
        <f t="shared" si="7"/>
        <v>2226</v>
      </c>
      <c r="HU2" s="2">
        <f t="shared" si="7"/>
        <v>2227</v>
      </c>
      <c r="HV2" s="2">
        <f t="shared" si="7"/>
        <v>2228</v>
      </c>
      <c r="HW2" s="2">
        <f t="shared" si="7"/>
        <v>2229</v>
      </c>
      <c r="HX2" s="2">
        <f t="shared" si="7"/>
        <v>2230</v>
      </c>
      <c r="HY2" s="2">
        <f t="shared" ref="HY2:IC2" si="8">+HX2+1</f>
        <v>2231</v>
      </c>
      <c r="HZ2" s="2">
        <f t="shared" si="8"/>
        <v>2232</v>
      </c>
      <c r="IA2" s="2">
        <f t="shared" si="8"/>
        <v>2233</v>
      </c>
      <c r="IB2" s="2">
        <f t="shared" si="8"/>
        <v>2234</v>
      </c>
      <c r="IC2" s="2">
        <f t="shared" si="8"/>
        <v>2235</v>
      </c>
    </row>
    <row r="3" spans="2:237" s="2" customFormat="1" x14ac:dyDescent="0.2">
      <c r="B3" s="2" t="s">
        <v>89</v>
      </c>
      <c r="T3" s="10">
        <v>2.8</v>
      </c>
      <c r="U3" s="10">
        <v>3.5</v>
      </c>
      <c r="V3" s="10">
        <v>5.6</v>
      </c>
      <c r="W3" s="10">
        <v>6.2</v>
      </c>
      <c r="X3" s="10"/>
      <c r="Y3" s="10"/>
      <c r="Z3" s="10"/>
    </row>
    <row r="4" spans="2:237" s="2" customFormat="1" x14ac:dyDescent="0.2"/>
    <row r="5" spans="2:237" x14ac:dyDescent="0.2">
      <c r="B5" s="1" t="s">
        <v>20</v>
      </c>
      <c r="C5" s="1">
        <v>19647</v>
      </c>
      <c r="D5" s="1">
        <v>19839</v>
      </c>
      <c r="E5" s="1">
        <v>20223</v>
      </c>
      <c r="F5" s="1">
        <f>+Y5-SUM(C5:E5)</f>
        <v>20714</v>
      </c>
      <c r="G5" s="1">
        <v>21314</v>
      </c>
      <c r="H5" s="1">
        <v>21856</v>
      </c>
      <c r="I5" s="1">
        <v>22156</v>
      </c>
      <c r="J5" s="1">
        <f>+Z5-SUM(G5:I5)</f>
        <v>25037</v>
      </c>
      <c r="K5" s="1">
        <v>23840</v>
      </c>
      <c r="L5" s="1">
        <v>24632</v>
      </c>
      <c r="M5" s="1">
        <f>+L5</f>
        <v>24632</v>
      </c>
      <c r="N5" s="1">
        <f>+M5</f>
        <v>24632</v>
      </c>
      <c r="T5" s="1">
        <f>42*1000</f>
        <v>42000</v>
      </c>
      <c r="U5" s="1">
        <v>66800</v>
      </c>
      <c r="V5" s="1">
        <v>82000</v>
      </c>
      <c r="Y5" s="1">
        <v>80423</v>
      </c>
      <c r="Z5" s="1">
        <v>90363</v>
      </c>
      <c r="AA5" s="1">
        <f>SUM(K5:N5)</f>
        <v>97736</v>
      </c>
      <c r="AB5" s="1">
        <f>+AA5*1.08</f>
        <v>105554.88</v>
      </c>
      <c r="AC5" s="1">
        <f t="shared" ref="AC5:AJ5" si="9">+AB5*1.08</f>
        <v>113999.27040000001</v>
      </c>
      <c r="AD5" s="1">
        <f t="shared" si="9"/>
        <v>123119.21203200001</v>
      </c>
      <c r="AE5" s="1">
        <f t="shared" si="9"/>
        <v>132968.74899456001</v>
      </c>
      <c r="AF5" s="1">
        <f t="shared" si="9"/>
        <v>143606.24891412482</v>
      </c>
      <c r="AG5" s="1">
        <f t="shared" si="9"/>
        <v>155094.74882725481</v>
      </c>
      <c r="AH5" s="1">
        <f t="shared" si="9"/>
        <v>167502.32873343519</v>
      </c>
      <c r="AI5" s="1">
        <f t="shared" si="9"/>
        <v>180902.51503211001</v>
      </c>
      <c r="AJ5" s="1">
        <f t="shared" si="9"/>
        <v>195374.71623467881</v>
      </c>
    </row>
    <row r="6" spans="2:237" x14ac:dyDescent="0.2">
      <c r="B6" s="1" t="s">
        <v>3</v>
      </c>
      <c r="C6" s="1">
        <v>2773</v>
      </c>
      <c r="D6" s="1">
        <v>2839</v>
      </c>
      <c r="E6" s="1">
        <v>2983</v>
      </c>
      <c r="F6" s="1">
        <f t="shared" ref="F6:F13" si="10">+Y6-SUM(C6:E6)</f>
        <v>3034</v>
      </c>
      <c r="G6" s="1">
        <v>3132</v>
      </c>
      <c r="H6" s="1">
        <v>3385</v>
      </c>
      <c r="I6" s="1">
        <v>3101</v>
      </c>
      <c r="J6" s="1">
        <f t="shared" ref="J6:J13" si="11">+Z6-SUM(G6:I6)</f>
        <v>2935</v>
      </c>
      <c r="K6" s="1">
        <v>2935</v>
      </c>
      <c r="L6" s="1">
        <v>3285</v>
      </c>
      <c r="M6" s="1">
        <f>+M$5*(L6/L$5)</f>
        <v>3285</v>
      </c>
      <c r="N6" s="1">
        <f>+N$5*(M6/M$5)</f>
        <v>3285</v>
      </c>
      <c r="Y6" s="1">
        <v>11629</v>
      </c>
      <c r="Z6" s="1">
        <v>12553</v>
      </c>
      <c r="AA6" s="1">
        <f>SUM(K6:N6)</f>
        <v>12790</v>
      </c>
      <c r="AB6" s="1">
        <f>+AB$5*(AA6/AA$5)</f>
        <v>13813.2</v>
      </c>
      <c r="AC6" s="1">
        <f t="shared" ref="AC6:AJ6" si="12">+AC$5*(AB6/AB$5)</f>
        <v>14918.256000000001</v>
      </c>
      <c r="AD6" s="1">
        <f t="shared" si="12"/>
        <v>16111.716480000001</v>
      </c>
      <c r="AE6" s="1">
        <f t="shared" si="12"/>
        <v>17400.653798400002</v>
      </c>
      <c r="AF6" s="1">
        <f t="shared" si="12"/>
        <v>18792.706102272005</v>
      </c>
      <c r="AG6" s="1">
        <f t="shared" si="12"/>
        <v>20296.122590453764</v>
      </c>
      <c r="AH6" s="1">
        <f t="shared" si="12"/>
        <v>21919.812397690064</v>
      </c>
      <c r="AI6" s="1">
        <f t="shared" si="12"/>
        <v>23673.39738950527</v>
      </c>
      <c r="AJ6" s="1">
        <f t="shared" si="12"/>
        <v>25567.269180665691</v>
      </c>
    </row>
    <row r="7" spans="2:237" x14ac:dyDescent="0.2">
      <c r="B7" s="1" t="s">
        <v>21</v>
      </c>
      <c r="C7" s="1">
        <v>16123</v>
      </c>
      <c r="D7" s="1">
        <v>17085</v>
      </c>
      <c r="E7" s="1">
        <v>16254</v>
      </c>
      <c r="F7" s="1">
        <f t="shared" si="10"/>
        <v>17694</v>
      </c>
      <c r="G7" s="1">
        <v>17407</v>
      </c>
      <c r="H7" s="1">
        <v>18476</v>
      </c>
      <c r="I7" s="1">
        <v>18398</v>
      </c>
      <c r="J7" s="1">
        <f t="shared" si="11"/>
        <v>21701</v>
      </c>
      <c r="K7" s="1">
        <v>20022</v>
      </c>
      <c r="L7" s="1">
        <v>20634</v>
      </c>
      <c r="M7" s="1">
        <f>+M$5*(L7/L$5)</f>
        <v>20634</v>
      </c>
      <c r="N7" s="1">
        <f>+N$5*(M7/M$5)</f>
        <v>20634</v>
      </c>
      <c r="Y7" s="1">
        <v>67156</v>
      </c>
      <c r="Z7" s="1">
        <v>75982</v>
      </c>
      <c r="AA7" s="1">
        <f t="shared" ref="AA7:AA9" si="13">SUM(K7:N7)</f>
        <v>81924</v>
      </c>
      <c r="AB7" s="1">
        <f>+AB$5*(AA7/AA$5)</f>
        <v>88477.920000000013</v>
      </c>
      <c r="AC7" s="1">
        <f>+AC5*0.83</f>
        <v>94619.394432000001</v>
      </c>
      <c r="AD7" s="1">
        <f>+AD5*0.82</f>
        <v>100957.75386624</v>
      </c>
      <c r="AE7" s="1">
        <f>+AE5*0.81</f>
        <v>107704.68668559361</v>
      </c>
      <c r="AF7" s="1">
        <f>+AF5*0.8</f>
        <v>114884.99913129986</v>
      </c>
      <c r="AG7" s="1">
        <f t="shared" ref="AG7:AJ7" si="14">+AG5*0.8</f>
        <v>124075.79906180385</v>
      </c>
      <c r="AH7" s="1">
        <f t="shared" si="14"/>
        <v>134001.86298674816</v>
      </c>
      <c r="AI7" s="1">
        <f t="shared" si="14"/>
        <v>144722.01202568802</v>
      </c>
      <c r="AJ7" s="1">
        <f t="shared" si="14"/>
        <v>156299.77298774305</v>
      </c>
    </row>
    <row r="8" spans="2:237" x14ac:dyDescent="0.2">
      <c r="B8" s="1" t="s">
        <v>22</v>
      </c>
      <c r="C8" s="1">
        <v>1773</v>
      </c>
      <c r="D8" s="1">
        <v>1520</v>
      </c>
      <c r="E8" s="1">
        <v>1433</v>
      </c>
      <c r="F8" s="1">
        <f t="shared" si="10"/>
        <v>1479</v>
      </c>
      <c r="G8" s="1">
        <v>1629</v>
      </c>
      <c r="H8" s="1">
        <v>1988</v>
      </c>
      <c r="I8" s="1">
        <v>2013</v>
      </c>
      <c r="J8" s="1">
        <f t="shared" si="11"/>
        <v>2131</v>
      </c>
      <c r="K8" s="1">
        <v>1897</v>
      </c>
      <c r="L8" s="1">
        <v>2909</v>
      </c>
      <c r="M8" s="1">
        <f>+M$5*(L8/L$5)</f>
        <v>2909</v>
      </c>
      <c r="N8" s="1">
        <f>+N$5*(M8/M$5)</f>
        <v>2909</v>
      </c>
      <c r="Y8" s="1">
        <v>6205</v>
      </c>
      <c r="Z8" s="1">
        <v>7761</v>
      </c>
      <c r="AA8" s="1">
        <f t="shared" si="13"/>
        <v>10624</v>
      </c>
      <c r="AB8" s="1">
        <f>+AB$5*(AA8/AA$5)</f>
        <v>11473.92</v>
      </c>
      <c r="AC8" s="1">
        <f t="shared" ref="AC8:AJ8" si="15">+AC$5*(AB8/AB$5)</f>
        <v>12391.8336</v>
      </c>
      <c r="AD8" s="1">
        <f t="shared" si="15"/>
        <v>13383.180288</v>
      </c>
      <c r="AE8" s="1">
        <f t="shared" si="15"/>
        <v>14453.834711040001</v>
      </c>
      <c r="AF8" s="1">
        <f t="shared" si="15"/>
        <v>15610.141487923202</v>
      </c>
      <c r="AG8" s="1">
        <f t="shared" si="15"/>
        <v>16858.952806957059</v>
      </c>
      <c r="AH8" s="1">
        <f t="shared" si="15"/>
        <v>18207.669031513626</v>
      </c>
      <c r="AI8" s="1">
        <f t="shared" si="15"/>
        <v>19664.282554034718</v>
      </c>
      <c r="AJ8" s="1">
        <f t="shared" si="15"/>
        <v>21237.425158357499</v>
      </c>
    </row>
    <row r="9" spans="2:237" x14ac:dyDescent="0.2">
      <c r="B9" s="1" t="s">
        <v>23</v>
      </c>
      <c r="C9" s="1">
        <f>+C5-SUM(C6:C8)</f>
        <v>-1022</v>
      </c>
      <c r="D9" s="1">
        <f>+D5-SUM(D6:D8)</f>
        <v>-1605</v>
      </c>
      <c r="E9" s="1">
        <f>+E5-SUM(E6:E8)</f>
        <v>-447</v>
      </c>
      <c r="F9" s="1">
        <f t="shared" si="10"/>
        <v>-1493</v>
      </c>
      <c r="G9" s="1">
        <f>+G5-SUM(G6:G8)</f>
        <v>-854</v>
      </c>
      <c r="H9" s="1">
        <f>+H5-SUM(H6:H8)</f>
        <v>-1993</v>
      </c>
      <c r="I9" s="1">
        <f>+I5-SUM(I6:I8)</f>
        <v>-1356</v>
      </c>
      <c r="J9" s="1">
        <f t="shared" si="11"/>
        <v>-1730</v>
      </c>
      <c r="K9" s="1">
        <f>+K5-SUM(K6:K8)</f>
        <v>-1014</v>
      </c>
      <c r="L9" s="1">
        <f>+L5-SUM(L6:L8)</f>
        <v>-2196</v>
      </c>
      <c r="M9" s="1">
        <f>+M5-SUM(M6:M8)</f>
        <v>-2196</v>
      </c>
      <c r="N9" s="1">
        <f>+N5-SUM(N6:N8)</f>
        <v>-2196</v>
      </c>
      <c r="Y9" s="1">
        <f>+Y5-SUM(Y6:Y8)</f>
        <v>-4567</v>
      </c>
      <c r="Z9" s="1">
        <f>+Z5-SUM(Z6:Z8)</f>
        <v>-5933</v>
      </c>
      <c r="AA9" s="1">
        <f t="shared" si="13"/>
        <v>-7602</v>
      </c>
      <c r="AB9" s="1">
        <f>+AB5-SUM(AB6:AB8)</f>
        <v>-8210.1600000000035</v>
      </c>
      <c r="AC9" s="1">
        <f t="shared" ref="AC9:AJ9" si="16">+AC5-SUM(AC6:AC8)</f>
        <v>-7930.2136319999845</v>
      </c>
      <c r="AD9" s="1">
        <f t="shared" si="16"/>
        <v>-7333.4386022399995</v>
      </c>
      <c r="AE9" s="1">
        <f t="shared" si="16"/>
        <v>-6590.4262004735938</v>
      </c>
      <c r="AF9" s="1">
        <f t="shared" si="16"/>
        <v>-5681.5978073702427</v>
      </c>
      <c r="AG9" s="1">
        <f t="shared" si="16"/>
        <v>-6136.125631959876</v>
      </c>
      <c r="AH9" s="1">
        <f t="shared" si="16"/>
        <v>-6627.0156825166487</v>
      </c>
      <c r="AI9" s="1">
        <f t="shared" si="16"/>
        <v>-7157.176937117998</v>
      </c>
      <c r="AJ9" s="1">
        <f t="shared" si="16"/>
        <v>-7729.7510920874483</v>
      </c>
    </row>
    <row r="10" spans="2:237" x14ac:dyDescent="0.2">
      <c r="B10" s="1" t="s">
        <v>24</v>
      </c>
      <c r="C10" s="1">
        <v>-121</v>
      </c>
      <c r="D10" s="1">
        <v>-113</v>
      </c>
      <c r="E10" s="1">
        <v>-141</v>
      </c>
      <c r="F10" s="1">
        <f t="shared" si="10"/>
        <v>-92</v>
      </c>
      <c r="G10" s="1">
        <v>-108</v>
      </c>
      <c r="H10" s="1">
        <v>-144</v>
      </c>
      <c r="I10" s="1">
        <v>-144</v>
      </c>
      <c r="J10" s="1">
        <f t="shared" si="11"/>
        <v>897</v>
      </c>
      <c r="K10" s="1">
        <v>-136</v>
      </c>
      <c r="L10" s="1">
        <v>124</v>
      </c>
      <c r="M10" s="1">
        <v>124</v>
      </c>
      <c r="N10" s="1">
        <v>124</v>
      </c>
      <c r="Y10" s="1">
        <v>-467</v>
      </c>
      <c r="Z10" s="1">
        <v>501</v>
      </c>
    </row>
    <row r="11" spans="2:237" x14ac:dyDescent="0.2">
      <c r="B11" s="1" t="s">
        <v>25</v>
      </c>
      <c r="C11" s="1">
        <f>+SUM(C9:C10)</f>
        <v>-1143</v>
      </c>
      <c r="D11" s="1">
        <f>+SUM(D9:D10)</f>
        <v>-1718</v>
      </c>
      <c r="E11" s="1">
        <f>+SUM(E9:E10)</f>
        <v>-588</v>
      </c>
      <c r="F11" s="1">
        <f t="shared" si="10"/>
        <v>-1585</v>
      </c>
      <c r="G11" s="1">
        <f>+SUM(G9:G10)</f>
        <v>-962</v>
      </c>
      <c r="H11" s="1">
        <f>+SUM(H9:H10)</f>
        <v>-2137</v>
      </c>
      <c r="I11" s="1">
        <f>+SUM(I9:I10)</f>
        <v>-1500</v>
      </c>
      <c r="J11" s="1">
        <f t="shared" si="11"/>
        <v>-833</v>
      </c>
      <c r="K11" s="1">
        <f>+SUM(K9:K10)</f>
        <v>-1150</v>
      </c>
      <c r="L11" s="1">
        <f>+SUM(L9:L10)</f>
        <v>-2072</v>
      </c>
      <c r="M11" s="1">
        <f>+SUM(M9:M10)</f>
        <v>-2072</v>
      </c>
      <c r="N11" s="1">
        <f>+SUM(N9:N10)</f>
        <v>-2072</v>
      </c>
      <c r="Y11" s="1">
        <f>+SUM(Y9:Y10)</f>
        <v>-5034</v>
      </c>
      <c r="Z11" s="1">
        <f>+SUM(Z9:Z10)</f>
        <v>-5432</v>
      </c>
    </row>
    <row r="12" spans="2:237" x14ac:dyDescent="0.2">
      <c r="B12" s="1" t="s">
        <v>26</v>
      </c>
      <c r="C12" s="1">
        <v>0</v>
      </c>
      <c r="D12" s="1">
        <v>0</v>
      </c>
      <c r="E12" s="1">
        <v>0</v>
      </c>
      <c r="F12" s="1">
        <f t="shared" si="10"/>
        <v>60</v>
      </c>
      <c r="G12" s="1">
        <v>0</v>
      </c>
      <c r="H12" s="1">
        <v>0</v>
      </c>
      <c r="I12" s="1">
        <v>0</v>
      </c>
      <c r="J12" s="1">
        <f t="shared" si="11"/>
        <v>-34</v>
      </c>
      <c r="K12" s="1">
        <v>48</v>
      </c>
      <c r="L12" s="1">
        <v>1</v>
      </c>
      <c r="M12" s="1">
        <f>+L12</f>
        <v>1</v>
      </c>
      <c r="N12" s="1">
        <f>+M12</f>
        <v>1</v>
      </c>
      <c r="Y12" s="1">
        <v>60</v>
      </c>
      <c r="Z12" s="1">
        <v>-34</v>
      </c>
    </row>
    <row r="13" spans="2:237" x14ac:dyDescent="0.2">
      <c r="B13" s="1" t="s">
        <v>27</v>
      </c>
      <c r="C13" s="1">
        <f>+C11-C12</f>
        <v>-1143</v>
      </c>
      <c r="D13" s="1">
        <f>+D11-D12</f>
        <v>-1718</v>
      </c>
      <c r="E13" s="1">
        <f>+E11-E12</f>
        <v>-588</v>
      </c>
      <c r="F13" s="1">
        <f t="shared" si="10"/>
        <v>-1645</v>
      </c>
      <c r="G13" s="1">
        <f>+G11-G12</f>
        <v>-962</v>
      </c>
      <c r="H13" s="1">
        <f>+H11-H12</f>
        <v>-2137</v>
      </c>
      <c r="I13" s="1">
        <f>+I11-I12</f>
        <v>-1500</v>
      </c>
      <c r="J13" s="1">
        <f t="shared" si="11"/>
        <v>-799</v>
      </c>
      <c r="K13" s="1">
        <f>+K11-K12</f>
        <v>-1198</v>
      </c>
      <c r="L13" s="1">
        <f>+L11-L12</f>
        <v>-2073</v>
      </c>
      <c r="M13" s="1">
        <f>+M11-M12</f>
        <v>-2073</v>
      </c>
      <c r="N13" s="1">
        <f>+N11-N12</f>
        <v>-2073</v>
      </c>
      <c r="Y13" s="1">
        <f>+Y11-Y12</f>
        <v>-5094</v>
      </c>
      <c r="Z13" s="1">
        <f>+Z11-Z12</f>
        <v>-5398</v>
      </c>
      <c r="AK13" s="1">
        <f>+AJ13*(1+$AM$23)</f>
        <v>0</v>
      </c>
      <c r="AL13" s="1">
        <f t="shared" ref="AL13:CW13" si="17">+AK13*(1+$AM$23)</f>
        <v>0</v>
      </c>
      <c r="AM13" s="1">
        <f t="shared" si="17"/>
        <v>0</v>
      </c>
      <c r="AN13" s="1">
        <f t="shared" si="17"/>
        <v>0</v>
      </c>
      <c r="AO13" s="1">
        <f t="shared" si="17"/>
        <v>0</v>
      </c>
      <c r="AP13" s="1">
        <f t="shared" si="17"/>
        <v>0</v>
      </c>
      <c r="AQ13" s="1">
        <f t="shared" si="17"/>
        <v>0</v>
      </c>
      <c r="AR13" s="1">
        <f t="shared" si="17"/>
        <v>0</v>
      </c>
      <c r="AS13" s="1">
        <f t="shared" si="17"/>
        <v>0</v>
      </c>
      <c r="AT13" s="1">
        <f t="shared" si="17"/>
        <v>0</v>
      </c>
      <c r="AU13" s="1">
        <f t="shared" si="17"/>
        <v>0</v>
      </c>
      <c r="AV13" s="1">
        <f t="shared" si="17"/>
        <v>0</v>
      </c>
      <c r="AW13" s="1">
        <f t="shared" si="17"/>
        <v>0</v>
      </c>
      <c r="AX13" s="1">
        <f t="shared" si="17"/>
        <v>0</v>
      </c>
      <c r="AY13" s="1">
        <f t="shared" si="17"/>
        <v>0</v>
      </c>
      <c r="AZ13" s="1">
        <f t="shared" si="17"/>
        <v>0</v>
      </c>
      <c r="BA13" s="1">
        <f t="shared" si="17"/>
        <v>0</v>
      </c>
      <c r="BB13" s="1">
        <f t="shared" si="17"/>
        <v>0</v>
      </c>
      <c r="BC13" s="1">
        <f t="shared" si="17"/>
        <v>0</v>
      </c>
      <c r="BD13" s="1">
        <f t="shared" si="17"/>
        <v>0</v>
      </c>
      <c r="BE13" s="1">
        <f t="shared" si="17"/>
        <v>0</v>
      </c>
      <c r="BF13" s="1">
        <f t="shared" si="17"/>
        <v>0</v>
      </c>
      <c r="BG13" s="1">
        <f t="shared" si="17"/>
        <v>0</v>
      </c>
      <c r="BH13" s="1">
        <f t="shared" si="17"/>
        <v>0</v>
      </c>
      <c r="BI13" s="1">
        <f t="shared" si="17"/>
        <v>0</v>
      </c>
      <c r="BJ13" s="1">
        <f t="shared" si="17"/>
        <v>0</v>
      </c>
      <c r="BK13" s="1">
        <f t="shared" si="17"/>
        <v>0</v>
      </c>
      <c r="BL13" s="1">
        <f t="shared" si="17"/>
        <v>0</v>
      </c>
      <c r="BM13" s="1">
        <f t="shared" si="17"/>
        <v>0</v>
      </c>
      <c r="BN13" s="1">
        <f t="shared" si="17"/>
        <v>0</v>
      </c>
      <c r="BO13" s="1">
        <f t="shared" si="17"/>
        <v>0</v>
      </c>
      <c r="BP13" s="1">
        <f t="shared" si="17"/>
        <v>0</v>
      </c>
      <c r="BQ13" s="1">
        <f t="shared" si="17"/>
        <v>0</v>
      </c>
      <c r="BR13" s="1">
        <f t="shared" si="17"/>
        <v>0</v>
      </c>
      <c r="BS13" s="1">
        <f t="shared" si="17"/>
        <v>0</v>
      </c>
      <c r="BT13" s="1">
        <f t="shared" si="17"/>
        <v>0</v>
      </c>
      <c r="BU13" s="1">
        <f t="shared" si="17"/>
        <v>0</v>
      </c>
      <c r="BV13" s="1">
        <f t="shared" si="17"/>
        <v>0</v>
      </c>
      <c r="BW13" s="1">
        <f t="shared" si="17"/>
        <v>0</v>
      </c>
      <c r="BX13" s="1">
        <f t="shared" si="17"/>
        <v>0</v>
      </c>
      <c r="BY13" s="1">
        <f t="shared" si="17"/>
        <v>0</v>
      </c>
      <c r="BZ13" s="1">
        <f t="shared" si="17"/>
        <v>0</v>
      </c>
      <c r="CA13" s="1">
        <f t="shared" si="17"/>
        <v>0</v>
      </c>
      <c r="CB13" s="1">
        <f t="shared" si="17"/>
        <v>0</v>
      </c>
      <c r="CC13" s="1">
        <f t="shared" si="17"/>
        <v>0</v>
      </c>
      <c r="CD13" s="1">
        <f t="shared" si="17"/>
        <v>0</v>
      </c>
      <c r="CE13" s="1">
        <f t="shared" si="17"/>
        <v>0</v>
      </c>
      <c r="CF13" s="1">
        <f t="shared" si="17"/>
        <v>0</v>
      </c>
      <c r="CG13" s="1">
        <f t="shared" si="17"/>
        <v>0</v>
      </c>
      <c r="CH13" s="1">
        <f t="shared" si="17"/>
        <v>0</v>
      </c>
      <c r="CI13" s="1">
        <f t="shared" si="17"/>
        <v>0</v>
      </c>
      <c r="CJ13" s="1">
        <f t="shared" si="17"/>
        <v>0</v>
      </c>
      <c r="CK13" s="1">
        <f t="shared" si="17"/>
        <v>0</v>
      </c>
      <c r="CL13" s="1">
        <f t="shared" si="17"/>
        <v>0</v>
      </c>
      <c r="CM13" s="1">
        <f t="shared" si="17"/>
        <v>0</v>
      </c>
      <c r="CN13" s="1">
        <f t="shared" si="17"/>
        <v>0</v>
      </c>
      <c r="CO13" s="1">
        <f t="shared" si="17"/>
        <v>0</v>
      </c>
      <c r="CP13" s="1">
        <f t="shared" si="17"/>
        <v>0</v>
      </c>
      <c r="CQ13" s="1">
        <f t="shared" si="17"/>
        <v>0</v>
      </c>
      <c r="CR13" s="1">
        <f t="shared" si="17"/>
        <v>0</v>
      </c>
      <c r="CS13" s="1">
        <f t="shared" si="17"/>
        <v>0</v>
      </c>
      <c r="CT13" s="1">
        <f t="shared" si="17"/>
        <v>0</v>
      </c>
      <c r="CU13" s="1">
        <f t="shared" si="17"/>
        <v>0</v>
      </c>
      <c r="CV13" s="1">
        <f t="shared" si="17"/>
        <v>0</v>
      </c>
      <c r="CW13" s="1">
        <f t="shared" si="17"/>
        <v>0</v>
      </c>
      <c r="CX13" s="1">
        <f t="shared" ref="CX13:DN13" si="18">+CW13*(1+$AM$23)</f>
        <v>0</v>
      </c>
      <c r="CY13" s="1">
        <f t="shared" si="18"/>
        <v>0</v>
      </c>
      <c r="CZ13" s="1">
        <f t="shared" si="18"/>
        <v>0</v>
      </c>
      <c r="DA13" s="1">
        <f t="shared" si="18"/>
        <v>0</v>
      </c>
      <c r="DB13" s="1">
        <f t="shared" si="18"/>
        <v>0</v>
      </c>
      <c r="DC13" s="1">
        <f t="shared" si="18"/>
        <v>0</v>
      </c>
      <c r="DD13" s="1">
        <f t="shared" si="18"/>
        <v>0</v>
      </c>
      <c r="DE13" s="1">
        <f t="shared" si="18"/>
        <v>0</v>
      </c>
      <c r="DF13" s="1">
        <f t="shared" si="18"/>
        <v>0</v>
      </c>
      <c r="DG13" s="1">
        <f t="shared" si="18"/>
        <v>0</v>
      </c>
      <c r="DH13" s="1">
        <f t="shared" si="18"/>
        <v>0</v>
      </c>
      <c r="DI13" s="1">
        <f t="shared" si="18"/>
        <v>0</v>
      </c>
      <c r="DJ13" s="1">
        <f t="shared" si="18"/>
        <v>0</v>
      </c>
      <c r="DK13" s="1">
        <f t="shared" si="18"/>
        <v>0</v>
      </c>
      <c r="DL13" s="1">
        <f t="shared" si="18"/>
        <v>0</v>
      </c>
      <c r="DM13" s="1">
        <f t="shared" si="18"/>
        <v>0</v>
      </c>
      <c r="DN13" s="1">
        <f t="shared" si="18"/>
        <v>0</v>
      </c>
      <c r="DO13" s="1">
        <f t="shared" ref="DO13:EW13" si="19">+DN13*(1+$AM$23)</f>
        <v>0</v>
      </c>
      <c r="DP13" s="1">
        <f t="shared" si="19"/>
        <v>0</v>
      </c>
      <c r="DQ13" s="1">
        <f t="shared" si="19"/>
        <v>0</v>
      </c>
      <c r="DR13" s="1">
        <f t="shared" si="19"/>
        <v>0</v>
      </c>
      <c r="DS13" s="1">
        <f t="shared" si="19"/>
        <v>0</v>
      </c>
      <c r="DT13" s="1">
        <f t="shared" si="19"/>
        <v>0</v>
      </c>
      <c r="DU13" s="1">
        <f t="shared" si="19"/>
        <v>0</v>
      </c>
      <c r="DV13" s="1">
        <f t="shared" si="19"/>
        <v>0</v>
      </c>
      <c r="DW13" s="1">
        <f t="shared" si="19"/>
        <v>0</v>
      </c>
      <c r="DX13" s="1">
        <f t="shared" si="19"/>
        <v>0</v>
      </c>
      <c r="DY13" s="1">
        <f t="shared" si="19"/>
        <v>0</v>
      </c>
      <c r="DZ13" s="1">
        <f t="shared" si="19"/>
        <v>0</v>
      </c>
      <c r="EA13" s="1">
        <f t="shared" si="19"/>
        <v>0</v>
      </c>
      <c r="EB13" s="1">
        <f t="shared" si="19"/>
        <v>0</v>
      </c>
      <c r="EC13" s="1">
        <f t="shared" si="19"/>
        <v>0</v>
      </c>
      <c r="ED13" s="1">
        <f t="shared" si="19"/>
        <v>0</v>
      </c>
      <c r="EE13" s="1">
        <f t="shared" si="19"/>
        <v>0</v>
      </c>
      <c r="EF13" s="1">
        <f t="shared" si="19"/>
        <v>0</v>
      </c>
      <c r="EG13" s="1">
        <f t="shared" si="19"/>
        <v>0</v>
      </c>
      <c r="EH13" s="1">
        <f t="shared" si="19"/>
        <v>0</v>
      </c>
      <c r="EI13" s="1">
        <f t="shared" si="19"/>
        <v>0</v>
      </c>
      <c r="EJ13" s="1">
        <f t="shared" si="19"/>
        <v>0</v>
      </c>
      <c r="EK13" s="1">
        <f t="shared" si="19"/>
        <v>0</v>
      </c>
      <c r="EL13" s="1">
        <f t="shared" si="19"/>
        <v>0</v>
      </c>
      <c r="EM13" s="1">
        <f t="shared" si="19"/>
        <v>0</v>
      </c>
      <c r="EN13" s="1">
        <f t="shared" si="19"/>
        <v>0</v>
      </c>
      <c r="EO13" s="1">
        <f t="shared" si="19"/>
        <v>0</v>
      </c>
      <c r="EP13" s="1">
        <f t="shared" si="19"/>
        <v>0</v>
      </c>
      <c r="EQ13" s="1">
        <f t="shared" si="19"/>
        <v>0</v>
      </c>
      <c r="ER13" s="1">
        <f t="shared" si="19"/>
        <v>0</v>
      </c>
      <c r="ES13" s="1">
        <f t="shared" si="19"/>
        <v>0</v>
      </c>
      <c r="ET13" s="1">
        <f t="shared" si="19"/>
        <v>0</v>
      </c>
      <c r="EU13" s="1">
        <f t="shared" si="19"/>
        <v>0</v>
      </c>
      <c r="EV13" s="1">
        <f t="shared" si="19"/>
        <v>0</v>
      </c>
      <c r="EW13" s="1">
        <f t="shared" si="19"/>
        <v>0</v>
      </c>
      <c r="EX13" s="1">
        <f t="shared" ref="EX13:FL13" si="20">+EW13*(1+$AM$23)</f>
        <v>0</v>
      </c>
      <c r="EY13" s="1">
        <f t="shared" si="20"/>
        <v>0</v>
      </c>
      <c r="EZ13" s="1">
        <f t="shared" si="20"/>
        <v>0</v>
      </c>
      <c r="FA13" s="1">
        <f t="shared" si="20"/>
        <v>0</v>
      </c>
      <c r="FB13" s="1">
        <f t="shared" si="20"/>
        <v>0</v>
      </c>
      <c r="FC13" s="1">
        <f t="shared" si="20"/>
        <v>0</v>
      </c>
      <c r="FD13" s="1">
        <f t="shared" si="20"/>
        <v>0</v>
      </c>
      <c r="FE13" s="1">
        <f t="shared" si="20"/>
        <v>0</v>
      </c>
      <c r="FF13" s="1">
        <f t="shared" si="20"/>
        <v>0</v>
      </c>
      <c r="FG13" s="1">
        <f t="shared" si="20"/>
        <v>0</v>
      </c>
      <c r="FH13" s="1">
        <f t="shared" si="20"/>
        <v>0</v>
      </c>
      <c r="FI13" s="1">
        <f t="shared" si="20"/>
        <v>0</v>
      </c>
      <c r="FJ13" s="1">
        <f t="shared" si="20"/>
        <v>0</v>
      </c>
      <c r="FK13" s="1">
        <f t="shared" si="20"/>
        <v>0</v>
      </c>
      <c r="FL13" s="1">
        <f t="shared" si="20"/>
        <v>0</v>
      </c>
      <c r="FM13" s="1">
        <f t="shared" ref="FM13:HF13" si="21">+FL13*(1+$AM$23)</f>
        <v>0</v>
      </c>
      <c r="FN13" s="1">
        <f t="shared" si="21"/>
        <v>0</v>
      </c>
      <c r="FO13" s="1">
        <f t="shared" si="21"/>
        <v>0</v>
      </c>
      <c r="FP13" s="1">
        <f t="shared" si="21"/>
        <v>0</v>
      </c>
      <c r="FQ13" s="1">
        <f t="shared" si="21"/>
        <v>0</v>
      </c>
      <c r="FR13" s="1">
        <f t="shared" si="21"/>
        <v>0</v>
      </c>
      <c r="FS13" s="1">
        <f t="shared" si="21"/>
        <v>0</v>
      </c>
      <c r="FT13" s="1">
        <f t="shared" si="21"/>
        <v>0</v>
      </c>
      <c r="FU13" s="1">
        <f t="shared" si="21"/>
        <v>0</v>
      </c>
      <c r="FV13" s="1">
        <f t="shared" si="21"/>
        <v>0</v>
      </c>
      <c r="FW13" s="1">
        <f t="shared" si="21"/>
        <v>0</v>
      </c>
      <c r="FX13" s="1">
        <f t="shared" si="21"/>
        <v>0</v>
      </c>
      <c r="FY13" s="1">
        <f t="shared" si="21"/>
        <v>0</v>
      </c>
      <c r="FZ13" s="1">
        <f t="shared" si="21"/>
        <v>0</v>
      </c>
      <c r="GA13" s="1">
        <f t="shared" si="21"/>
        <v>0</v>
      </c>
      <c r="GB13" s="1">
        <f t="shared" si="21"/>
        <v>0</v>
      </c>
      <c r="GC13" s="1">
        <f t="shared" si="21"/>
        <v>0</v>
      </c>
      <c r="GD13" s="1">
        <f t="shared" si="21"/>
        <v>0</v>
      </c>
      <c r="GE13" s="1">
        <f t="shared" si="21"/>
        <v>0</v>
      </c>
      <c r="GF13" s="1">
        <f t="shared" si="21"/>
        <v>0</v>
      </c>
      <c r="GG13" s="1">
        <f t="shared" si="21"/>
        <v>0</v>
      </c>
      <c r="GH13" s="1">
        <f t="shared" si="21"/>
        <v>0</v>
      </c>
      <c r="GI13" s="1">
        <f t="shared" si="21"/>
        <v>0</v>
      </c>
      <c r="GJ13" s="1">
        <f t="shared" si="21"/>
        <v>0</v>
      </c>
      <c r="GK13" s="1">
        <f t="shared" si="21"/>
        <v>0</v>
      </c>
      <c r="GL13" s="1">
        <f t="shared" si="21"/>
        <v>0</v>
      </c>
      <c r="GM13" s="1">
        <f t="shared" si="21"/>
        <v>0</v>
      </c>
      <c r="GN13" s="1">
        <f t="shared" si="21"/>
        <v>0</v>
      </c>
      <c r="GO13" s="1">
        <f t="shared" si="21"/>
        <v>0</v>
      </c>
      <c r="GP13" s="1">
        <f t="shared" si="21"/>
        <v>0</v>
      </c>
      <c r="GQ13" s="1">
        <f t="shared" si="21"/>
        <v>0</v>
      </c>
      <c r="GR13" s="1">
        <f t="shared" si="21"/>
        <v>0</v>
      </c>
      <c r="GS13" s="1">
        <f t="shared" si="21"/>
        <v>0</v>
      </c>
      <c r="GT13" s="1">
        <f t="shared" si="21"/>
        <v>0</v>
      </c>
      <c r="GU13" s="1">
        <f t="shared" si="21"/>
        <v>0</v>
      </c>
      <c r="GV13" s="1">
        <f t="shared" si="21"/>
        <v>0</v>
      </c>
      <c r="GW13" s="1">
        <f t="shared" si="21"/>
        <v>0</v>
      </c>
      <c r="GX13" s="1">
        <f t="shared" si="21"/>
        <v>0</v>
      </c>
      <c r="GY13" s="1">
        <f t="shared" si="21"/>
        <v>0</v>
      </c>
      <c r="GZ13" s="1">
        <f t="shared" si="21"/>
        <v>0</v>
      </c>
      <c r="HA13" s="1">
        <f t="shared" si="21"/>
        <v>0</v>
      </c>
      <c r="HB13" s="1">
        <f t="shared" si="21"/>
        <v>0</v>
      </c>
      <c r="HC13" s="1">
        <f t="shared" si="21"/>
        <v>0</v>
      </c>
      <c r="HD13" s="1">
        <f t="shared" si="21"/>
        <v>0</v>
      </c>
      <c r="HE13" s="1">
        <f t="shared" si="21"/>
        <v>0</v>
      </c>
      <c r="HF13" s="1">
        <f t="shared" si="21"/>
        <v>0</v>
      </c>
      <c r="HG13" s="1">
        <f t="shared" ref="HG13:HN13" si="22">+HF13*(1+$AM$23)</f>
        <v>0</v>
      </c>
      <c r="HH13" s="1">
        <f t="shared" si="22"/>
        <v>0</v>
      </c>
      <c r="HI13" s="1">
        <f t="shared" si="22"/>
        <v>0</v>
      </c>
      <c r="HJ13" s="1">
        <f t="shared" si="22"/>
        <v>0</v>
      </c>
      <c r="HK13" s="1">
        <f t="shared" si="22"/>
        <v>0</v>
      </c>
      <c r="HL13" s="1">
        <f t="shared" si="22"/>
        <v>0</v>
      </c>
      <c r="HM13" s="1">
        <f t="shared" si="22"/>
        <v>0</v>
      </c>
      <c r="HN13" s="1">
        <f t="shared" si="22"/>
        <v>0</v>
      </c>
      <c r="HO13" s="1">
        <f t="shared" ref="HO13:HX13" si="23">+HN13*(1+$AM$23)</f>
        <v>0</v>
      </c>
      <c r="HP13" s="1">
        <f t="shared" si="23"/>
        <v>0</v>
      </c>
      <c r="HQ13" s="1">
        <f t="shared" si="23"/>
        <v>0</v>
      </c>
      <c r="HR13" s="1">
        <f t="shared" si="23"/>
        <v>0</v>
      </c>
      <c r="HS13" s="1">
        <f t="shared" si="23"/>
        <v>0</v>
      </c>
      <c r="HT13" s="1">
        <f t="shared" si="23"/>
        <v>0</v>
      </c>
      <c r="HU13" s="1">
        <f t="shared" si="23"/>
        <v>0</v>
      </c>
      <c r="HV13" s="1">
        <f t="shared" si="23"/>
        <v>0</v>
      </c>
      <c r="HW13" s="1">
        <f t="shared" si="23"/>
        <v>0</v>
      </c>
      <c r="HX13" s="1">
        <f t="shared" si="23"/>
        <v>0</v>
      </c>
      <c r="HY13" s="1">
        <f t="shared" ref="HY13:IC13" si="24">+HX13*(1+$AM$23)</f>
        <v>0</v>
      </c>
      <c r="HZ13" s="1">
        <f t="shared" si="24"/>
        <v>0</v>
      </c>
      <c r="IA13" s="1">
        <f t="shared" si="24"/>
        <v>0</v>
      </c>
      <c r="IB13" s="1">
        <f t="shared" si="24"/>
        <v>0</v>
      </c>
      <c r="IC13" s="1">
        <f t="shared" si="24"/>
        <v>0</v>
      </c>
    </row>
    <row r="15" spans="2:237" x14ac:dyDescent="0.2">
      <c r="B15" s="4" t="s">
        <v>70</v>
      </c>
    </row>
    <row r="16" spans="2:237" x14ac:dyDescent="0.2">
      <c r="B16" s="1" t="s">
        <v>20</v>
      </c>
      <c r="J16" s="3">
        <f>+J5/F5-1</f>
        <v>0.20869943033697025</v>
      </c>
      <c r="K16" s="3">
        <f>+K5/G5-1</f>
        <v>0.11851365299802952</v>
      </c>
      <c r="L16" s="3">
        <f>+L5/H5-1</f>
        <v>0.12701317715959015</v>
      </c>
      <c r="Z16" s="3">
        <f>+Z5/Y5-1</f>
        <v>0.1235964835930019</v>
      </c>
      <c r="AA16" s="3">
        <f>+AA5/Z5-1</f>
        <v>8.1593129931498476E-2</v>
      </c>
      <c r="AB16" s="3">
        <f t="shared" ref="AB16:AJ16" si="25">+AB5/AA5-1</f>
        <v>8.0000000000000071E-2</v>
      </c>
      <c r="AC16" s="3">
        <f t="shared" si="25"/>
        <v>8.0000000000000071E-2</v>
      </c>
      <c r="AD16" s="3">
        <f t="shared" si="25"/>
        <v>8.0000000000000071E-2</v>
      </c>
      <c r="AE16" s="3">
        <f t="shared" si="25"/>
        <v>8.0000000000000071E-2</v>
      </c>
      <c r="AF16" s="3">
        <f t="shared" si="25"/>
        <v>8.0000000000000071E-2</v>
      </c>
      <c r="AG16" s="3">
        <f t="shared" si="25"/>
        <v>8.0000000000000071E-2</v>
      </c>
      <c r="AH16" s="3">
        <f t="shared" si="25"/>
        <v>8.0000000000000071E-2</v>
      </c>
      <c r="AI16" s="3">
        <f t="shared" si="25"/>
        <v>8.0000000000000071E-2</v>
      </c>
      <c r="AJ16" s="3">
        <f t="shared" si="25"/>
        <v>8.0000000000000071E-2</v>
      </c>
    </row>
    <row r="17" spans="2:40" x14ac:dyDescent="0.2">
      <c r="B17" s="1" t="s">
        <v>71</v>
      </c>
      <c r="C17" s="3">
        <f>(C5-C6)/C5</f>
        <v>0.85885885885885882</v>
      </c>
      <c r="D17" s="3">
        <f t="shared" ref="D17:L17" si="26">(D5-D6)/D5</f>
        <v>0.85689802913453295</v>
      </c>
      <c r="E17" s="3">
        <f t="shared" si="26"/>
        <v>0.85249468427038522</v>
      </c>
      <c r="F17" s="3">
        <f t="shared" si="26"/>
        <v>0.85352901419329918</v>
      </c>
      <c r="G17" s="3">
        <f t="shared" si="26"/>
        <v>0.85305433048700385</v>
      </c>
      <c r="H17" s="3">
        <f t="shared" si="26"/>
        <v>0.84512262079062961</v>
      </c>
      <c r="I17" s="3">
        <f t="shared" si="26"/>
        <v>0.86003791298068244</v>
      </c>
      <c r="J17" s="3">
        <f t="shared" si="26"/>
        <v>0.88277349522706394</v>
      </c>
      <c r="K17" s="3">
        <f t="shared" si="26"/>
        <v>0.87688758389261745</v>
      </c>
      <c r="L17" s="3">
        <f t="shared" si="26"/>
        <v>0.86663689509581032</v>
      </c>
      <c r="Z17" s="3">
        <f t="shared" ref="Z17:AJ17" si="27">(Z5-Z6)/Z5</f>
        <v>0.8610825227139427</v>
      </c>
      <c r="AA17" s="3">
        <f t="shared" si="27"/>
        <v>0.86913726774167144</v>
      </c>
      <c r="AB17" s="3">
        <f t="shared" si="27"/>
        <v>0.86913726774167144</v>
      </c>
      <c r="AC17" s="3">
        <f t="shared" si="27"/>
        <v>0.86913726774167155</v>
      </c>
      <c r="AD17" s="3">
        <f t="shared" si="27"/>
        <v>0.86913726774167144</v>
      </c>
      <c r="AE17" s="3">
        <f t="shared" si="27"/>
        <v>0.86913726774167144</v>
      </c>
      <c r="AF17" s="3">
        <f t="shared" si="27"/>
        <v>0.86913726774167144</v>
      </c>
      <c r="AG17" s="3">
        <f t="shared" si="27"/>
        <v>0.86913726774167144</v>
      </c>
      <c r="AH17" s="3">
        <f t="shared" si="27"/>
        <v>0.86913726774167155</v>
      </c>
      <c r="AI17" s="3">
        <f t="shared" si="27"/>
        <v>0.86913726774167144</v>
      </c>
      <c r="AJ17" s="3">
        <f t="shared" si="27"/>
        <v>0.86913726774167144</v>
      </c>
    </row>
    <row r="18" spans="2:40" x14ac:dyDescent="0.2">
      <c r="B18" s="1" t="s">
        <v>90</v>
      </c>
      <c r="C18" s="3"/>
      <c r="D18" s="3"/>
      <c r="E18" s="3"/>
      <c r="F18" s="15"/>
      <c r="G18" s="15"/>
      <c r="H18" s="15"/>
      <c r="I18" s="15"/>
      <c r="J18" s="15">
        <f>(SUM(G5:J5) - SUM(G6:J6)) / J29</f>
        <v>1.9957934696180779</v>
      </c>
      <c r="K18" s="15">
        <f>(SUM(H5:K5) - SUM(H6:K6)) / K29</f>
        <v>9.0212837459392858</v>
      </c>
      <c r="L18" s="15">
        <f>(SUM(I5:L5) - SUM(I6:L6)) / L29</f>
        <v>2.1309335240917684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40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40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2:40" x14ac:dyDescent="0.2">
      <c r="B21" s="1" t="s">
        <v>21</v>
      </c>
      <c r="C21" s="3">
        <f>+C7/C$5</f>
        <v>0.82063419351554945</v>
      </c>
      <c r="D21" s="3">
        <f t="shared" ref="D21:L21" si="28">+D7/D$5</f>
        <v>0.86118251928020562</v>
      </c>
      <c r="E21" s="3">
        <f t="shared" si="28"/>
        <v>0.80373831775700932</v>
      </c>
      <c r="F21" s="3">
        <f t="shared" si="28"/>
        <v>0.8542048855846287</v>
      </c>
      <c r="G21" s="3">
        <f t="shared" si="28"/>
        <v>0.81669325326076758</v>
      </c>
      <c r="H21" s="3">
        <f t="shared" si="28"/>
        <v>0.84535139092240119</v>
      </c>
      <c r="I21" s="3">
        <f t="shared" si="28"/>
        <v>0.83038454594692179</v>
      </c>
      <c r="J21" s="3">
        <f t="shared" si="28"/>
        <v>0.86675719934496942</v>
      </c>
      <c r="K21" s="3">
        <f t="shared" si="28"/>
        <v>0.83984899328859064</v>
      </c>
      <c r="L21" s="3">
        <f t="shared" si="28"/>
        <v>0.83769080870412471</v>
      </c>
      <c r="Y21" s="7">
        <f t="shared" ref="Y21:AJ21" si="29">+Y7/Y$5</f>
        <v>0.8350347537396019</v>
      </c>
      <c r="Z21" s="7">
        <f t="shared" si="29"/>
        <v>0.84085300399499796</v>
      </c>
      <c r="AA21" s="7">
        <f t="shared" si="29"/>
        <v>0.83821723827453554</v>
      </c>
      <c r="AB21" s="7">
        <f t="shared" si="29"/>
        <v>0.83821723827453554</v>
      </c>
      <c r="AC21" s="7">
        <f t="shared" si="29"/>
        <v>0.83</v>
      </c>
      <c r="AD21" s="13">
        <f t="shared" si="29"/>
        <v>0.82</v>
      </c>
      <c r="AE21" s="13">
        <f t="shared" si="29"/>
        <v>0.81</v>
      </c>
      <c r="AF21" s="13">
        <f t="shared" si="29"/>
        <v>0.8</v>
      </c>
      <c r="AG21" s="13">
        <f t="shared" si="29"/>
        <v>0.8</v>
      </c>
      <c r="AH21" s="13">
        <f t="shared" si="29"/>
        <v>0.8</v>
      </c>
      <c r="AI21" s="13">
        <f t="shared" si="29"/>
        <v>0.8</v>
      </c>
      <c r="AJ21" s="13">
        <f t="shared" si="29"/>
        <v>0.8</v>
      </c>
      <c r="AL21" s="1" t="s">
        <v>5</v>
      </c>
      <c r="AM21" s="1">
        <f>+Main!I8</f>
        <v>143.70641624999996</v>
      </c>
    </row>
    <row r="22" spans="2:40" x14ac:dyDescent="0.2">
      <c r="B22" s="1" t="s">
        <v>22</v>
      </c>
      <c r="C22" s="3">
        <f>+C8/C$5</f>
        <v>9.0242785158039393E-2</v>
      </c>
      <c r="D22" s="3">
        <f t="shared" ref="D22:L22" si="30">+D8/D$5</f>
        <v>7.6616764957911185E-2</v>
      </c>
      <c r="E22" s="3">
        <f t="shared" si="30"/>
        <v>7.0859911981407314E-2</v>
      </c>
      <c r="F22" s="3">
        <f t="shared" si="30"/>
        <v>7.1400984841170217E-2</v>
      </c>
      <c r="G22" s="3">
        <f t="shared" si="30"/>
        <v>7.6428638453598569E-2</v>
      </c>
      <c r="H22" s="3">
        <f t="shared" si="30"/>
        <v>9.0959004392386536E-2</v>
      </c>
      <c r="I22" s="3">
        <f t="shared" si="30"/>
        <v>9.0855750135403507E-2</v>
      </c>
      <c r="J22" s="3">
        <f t="shared" si="30"/>
        <v>8.5114031233774021E-2</v>
      </c>
      <c r="K22" s="3">
        <f t="shared" si="30"/>
        <v>7.9572147651006717E-2</v>
      </c>
      <c r="L22" s="3">
        <f t="shared" si="30"/>
        <v>0.1180984085742124</v>
      </c>
      <c r="Z22" s="3">
        <f t="shared" ref="Z22:AJ22" si="31">+Z8/Z$5</f>
        <v>8.588692274492879E-2</v>
      </c>
      <c r="AA22" s="3">
        <f t="shared" si="31"/>
        <v>0.10870099042318081</v>
      </c>
      <c r="AB22" s="3">
        <f t="shared" si="31"/>
        <v>0.10870099042318081</v>
      </c>
      <c r="AC22" s="3">
        <f t="shared" si="31"/>
        <v>0.10870099042318081</v>
      </c>
      <c r="AD22" s="3">
        <f t="shared" si="31"/>
        <v>0.10870099042318081</v>
      </c>
      <c r="AE22" s="3">
        <f t="shared" si="31"/>
        <v>0.10870099042318081</v>
      </c>
      <c r="AF22" s="3">
        <f t="shared" si="31"/>
        <v>0.10870099042318081</v>
      </c>
      <c r="AG22" s="3">
        <f t="shared" si="31"/>
        <v>0.10870099042318082</v>
      </c>
      <c r="AH22" s="3">
        <f t="shared" si="31"/>
        <v>0.10870099042318083</v>
      </c>
      <c r="AI22" s="3">
        <f t="shared" si="31"/>
        <v>0.10870099042318085</v>
      </c>
      <c r="AJ22" s="3">
        <f t="shared" si="31"/>
        <v>0.10870099042318086</v>
      </c>
      <c r="AL22" s="1" t="s">
        <v>76</v>
      </c>
      <c r="AM22" s="1">
        <f>+AA5 / 10^3</f>
        <v>97.736000000000004</v>
      </c>
    </row>
    <row r="23" spans="2:40" x14ac:dyDescent="0.2">
      <c r="AL23" s="12" t="s">
        <v>77</v>
      </c>
      <c r="AM23" s="11">
        <v>2</v>
      </c>
    </row>
    <row r="24" spans="2:40" x14ac:dyDescent="0.2">
      <c r="AL24" s="4" t="s">
        <v>5</v>
      </c>
      <c r="AM24" s="4">
        <f>+AM22*AM23</f>
        <v>195.47200000000001</v>
      </c>
      <c r="AN24" s="8"/>
    </row>
    <row r="25" spans="2:40" x14ac:dyDescent="0.2">
      <c r="B25" s="1" t="s">
        <v>31</v>
      </c>
      <c r="J25" s="1">
        <v>5860</v>
      </c>
      <c r="K25" s="1">
        <v>13090</v>
      </c>
      <c r="L25" s="1">
        <v>13924</v>
      </c>
      <c r="AL25" s="1" t="s">
        <v>31</v>
      </c>
      <c r="AM25" s="8">
        <f>+Main!I6</f>
        <v>13.923999999999999</v>
      </c>
    </row>
    <row r="26" spans="2:40" x14ac:dyDescent="0.2">
      <c r="B26" s="1" t="s">
        <v>32</v>
      </c>
      <c r="J26" s="1">
        <v>5560</v>
      </c>
      <c r="K26" s="1">
        <v>5631</v>
      </c>
      <c r="L26" s="1">
        <v>5717</v>
      </c>
      <c r="AL26" s="1" t="s">
        <v>78</v>
      </c>
      <c r="AM26" s="8">
        <f>+Main!I7</f>
        <v>5.7190000000000003</v>
      </c>
    </row>
    <row r="27" spans="2:40" x14ac:dyDescent="0.2">
      <c r="B27" s="1" t="s">
        <v>33</v>
      </c>
      <c r="J27" s="1">
        <v>1809</v>
      </c>
      <c r="K27" s="1">
        <v>1810</v>
      </c>
      <c r="L27" s="1">
        <v>0</v>
      </c>
      <c r="AL27" s="4" t="s">
        <v>2</v>
      </c>
      <c r="AM27" s="4">
        <f>+AM24+AM25-AM26</f>
        <v>203.67700000000002</v>
      </c>
    </row>
    <row r="28" spans="2:40" x14ac:dyDescent="0.2">
      <c r="B28" s="1" t="s">
        <v>34</v>
      </c>
      <c r="J28" s="1">
        <v>2513</v>
      </c>
      <c r="K28" s="1">
        <v>3626</v>
      </c>
      <c r="L28" s="1">
        <v>3851</v>
      </c>
      <c r="AL28" s="1" t="s">
        <v>74</v>
      </c>
      <c r="AM28" s="1">
        <f>+Main!I4</f>
        <v>25.109324999999998</v>
      </c>
    </row>
    <row r="29" spans="2:40" x14ac:dyDescent="0.2">
      <c r="B29" s="1" t="s">
        <v>30</v>
      </c>
      <c r="J29" s="1">
        <v>38987</v>
      </c>
      <c r="K29" s="1">
        <v>8927</v>
      </c>
      <c r="L29" s="1">
        <v>39142</v>
      </c>
      <c r="AL29" s="1" t="s">
        <v>75</v>
      </c>
      <c r="AM29" s="8">
        <f>+AM27/AM28</f>
        <v>8.1116079384850064</v>
      </c>
    </row>
    <row r="30" spans="2:40" x14ac:dyDescent="0.2">
      <c r="B30" s="1" t="s">
        <v>35</v>
      </c>
      <c r="J30" s="1">
        <v>5454</v>
      </c>
      <c r="K30" s="1">
        <v>5241</v>
      </c>
      <c r="L30" s="1">
        <v>5026</v>
      </c>
      <c r="AL30" s="1" t="s">
        <v>92</v>
      </c>
      <c r="AM30" s="3">
        <f>+AM29/Main!I3-1</f>
        <v>0.34076164272479459</v>
      </c>
    </row>
    <row r="31" spans="2:40" x14ac:dyDescent="0.2">
      <c r="B31" s="1" t="s">
        <v>36</v>
      </c>
      <c r="J31" s="1">
        <v>26883</v>
      </c>
      <c r="K31" s="1">
        <v>26371</v>
      </c>
      <c r="L31" s="1">
        <v>25862</v>
      </c>
    </row>
    <row r="32" spans="2:40" x14ac:dyDescent="0.2">
      <c r="B32" s="1" t="s">
        <v>37</v>
      </c>
      <c r="J32" s="1">
        <v>15550</v>
      </c>
      <c r="K32" s="1">
        <v>15348</v>
      </c>
      <c r="L32" s="1">
        <v>15146</v>
      </c>
    </row>
    <row r="33" spans="2:12" x14ac:dyDescent="0.2">
      <c r="B33" s="1" t="s">
        <v>38</v>
      </c>
      <c r="J33" s="1">
        <v>6658</v>
      </c>
      <c r="K33" s="1">
        <v>6516</v>
      </c>
      <c r="L33" s="1">
        <v>6370</v>
      </c>
    </row>
    <row r="34" spans="2:12" x14ac:dyDescent="0.2">
      <c r="B34" s="1" t="s">
        <v>39</v>
      </c>
      <c r="J34" s="1">
        <v>31943</v>
      </c>
      <c r="K34" s="1">
        <v>31943</v>
      </c>
      <c r="L34" s="1">
        <v>31943</v>
      </c>
    </row>
    <row r="35" spans="2:12" s="4" customFormat="1" x14ac:dyDescent="0.2">
      <c r="B35" s="4" t="s">
        <v>40</v>
      </c>
      <c r="J35" s="4">
        <f>+SUM(J25:J34)</f>
        <v>141217</v>
      </c>
      <c r="K35" s="4">
        <f>+SUM(K25:K34)</f>
        <v>118503</v>
      </c>
      <c r="L35" s="4">
        <f>+SUM(L25:L34)</f>
        <v>146981</v>
      </c>
    </row>
    <row r="37" spans="2:12" x14ac:dyDescent="0.2">
      <c r="B37" s="1" t="s">
        <v>41</v>
      </c>
      <c r="J37" s="1">
        <v>12435</v>
      </c>
      <c r="K37" s="1">
        <v>12315</v>
      </c>
      <c r="L37" s="1">
        <v>13679</v>
      </c>
    </row>
    <row r="38" spans="2:12" x14ac:dyDescent="0.2">
      <c r="B38" s="1" t="s">
        <v>42</v>
      </c>
      <c r="J38" s="1">
        <v>3491</v>
      </c>
      <c r="K38" s="1">
        <v>2899</v>
      </c>
      <c r="L38" s="1">
        <v>2101</v>
      </c>
    </row>
    <row r="39" spans="2:12" x14ac:dyDescent="0.2">
      <c r="B39" s="1" t="s">
        <v>48</v>
      </c>
      <c r="J39" s="1">
        <v>5801</v>
      </c>
      <c r="K39" s="1">
        <v>5760</v>
      </c>
      <c r="L39" s="1">
        <v>5719</v>
      </c>
    </row>
    <row r="40" spans="2:12" x14ac:dyDescent="0.2">
      <c r="B40" s="1" t="s">
        <v>43</v>
      </c>
      <c r="J40" s="1">
        <v>839</v>
      </c>
      <c r="K40" s="1">
        <v>854</v>
      </c>
      <c r="L40" s="1">
        <v>869</v>
      </c>
    </row>
    <row r="41" spans="2:12" x14ac:dyDescent="0.2">
      <c r="B41" s="1" t="s">
        <v>44</v>
      </c>
      <c r="J41" s="1">
        <v>19268</v>
      </c>
      <c r="K41" s="1">
        <v>1384</v>
      </c>
      <c r="L41" s="1">
        <v>21069</v>
      </c>
    </row>
    <row r="42" spans="2:12" x14ac:dyDescent="0.2">
      <c r="B42" s="1" t="s">
        <v>49</v>
      </c>
      <c r="J42" s="1">
        <v>4869</v>
      </c>
      <c r="K42" s="1">
        <v>4649</v>
      </c>
      <c r="L42" s="1">
        <v>4427</v>
      </c>
    </row>
    <row r="43" spans="2:12" x14ac:dyDescent="0.2">
      <c r="B43" s="1" t="s">
        <v>50</v>
      </c>
      <c r="J43" s="1">
        <v>501</v>
      </c>
      <c r="K43" s="1">
        <v>517</v>
      </c>
      <c r="L43" s="1">
        <v>526</v>
      </c>
    </row>
    <row r="44" spans="2:12" x14ac:dyDescent="0.2">
      <c r="B44" s="1" t="s">
        <v>45</v>
      </c>
      <c r="J44" s="1">
        <f>+SUM(J37:J43)</f>
        <v>47204</v>
      </c>
      <c r="K44" s="1">
        <f>+SUM(K37:K43)</f>
        <v>28378</v>
      </c>
      <c r="L44" s="1">
        <f>+SUM(L37:L43)</f>
        <v>48390</v>
      </c>
    </row>
    <row r="45" spans="2:12" x14ac:dyDescent="0.2">
      <c r="B45" s="1" t="s">
        <v>46</v>
      </c>
      <c r="J45" s="1">
        <v>94013</v>
      </c>
      <c r="K45" s="1">
        <v>100125</v>
      </c>
      <c r="L45" s="1">
        <v>98591</v>
      </c>
    </row>
    <row r="46" spans="2:12" s="4" customFormat="1" x14ac:dyDescent="0.2">
      <c r="B46" s="4" t="s">
        <v>47</v>
      </c>
      <c r="J46" s="4">
        <f>+SUM(J44:J45)</f>
        <v>141217</v>
      </c>
      <c r="K46" s="4">
        <f>+SUM(K44:K45)</f>
        <v>128503</v>
      </c>
      <c r="L46" s="4">
        <f>+SUM(L44:L45)</f>
        <v>146981</v>
      </c>
    </row>
    <row r="48" spans="2:12" x14ac:dyDescent="0.2">
      <c r="B48" s="1" t="s">
        <v>51</v>
      </c>
      <c r="K48" s="1">
        <v>-1219</v>
      </c>
      <c r="L48" s="1">
        <f>+-3266-K48</f>
        <v>-2047</v>
      </c>
    </row>
    <row r="49" spans="2:12" x14ac:dyDescent="0.2">
      <c r="B49" s="1" t="s">
        <v>52</v>
      </c>
      <c r="K49" s="1">
        <v>2589</v>
      </c>
      <c r="L49" s="1">
        <f>5194-K49</f>
        <v>2605</v>
      </c>
    </row>
    <row r="50" spans="2:12" x14ac:dyDescent="0.2">
      <c r="B50" s="1" t="s">
        <v>53</v>
      </c>
      <c r="K50" s="1">
        <v>2148</v>
      </c>
      <c r="L50" s="1">
        <f>4217-K50</f>
        <v>2069</v>
      </c>
    </row>
    <row r="51" spans="2:12" x14ac:dyDescent="0.2">
      <c r="B51" s="1" t="s">
        <v>54</v>
      </c>
      <c r="K51" s="1">
        <v>213</v>
      </c>
      <c r="L51" s="1">
        <f>481-K51</f>
        <v>268</v>
      </c>
    </row>
    <row r="52" spans="2:12" x14ac:dyDescent="0.2">
      <c r="B52" s="1" t="s">
        <v>55</v>
      </c>
      <c r="K52" s="1">
        <v>323</v>
      </c>
      <c r="L52" s="1">
        <f>836-K52</f>
        <v>513</v>
      </c>
    </row>
    <row r="53" spans="2:12" x14ac:dyDescent="0.2">
      <c r="B53" s="1" t="s">
        <v>56</v>
      </c>
      <c r="K53" s="1">
        <v>-2551</v>
      </c>
      <c r="L53" s="1">
        <f>+-5341-K53</f>
        <v>-2790</v>
      </c>
    </row>
    <row r="54" spans="2:12" x14ac:dyDescent="0.2">
      <c r="B54" s="1" t="s">
        <v>32</v>
      </c>
      <c r="K54" s="1">
        <v>-71</v>
      </c>
      <c r="L54" s="1">
        <f>+-157-K54</f>
        <v>-86</v>
      </c>
    </row>
    <row r="55" spans="2:12" x14ac:dyDescent="0.2">
      <c r="B55" s="1" t="s">
        <v>33</v>
      </c>
      <c r="K55" s="1">
        <v>-1</v>
      </c>
      <c r="L55" s="1">
        <f>1809-K55</f>
        <v>1810</v>
      </c>
    </row>
    <row r="56" spans="2:12" x14ac:dyDescent="0.2">
      <c r="B56" s="1" t="s">
        <v>34</v>
      </c>
      <c r="K56" s="1">
        <v>-1250</v>
      </c>
      <c r="L56" s="1">
        <f>+-1232-K56</f>
        <v>18</v>
      </c>
    </row>
    <row r="57" spans="2:12" x14ac:dyDescent="0.2">
      <c r="B57" s="1" t="s">
        <v>41</v>
      </c>
      <c r="K57" s="1">
        <v>-223</v>
      </c>
      <c r="L57" s="1">
        <f>1060-K57</f>
        <v>1283</v>
      </c>
    </row>
    <row r="58" spans="2:12" x14ac:dyDescent="0.2">
      <c r="B58" s="1" t="s">
        <v>57</v>
      </c>
      <c r="K58" s="1">
        <v>-776</v>
      </c>
      <c r="L58" s="1">
        <f>+-1820-K58</f>
        <v>-1044</v>
      </c>
    </row>
    <row r="59" spans="2:12" x14ac:dyDescent="0.2">
      <c r="B59" s="1" t="s">
        <v>58</v>
      </c>
      <c r="K59" s="1">
        <v>2116</v>
      </c>
      <c r="L59" s="1">
        <f>1801-K59</f>
        <v>-315</v>
      </c>
    </row>
    <row r="60" spans="2:12" s="4" customFormat="1" x14ac:dyDescent="0.2">
      <c r="B60" s="4" t="s">
        <v>59</v>
      </c>
      <c r="K60" s="4">
        <f>+SUM(K48:K59)</f>
        <v>1298</v>
      </c>
      <c r="L60" s="4">
        <f>+SUM(L48:L59)</f>
        <v>2284</v>
      </c>
    </row>
    <row r="62" spans="2:12" x14ac:dyDescent="0.2">
      <c r="B62" s="1" t="s">
        <v>60</v>
      </c>
      <c r="K62" s="1">
        <v>-1030</v>
      </c>
      <c r="L62" s="1">
        <f>+-2434-K62</f>
        <v>-1404</v>
      </c>
    </row>
    <row r="63" spans="2:12" x14ac:dyDescent="0.2">
      <c r="B63" s="1" t="s">
        <v>61</v>
      </c>
      <c r="L63" s="1">
        <f>0-K63</f>
        <v>0</v>
      </c>
    </row>
    <row r="64" spans="2:12" x14ac:dyDescent="0.2">
      <c r="B64" s="1" t="s">
        <v>62</v>
      </c>
      <c r="K64" s="1">
        <f>SUM(K62:K63)</f>
        <v>-1030</v>
      </c>
      <c r="L64" s="1">
        <f>SUM(L62:L63)</f>
        <v>-1404</v>
      </c>
    </row>
    <row r="66" spans="2:12" x14ac:dyDescent="0.2">
      <c r="B66" s="1" t="s">
        <v>63</v>
      </c>
      <c r="K66" s="1">
        <v>-5046</v>
      </c>
      <c r="L66" s="1">
        <f>+-5092-K66</f>
        <v>-46</v>
      </c>
    </row>
    <row r="67" spans="2:12" x14ac:dyDescent="0.2">
      <c r="B67" s="1" t="s">
        <v>64</v>
      </c>
      <c r="K67" s="1">
        <v>5000</v>
      </c>
      <c r="L67" s="1">
        <f>5000-K67</f>
        <v>0</v>
      </c>
    </row>
    <row r="68" spans="2:12" x14ac:dyDescent="0.2">
      <c r="B68" s="1" t="s">
        <v>65</v>
      </c>
      <c r="K68" s="1">
        <v>0</v>
      </c>
      <c r="L68" s="1">
        <f>0-K68</f>
        <v>0</v>
      </c>
    </row>
    <row r="69" spans="2:12" x14ac:dyDescent="0.2">
      <c r="B69" s="1" t="s">
        <v>66</v>
      </c>
      <c r="K69" s="6">
        <v>7008</v>
      </c>
      <c r="L69" s="1">
        <f>7008-K69</f>
        <v>0</v>
      </c>
    </row>
    <row r="70" spans="2:12" x14ac:dyDescent="0.2">
      <c r="B70" s="1" t="s">
        <v>67</v>
      </c>
      <c r="K70" s="1">
        <f>+SUM(K66:K69)</f>
        <v>6962</v>
      </c>
      <c r="L70" s="1">
        <f>+SUM(L66:L69)</f>
        <v>-46</v>
      </c>
    </row>
    <row r="71" spans="2:12" x14ac:dyDescent="0.2">
      <c r="B71" s="1" t="s">
        <v>68</v>
      </c>
      <c r="K71" s="1">
        <f>+K60+K64+K70</f>
        <v>7230</v>
      </c>
      <c r="L71" s="1">
        <f>+L60+L64+L70</f>
        <v>834</v>
      </c>
    </row>
    <row r="72" spans="2:12" x14ac:dyDescent="0.2">
      <c r="B72" s="1" t="s">
        <v>69</v>
      </c>
      <c r="K72" s="1">
        <f>+J25</f>
        <v>5860</v>
      </c>
      <c r="L72" s="1">
        <f>+K73</f>
        <v>13090</v>
      </c>
    </row>
    <row r="73" spans="2:12" x14ac:dyDescent="0.2">
      <c r="K73" s="1">
        <f>SUM(K71:K72)</f>
        <v>13090</v>
      </c>
      <c r="L73" s="1">
        <f>SUM(L71:L72)</f>
        <v>13924</v>
      </c>
    </row>
    <row r="75" spans="2:12" x14ac:dyDescent="0.2">
      <c r="B75" s="1" t="s">
        <v>88</v>
      </c>
      <c r="K75" s="1">
        <f>+K60+K62</f>
        <v>268</v>
      </c>
      <c r="L75" s="1">
        <f>+L60+L62</f>
        <v>880</v>
      </c>
    </row>
  </sheetData>
  <pageMargins left="0.7" right="0.7" top="0.75" bottom="0.75" header="0.3" footer="0.3"/>
  <ignoredErrors>
    <ignoredError sqref="F9:J13 AA9:AB9 AA14:AB14 AC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2025-09-13T23:39:23Z</dcterms:created>
  <dcterms:modified xsi:type="dcterms:W3CDTF">2025-09-15T04:48:10Z</dcterms:modified>
</cp:coreProperties>
</file>