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department stores/"/>
    </mc:Choice>
  </mc:AlternateContent>
  <xr:revisionPtr revIDLastSave="0" documentId="13_ncr:1_{B958BD37-6B9B-2149-958A-E23F31BA3939}" xr6:coauthVersionLast="47" xr6:coauthVersionMax="47" xr10:uidLastSave="{00000000-0000-0000-0000-000000000000}"/>
  <bookViews>
    <workbookView xWindow="25520" yWindow="620" windowWidth="25340" windowHeight="27760" activeTab="1" xr2:uid="{D425D5D7-3751-A445-8DC6-1CBCA17A6BB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2" l="1"/>
  <c r="I29" i="2"/>
  <c r="H29" i="2"/>
  <c r="G29" i="2"/>
  <c r="F29" i="2"/>
  <c r="E29" i="2"/>
  <c r="D29" i="2"/>
  <c r="C29" i="2"/>
  <c r="K29" i="2"/>
  <c r="Y11" i="2"/>
  <c r="Y10" i="2"/>
  <c r="Z10" i="2" s="1"/>
  <c r="AA10" i="2" s="1"/>
  <c r="AB10" i="2" s="1"/>
  <c r="AC10" i="2" s="1"/>
  <c r="AD10" i="2" s="1"/>
  <c r="AE10" i="2" s="1"/>
  <c r="AF10" i="2" s="1"/>
  <c r="AG10" i="2" s="1"/>
  <c r="AH10" i="2" s="1"/>
  <c r="K58" i="2"/>
  <c r="K53" i="2"/>
  <c r="K43" i="2"/>
  <c r="K32" i="2"/>
  <c r="AK35" i="2" s="1"/>
  <c r="K26" i="2"/>
  <c r="K25" i="2"/>
  <c r="K12" i="2"/>
  <c r="K18" i="2" s="1"/>
  <c r="K20" i="2" s="1"/>
  <c r="K22" i="2" s="1"/>
  <c r="J53" i="2"/>
  <c r="J43" i="2"/>
  <c r="J32" i="2"/>
  <c r="G7" i="1"/>
  <c r="G6" i="1"/>
  <c r="G4" i="1"/>
  <c r="G5" i="1" s="1"/>
  <c r="R58" i="2"/>
  <c r="W58" i="2"/>
  <c r="V58" i="2"/>
  <c r="U58" i="2"/>
  <c r="T58" i="2"/>
  <c r="S58" i="2"/>
  <c r="AK39" i="2"/>
  <c r="I32" i="2"/>
  <c r="H32" i="2"/>
  <c r="G32" i="2"/>
  <c r="F32" i="2"/>
  <c r="E32" i="2"/>
  <c r="D32" i="2"/>
  <c r="F8" i="2"/>
  <c r="F7" i="2"/>
  <c r="D57" i="2"/>
  <c r="E57" i="2" s="1"/>
  <c r="F57" i="2" s="1"/>
  <c r="D56" i="2"/>
  <c r="H57" i="2"/>
  <c r="I57" i="2" s="1"/>
  <c r="H56" i="2"/>
  <c r="I56" i="2" s="1"/>
  <c r="G58" i="2"/>
  <c r="C58" i="2"/>
  <c r="G53" i="2"/>
  <c r="G43" i="2"/>
  <c r="D53" i="2"/>
  <c r="D43" i="2"/>
  <c r="H43" i="2"/>
  <c r="H53" i="2"/>
  <c r="E53" i="2"/>
  <c r="F53" i="2"/>
  <c r="I53" i="2"/>
  <c r="E43" i="2"/>
  <c r="F43" i="2"/>
  <c r="I43" i="2"/>
  <c r="X6" i="2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DO6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EF6" i="2" s="1"/>
  <c r="EG6" i="2" s="1"/>
  <c r="EH6" i="2" s="1"/>
  <c r="EI6" i="2" s="1"/>
  <c r="EJ6" i="2" s="1"/>
  <c r="EK6" i="2" s="1"/>
  <c r="EL6" i="2" s="1"/>
  <c r="EM6" i="2" s="1"/>
  <c r="EN6" i="2" s="1"/>
  <c r="EO6" i="2" s="1"/>
  <c r="EP6" i="2" s="1"/>
  <c r="EQ6" i="2" s="1"/>
  <c r="ER6" i="2" s="1"/>
  <c r="ES6" i="2" s="1"/>
  <c r="ET6" i="2" s="1"/>
  <c r="EU6" i="2" s="1"/>
  <c r="EV6" i="2" s="1"/>
  <c r="EW6" i="2" s="1"/>
  <c r="EX6" i="2" s="1"/>
  <c r="EY6" i="2" s="1"/>
  <c r="EZ6" i="2" s="1"/>
  <c r="FA6" i="2" s="1"/>
  <c r="FB6" i="2" s="1"/>
  <c r="FC6" i="2" s="1"/>
  <c r="FD6" i="2" s="1"/>
  <c r="FE6" i="2" s="1"/>
  <c r="FF6" i="2" s="1"/>
  <c r="FG6" i="2" s="1"/>
  <c r="FH6" i="2" s="1"/>
  <c r="FI6" i="2" s="1"/>
  <c r="FJ6" i="2" s="1"/>
  <c r="FK6" i="2" s="1"/>
  <c r="FL6" i="2" s="1"/>
  <c r="FM6" i="2" s="1"/>
  <c r="FN6" i="2" s="1"/>
  <c r="FO6" i="2" s="1"/>
  <c r="FP6" i="2" s="1"/>
  <c r="FQ6" i="2" s="1"/>
  <c r="FR6" i="2" s="1"/>
  <c r="FS6" i="2" s="1"/>
  <c r="FT6" i="2" s="1"/>
  <c r="FU6" i="2" s="1"/>
  <c r="FV6" i="2" s="1"/>
  <c r="FW6" i="2" s="1"/>
  <c r="FX6" i="2" s="1"/>
  <c r="FY6" i="2" s="1"/>
  <c r="FZ6" i="2" s="1"/>
  <c r="GA6" i="2" s="1"/>
  <c r="GB6" i="2" s="1"/>
  <c r="GC6" i="2" s="1"/>
  <c r="GD6" i="2" s="1"/>
  <c r="GE6" i="2" s="1"/>
  <c r="GF6" i="2" s="1"/>
  <c r="GG6" i="2" s="1"/>
  <c r="GH6" i="2" s="1"/>
  <c r="GI6" i="2" s="1"/>
  <c r="GJ6" i="2" s="1"/>
  <c r="GK6" i="2" s="1"/>
  <c r="GL6" i="2" s="1"/>
  <c r="GM6" i="2" s="1"/>
  <c r="GN6" i="2" s="1"/>
  <c r="GO6" i="2" s="1"/>
  <c r="GP6" i="2" s="1"/>
  <c r="GQ6" i="2" s="1"/>
  <c r="GR6" i="2" s="1"/>
  <c r="GS6" i="2" s="1"/>
  <c r="GT6" i="2" s="1"/>
  <c r="GU6" i="2" s="1"/>
  <c r="GV6" i="2" s="1"/>
  <c r="GW6" i="2" s="1"/>
  <c r="GX6" i="2" s="1"/>
  <c r="GY6" i="2" s="1"/>
  <c r="GZ6" i="2" s="1"/>
  <c r="HA6" i="2" s="1"/>
  <c r="HB6" i="2" s="1"/>
  <c r="HC6" i="2" s="1"/>
  <c r="HD6" i="2" s="1"/>
  <c r="HE6" i="2" s="1"/>
  <c r="HF6" i="2" s="1"/>
  <c r="HG6" i="2" s="1"/>
  <c r="HH6" i="2" s="1"/>
  <c r="HI6" i="2" s="1"/>
  <c r="HJ6" i="2" s="1"/>
  <c r="HK6" i="2" s="1"/>
  <c r="HL6" i="2" s="1"/>
  <c r="HM6" i="2" s="1"/>
  <c r="HN6" i="2" s="1"/>
  <c r="HO6" i="2" s="1"/>
  <c r="HP6" i="2" s="1"/>
  <c r="HQ6" i="2" s="1"/>
  <c r="HR6" i="2" s="1"/>
  <c r="HS6" i="2" s="1"/>
  <c r="HT6" i="2" s="1"/>
  <c r="HU6" i="2" s="1"/>
  <c r="HV6" i="2" s="1"/>
  <c r="HW6" i="2" s="1"/>
  <c r="HX6" i="2" s="1"/>
  <c r="HY6" i="2" s="1"/>
  <c r="S26" i="2"/>
  <c r="S25" i="2"/>
  <c r="R12" i="2"/>
  <c r="R18" i="2" s="1"/>
  <c r="R20" i="2" s="1"/>
  <c r="R59" i="2" s="1"/>
  <c r="T26" i="2"/>
  <c r="T25" i="2"/>
  <c r="S12" i="2"/>
  <c r="S18" i="2" s="1"/>
  <c r="S20" i="2" s="1"/>
  <c r="S59" i="2" s="1"/>
  <c r="U26" i="2"/>
  <c r="U25" i="2"/>
  <c r="T12" i="2"/>
  <c r="T18" i="2" s="1"/>
  <c r="T20" i="2" s="1"/>
  <c r="T22" i="2" s="1"/>
  <c r="F5" i="2"/>
  <c r="F21" i="2"/>
  <c r="F19" i="2"/>
  <c r="F17" i="2"/>
  <c r="F16" i="2"/>
  <c r="F15" i="2"/>
  <c r="F14" i="2"/>
  <c r="F13" i="2"/>
  <c r="F11" i="2"/>
  <c r="F10" i="2"/>
  <c r="J25" i="2" s="1"/>
  <c r="V26" i="2"/>
  <c r="V25" i="2"/>
  <c r="W26" i="2"/>
  <c r="W25" i="2"/>
  <c r="U12" i="2"/>
  <c r="U18" i="2" s="1"/>
  <c r="U20" i="2" s="1"/>
  <c r="U22" i="2" s="1"/>
  <c r="V12" i="2"/>
  <c r="V18" i="2" s="1"/>
  <c r="V20" i="2" s="1"/>
  <c r="V59" i="2" s="1"/>
  <c r="W12" i="2"/>
  <c r="W18" i="2" s="1"/>
  <c r="W20" i="2" s="1"/>
  <c r="W22" i="2" s="1"/>
  <c r="G26" i="2"/>
  <c r="G25" i="2"/>
  <c r="C12" i="2"/>
  <c r="C18" i="2" s="1"/>
  <c r="C20" i="2" s="1"/>
  <c r="C59" i="2" s="1"/>
  <c r="G12" i="2"/>
  <c r="G18" i="2" s="1"/>
  <c r="G20" i="2" s="1"/>
  <c r="G59" i="2" s="1"/>
  <c r="H26" i="2"/>
  <c r="H25" i="2"/>
  <c r="D12" i="2"/>
  <c r="D18" i="2" s="1"/>
  <c r="D20" i="2" s="1"/>
  <c r="D59" i="2" s="1"/>
  <c r="H12" i="2"/>
  <c r="H18" i="2" s="1"/>
  <c r="H20" i="2" s="1"/>
  <c r="H59" i="2" s="1"/>
  <c r="I26" i="2"/>
  <c r="I25" i="2"/>
  <c r="E12" i="2"/>
  <c r="E18" i="2" s="1"/>
  <c r="E20" i="2" s="1"/>
  <c r="E59" i="2" s="1"/>
  <c r="I12" i="2"/>
  <c r="I18" i="2" s="1"/>
  <c r="I20" i="2" s="1"/>
  <c r="I59" i="2" s="1"/>
  <c r="H6" i="1"/>
  <c r="H7" i="1" s="1"/>
  <c r="K59" i="2" l="1"/>
  <c r="K28" i="2"/>
  <c r="K27" i="2"/>
  <c r="W59" i="2"/>
  <c r="V22" i="2"/>
  <c r="R22" i="2"/>
  <c r="T59" i="2"/>
  <c r="J56" i="2"/>
  <c r="D58" i="2"/>
  <c r="S22" i="2"/>
  <c r="U59" i="2"/>
  <c r="J57" i="2"/>
  <c r="W32" i="2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D22" i="2"/>
  <c r="G8" i="1"/>
  <c r="AK47" i="2" s="1"/>
  <c r="AK37" i="2"/>
  <c r="X25" i="2"/>
  <c r="X26" i="2"/>
  <c r="X12" i="2"/>
  <c r="X18" i="2" s="1"/>
  <c r="X20" i="2" s="1"/>
  <c r="E22" i="2"/>
  <c r="I22" i="2"/>
  <c r="E56" i="2"/>
  <c r="F56" i="2" s="1"/>
  <c r="F58" i="2" s="1"/>
  <c r="C22" i="2"/>
  <c r="G22" i="2"/>
  <c r="F12" i="2"/>
  <c r="F28" i="2" s="1"/>
  <c r="H22" i="2"/>
  <c r="T28" i="2"/>
  <c r="V27" i="2"/>
  <c r="F20" i="2"/>
  <c r="C28" i="2"/>
  <c r="E28" i="2"/>
  <c r="I58" i="2"/>
  <c r="H58" i="2"/>
  <c r="T27" i="2"/>
  <c r="R28" i="2"/>
  <c r="S28" i="2"/>
  <c r="U27" i="2"/>
  <c r="G28" i="2"/>
  <c r="U28" i="2"/>
  <c r="W27" i="2"/>
  <c r="H28" i="2"/>
  <c r="V28" i="2"/>
  <c r="S27" i="2"/>
  <c r="I28" i="2"/>
  <c r="W28" i="2"/>
  <c r="D28" i="2"/>
  <c r="G27" i="2"/>
  <c r="F18" i="2"/>
  <c r="I27" i="2"/>
  <c r="H27" i="2"/>
  <c r="J58" i="2" l="1"/>
  <c r="K61" i="2" s="1"/>
  <c r="J61" i="2"/>
  <c r="Y25" i="2"/>
  <c r="AK45" i="2"/>
  <c r="X27" i="2"/>
  <c r="E58" i="2"/>
  <c r="H61" i="2" s="1"/>
  <c r="J12" i="2"/>
  <c r="J26" i="2"/>
  <c r="F59" i="2"/>
  <c r="I62" i="2" s="1"/>
  <c r="F22" i="2"/>
  <c r="I61" i="2"/>
  <c r="G61" i="2" l="1"/>
  <c r="J28" i="2"/>
  <c r="J18" i="2"/>
  <c r="J20" i="2" s="1"/>
  <c r="F61" i="2"/>
  <c r="H62" i="2"/>
  <c r="Z25" i="2"/>
  <c r="Z11" i="2"/>
  <c r="F62" i="2"/>
  <c r="Y12" i="2"/>
  <c r="Y26" i="2"/>
  <c r="X28" i="2"/>
  <c r="J27" i="2"/>
  <c r="G62" i="2"/>
  <c r="J22" i="2" l="1"/>
  <c r="J59" i="2"/>
  <c r="Y16" i="2"/>
  <c r="Y14" i="2"/>
  <c r="AK46" i="2"/>
  <c r="Y15" i="2"/>
  <c r="Y13" i="2"/>
  <c r="Y28" i="2" s="1"/>
  <c r="Y17" i="2"/>
  <c r="Y27" i="2"/>
  <c r="Z26" i="2"/>
  <c r="Z12" i="2"/>
  <c r="AA25" i="2"/>
  <c r="AA11" i="2"/>
  <c r="J62" i="2" l="1"/>
  <c r="K62" i="2"/>
  <c r="Y18" i="2"/>
  <c r="Z14" i="2"/>
  <c r="Z17" i="2"/>
  <c r="Z15" i="2"/>
  <c r="Z13" i="2"/>
  <c r="Z16" i="2"/>
  <c r="Z27" i="2"/>
  <c r="AA12" i="2"/>
  <c r="AA26" i="2"/>
  <c r="AB11" i="2"/>
  <c r="AB26" i="2" s="1"/>
  <c r="AB25" i="2"/>
  <c r="AA15" i="2" l="1"/>
  <c r="AA17" i="2"/>
  <c r="AA14" i="2"/>
  <c r="Y19" i="2"/>
  <c r="Y20" i="2" s="1"/>
  <c r="AK44" i="2" s="1"/>
  <c r="Z18" i="2"/>
  <c r="AA13" i="2"/>
  <c r="AA27" i="2"/>
  <c r="Z28" i="2"/>
  <c r="AC25" i="2"/>
  <c r="AC11" i="2"/>
  <c r="AB12" i="2"/>
  <c r="AA16" i="2"/>
  <c r="AB15" i="2" l="1"/>
  <c r="Z19" i="2"/>
  <c r="Z20" i="2" s="1"/>
  <c r="AB17" i="2"/>
  <c r="AB14" i="2"/>
  <c r="AB16" i="2"/>
  <c r="AA18" i="2"/>
  <c r="AC12" i="2"/>
  <c r="AC26" i="2"/>
  <c r="AA28" i="2"/>
  <c r="X22" i="2"/>
  <c r="Y22" i="2" s="1"/>
  <c r="AK43" i="2"/>
  <c r="AD11" i="2"/>
  <c r="AD26" i="2" s="1"/>
  <c r="AD25" i="2"/>
  <c r="AB13" i="2"/>
  <c r="AB28" i="2" s="1"/>
  <c r="AB27" i="2"/>
  <c r="AB18" i="2" l="1"/>
  <c r="AC15" i="2"/>
  <c r="AD12" i="2"/>
  <c r="AD27" i="2" s="1"/>
  <c r="AA19" i="2"/>
  <c r="AA20" i="2" s="1"/>
  <c r="AB19" i="2"/>
  <c r="AB20" i="2" s="1"/>
  <c r="AC17" i="2"/>
  <c r="AD17" i="2" s="1"/>
  <c r="AE11" i="2"/>
  <c r="AE25" i="2"/>
  <c r="Z22" i="2"/>
  <c r="Y21" i="2"/>
  <c r="AC13" i="2"/>
  <c r="AC27" i="2"/>
  <c r="AC16" i="2"/>
  <c r="AD16" i="2" s="1"/>
  <c r="AC14" i="2"/>
  <c r="AD13" i="2" l="1"/>
  <c r="AD15" i="2"/>
  <c r="AD14" i="2"/>
  <c r="AC28" i="2"/>
  <c r="AC18" i="2"/>
  <c r="AC19" i="2" s="1"/>
  <c r="AC20" i="2" s="1"/>
  <c r="AD18" i="2"/>
  <c r="AD28" i="2"/>
  <c r="AE12" i="2"/>
  <c r="AE26" i="2"/>
  <c r="AA22" i="2"/>
  <c r="Z21" i="2"/>
  <c r="AF11" i="2"/>
  <c r="AF26" i="2" s="1"/>
  <c r="AF25" i="2"/>
  <c r="AF12" i="2" l="1"/>
  <c r="AH25" i="2"/>
  <c r="AE13" i="2"/>
  <c r="AE28" i="2" s="1"/>
  <c r="AE27" i="2"/>
  <c r="AE17" i="2"/>
  <c r="AE14" i="2"/>
  <c r="AF14" i="2" s="1"/>
  <c r="AE16" i="2"/>
  <c r="AF16" i="2" s="1"/>
  <c r="AG11" i="2"/>
  <c r="AG26" i="2" s="1"/>
  <c r="AG25" i="2"/>
  <c r="AE15" i="2"/>
  <c r="AB22" i="2"/>
  <c r="AA21" i="2"/>
  <c r="AD19" i="2"/>
  <c r="AD20" i="2" s="1"/>
  <c r="AG12" i="2" l="1"/>
  <c r="AG14" i="2" s="1"/>
  <c r="AF13" i="2"/>
  <c r="AF28" i="2" s="1"/>
  <c r="AF27" i="2"/>
  <c r="AF15" i="2"/>
  <c r="AF17" i="2"/>
  <c r="AG17" i="2" s="1"/>
  <c r="AH11" i="2"/>
  <c r="AC22" i="2"/>
  <c r="AB21" i="2"/>
  <c r="AG27" i="2"/>
  <c r="AG16" i="2"/>
  <c r="AE18" i="2"/>
  <c r="AE19" i="2" s="1"/>
  <c r="AE20" i="2" s="1"/>
  <c r="AG15" i="2" l="1"/>
  <c r="AG13" i="2"/>
  <c r="AG28" i="2" s="1"/>
  <c r="AF18" i="2"/>
  <c r="AH26" i="2"/>
  <c r="AH12" i="2"/>
  <c r="AG18" i="2"/>
  <c r="AF19" i="2"/>
  <c r="AD22" i="2"/>
  <c r="AC21" i="2"/>
  <c r="AG19" i="2" l="1"/>
  <c r="AG20" i="2" s="1"/>
  <c r="AH27" i="2"/>
  <c r="AH16" i="2"/>
  <c r="AH15" i="2"/>
  <c r="AH14" i="2"/>
  <c r="AH17" i="2"/>
  <c r="AH13" i="2"/>
  <c r="AH28" i="2"/>
  <c r="AF20" i="2"/>
  <c r="AE22" i="2"/>
  <c r="AD21" i="2"/>
  <c r="AH18" i="2" l="1"/>
  <c r="AH19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DO20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EG20" i="2" s="1"/>
  <c r="EH20" i="2" s="1"/>
  <c r="EI20" i="2" s="1"/>
  <c r="EJ20" i="2" s="1"/>
  <c r="EK20" i="2" s="1"/>
  <c r="EL20" i="2" s="1"/>
  <c r="EM20" i="2" s="1"/>
  <c r="EN20" i="2" s="1"/>
  <c r="EO20" i="2" s="1"/>
  <c r="EP20" i="2" s="1"/>
  <c r="EQ20" i="2" s="1"/>
  <c r="ER20" i="2" s="1"/>
  <c r="ES20" i="2" s="1"/>
  <c r="ET20" i="2" s="1"/>
  <c r="EU20" i="2" s="1"/>
  <c r="EV20" i="2" s="1"/>
  <c r="EW20" i="2" s="1"/>
  <c r="EX20" i="2" s="1"/>
  <c r="EY20" i="2" s="1"/>
  <c r="EZ20" i="2" s="1"/>
  <c r="FA20" i="2" s="1"/>
  <c r="FB20" i="2" s="1"/>
  <c r="FC20" i="2" s="1"/>
  <c r="FD20" i="2" s="1"/>
  <c r="FE20" i="2" s="1"/>
  <c r="FF20" i="2" s="1"/>
  <c r="FG20" i="2" s="1"/>
  <c r="FH20" i="2" s="1"/>
  <c r="FI20" i="2" s="1"/>
  <c r="FJ20" i="2" s="1"/>
  <c r="FK20" i="2" s="1"/>
  <c r="FL20" i="2" s="1"/>
  <c r="FM20" i="2" s="1"/>
  <c r="FN20" i="2" s="1"/>
  <c r="FO20" i="2" s="1"/>
  <c r="FP20" i="2" s="1"/>
  <c r="FQ20" i="2" s="1"/>
  <c r="FR20" i="2" s="1"/>
  <c r="FS20" i="2" s="1"/>
  <c r="FT20" i="2" s="1"/>
  <c r="FU20" i="2" s="1"/>
  <c r="FV20" i="2" s="1"/>
  <c r="FW20" i="2" s="1"/>
  <c r="FX20" i="2" s="1"/>
  <c r="FY20" i="2" s="1"/>
  <c r="FZ20" i="2" s="1"/>
  <c r="GA20" i="2" s="1"/>
  <c r="GB20" i="2" s="1"/>
  <c r="GC20" i="2" s="1"/>
  <c r="GD20" i="2" s="1"/>
  <c r="GE20" i="2" s="1"/>
  <c r="GF20" i="2" s="1"/>
  <c r="GG20" i="2" s="1"/>
  <c r="GH20" i="2" s="1"/>
  <c r="GI20" i="2" s="1"/>
  <c r="GJ20" i="2" s="1"/>
  <c r="GK20" i="2" s="1"/>
  <c r="GL20" i="2" s="1"/>
  <c r="GM20" i="2" s="1"/>
  <c r="GN20" i="2" s="1"/>
  <c r="GO20" i="2" s="1"/>
  <c r="GP20" i="2" s="1"/>
  <c r="GQ20" i="2" s="1"/>
  <c r="GR20" i="2" s="1"/>
  <c r="GS20" i="2" s="1"/>
  <c r="GT20" i="2" s="1"/>
  <c r="GU20" i="2" s="1"/>
  <c r="GV20" i="2" s="1"/>
  <c r="GW20" i="2" s="1"/>
  <c r="GX20" i="2" s="1"/>
  <c r="GY20" i="2" s="1"/>
  <c r="GZ20" i="2" s="1"/>
  <c r="HA20" i="2" s="1"/>
  <c r="HB20" i="2" s="1"/>
  <c r="HC20" i="2" s="1"/>
  <c r="HD20" i="2" s="1"/>
  <c r="HE20" i="2" s="1"/>
  <c r="HF20" i="2" s="1"/>
  <c r="HG20" i="2" s="1"/>
  <c r="HH20" i="2" s="1"/>
  <c r="HI20" i="2" s="1"/>
  <c r="HJ20" i="2" s="1"/>
  <c r="HK20" i="2" s="1"/>
  <c r="HL20" i="2" s="1"/>
  <c r="HM20" i="2" s="1"/>
  <c r="HN20" i="2" s="1"/>
  <c r="HO20" i="2" s="1"/>
  <c r="HP20" i="2" s="1"/>
  <c r="HQ20" i="2" s="1"/>
  <c r="HR20" i="2" s="1"/>
  <c r="HS20" i="2" s="1"/>
  <c r="HT20" i="2" s="1"/>
  <c r="HU20" i="2" s="1"/>
  <c r="HV20" i="2" s="1"/>
  <c r="HW20" i="2" s="1"/>
  <c r="HX20" i="2" s="1"/>
  <c r="HY20" i="2" s="1"/>
  <c r="AK34" i="2" s="1"/>
  <c r="AF22" i="2"/>
  <c r="AE21" i="2"/>
  <c r="AK36" i="2" l="1"/>
  <c r="AK38" i="2" s="1"/>
  <c r="AK40" i="2" s="1"/>
  <c r="AG22" i="2"/>
  <c r="AF21" i="2"/>
  <c r="AG21" i="2" l="1"/>
  <c r="AH22" i="2"/>
  <c r="AH2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</author>
  </authors>
  <commentList>
    <comment ref="C14" authorId="0" shapeId="0" xr:uid="{8DCBFDC4-6EB7-1D46-9694-21F52F102BEC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sales down due to lower transaction volume</t>
        </r>
      </text>
    </comment>
  </commentList>
</comments>
</file>

<file path=xl/sharedStrings.xml><?xml version="1.0" encoding="utf-8"?>
<sst xmlns="http://schemas.openxmlformats.org/spreadsheetml/2006/main" count="85" uniqueCount="76">
  <si>
    <t>P</t>
  </si>
  <si>
    <t>S</t>
  </si>
  <si>
    <t>MC</t>
  </si>
  <si>
    <t>C</t>
  </si>
  <si>
    <t>D</t>
  </si>
  <si>
    <t>EV</t>
  </si>
  <si>
    <t>Q324</t>
  </si>
  <si>
    <t xml:space="preserve">CEO </t>
  </si>
  <si>
    <t xml:space="preserve">CFO </t>
  </si>
  <si>
    <t>Q123</t>
  </si>
  <si>
    <t>Q223</t>
  </si>
  <si>
    <t>Q323</t>
  </si>
  <si>
    <t>Q423</t>
  </si>
  <si>
    <t>Q124</t>
  </si>
  <si>
    <t>Q224</t>
  </si>
  <si>
    <t>Q424</t>
  </si>
  <si>
    <t>Sales</t>
  </si>
  <si>
    <t>SG&amp;A</t>
  </si>
  <si>
    <t>Rentals</t>
  </si>
  <si>
    <t>Interest/Debt</t>
  </si>
  <si>
    <t>Other</t>
  </si>
  <si>
    <t xml:space="preserve">EBT </t>
  </si>
  <si>
    <t>Services/Other</t>
  </si>
  <si>
    <t xml:space="preserve">Total Revenue </t>
  </si>
  <si>
    <t>Taxes</t>
  </si>
  <si>
    <t xml:space="preserve">Net Income </t>
  </si>
  <si>
    <t>EPS</t>
  </si>
  <si>
    <t>Growth Y/Y</t>
  </si>
  <si>
    <t>William T Dillard II</t>
  </si>
  <si>
    <t xml:space="preserve">Gross Margin </t>
  </si>
  <si>
    <t xml:space="preserve">Cash </t>
  </si>
  <si>
    <t>E</t>
  </si>
  <si>
    <t>TL + E</t>
  </si>
  <si>
    <t>LTD</t>
  </si>
  <si>
    <t>Op L</t>
  </si>
  <si>
    <t>OL</t>
  </si>
  <si>
    <t>Subordinated Deb</t>
  </si>
  <si>
    <t>Trade A/P</t>
  </si>
  <si>
    <t>Current Op L</t>
  </si>
  <si>
    <t>Fed/State I/T</t>
  </si>
  <si>
    <t>A/R</t>
  </si>
  <si>
    <t>Investments</t>
  </si>
  <si>
    <t>Inventories</t>
  </si>
  <si>
    <t>OCA</t>
  </si>
  <si>
    <t>PPE</t>
  </si>
  <si>
    <t>Deferred I/T</t>
  </si>
  <si>
    <t>OA</t>
  </si>
  <si>
    <t xml:space="preserve">Total Assets </t>
  </si>
  <si>
    <t>CFFO</t>
  </si>
  <si>
    <t>Capex</t>
  </si>
  <si>
    <t xml:space="preserve">Free Cash Flow </t>
  </si>
  <si>
    <t>Net Income</t>
  </si>
  <si>
    <t>4QFCF</t>
  </si>
  <si>
    <t>4QNI</t>
  </si>
  <si>
    <t>Store Count</t>
  </si>
  <si>
    <t>Retail sales/sqft</t>
  </si>
  <si>
    <t>Press Releases</t>
  </si>
  <si>
    <t>Shares</t>
  </si>
  <si>
    <t xml:space="preserve">Net Cash </t>
  </si>
  <si>
    <t>Unlevered NPV</t>
  </si>
  <si>
    <t>Estimate</t>
  </si>
  <si>
    <t>Current</t>
  </si>
  <si>
    <t xml:space="preserve">Upside </t>
  </si>
  <si>
    <t xml:space="preserve">Total Equity Value </t>
  </si>
  <si>
    <t>EV/24E</t>
  </si>
  <si>
    <t>EV/25E</t>
  </si>
  <si>
    <t>EV/24R</t>
  </si>
  <si>
    <t>EV/25R</t>
  </si>
  <si>
    <t>EV / BV</t>
  </si>
  <si>
    <t xml:space="preserve">Terminal </t>
  </si>
  <si>
    <t>Discount</t>
  </si>
  <si>
    <t>10-K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</si>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</sst>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#,##0.0"/>
    <numFmt numFmtId="166" formatCode="0.0\x"/>
  </numFmts>
  <fonts count="6">
    <font>
      <sz val="10"/>
      <color theme="1"/>
      <name val="ArialMT"/>
      <family val="2"/>
    </font>
    <font>
      <b/>
      <sz val="10"/>
      <color theme="1"/>
      <name val="ArialMT"/>
    </font>
    <font>
      <u/>
      <sz val="10"/>
      <color theme="10"/>
      <name val="ArialMT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3" fontId="2" fillId="0" borderId="0" xfId="1" applyNumberFormat="1"/>
    <xf numFmtId="10" fontId="0" fillId="0" borderId="0" xfId="0" applyNumberFormat="1"/>
    <xf numFmtId="10" fontId="1" fillId="0" borderId="0" xfId="0" applyNumberFormat="1" applyFont="1"/>
    <xf numFmtId="166" fontId="0" fillId="0" borderId="0" xfId="0" applyNumberFormat="1"/>
    <xf numFmtId="166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6576</xdr:colOff>
      <xdr:row>2</xdr:row>
      <xdr:rowOff>68372</xdr:rowOff>
    </xdr:from>
    <xdr:to>
      <xdr:col>11</xdr:col>
      <xdr:colOff>6576</xdr:colOff>
      <xdr:row>75</xdr:row>
      <xdr:rowOff>88854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9BC1B86-DC5F-5998-56C4-260579C86C45}"/>
            </a:ext>
          </a:extLst>
        </xdr:cNvPr>
        <xdr:cNvCxnSpPr/>
      </xdr:nvCxnSpPr>
      <xdr:spPr>
        <a:xfrm flipH="1">
          <a:off x="5151704" y="394013"/>
          <a:ext cx="0" cy="1158073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423334</xdr:colOff>
      <xdr:row>2</xdr:row>
      <xdr:rowOff>98858</xdr:rowOff>
    </xdr:from>
    <xdr:to>
      <xdr:col>24</xdr:col>
      <xdr:colOff>18406</xdr:colOff>
      <xdr:row>75</xdr:row>
      <xdr:rowOff>101232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6ADE3C1-109F-3544-B625-73416DE6E4C0}"/>
            </a:ext>
          </a:extLst>
        </xdr:cNvPr>
        <xdr:cNvCxnSpPr/>
      </xdr:nvCxnSpPr>
      <xdr:spPr>
        <a:xfrm>
          <a:off x="10979059" y="430162"/>
          <a:ext cx="27608" cy="117636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investor.dillards.com/news-releases/news-release-details/dillards-inc-reports-third-quarter-and-year-date-results-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DCDA-44E1-1B49-87CF-02AB98E2B9D2}">
  <dimension ref="B3:H14"/>
  <sheetViews>
    <sheetView zoomScale="209" workbookViewId="0">
      <selection activeCell="G8" sqref="G8"/>
    </sheetView>
  </sheetViews>
  <sheetFormatPr baseColWidth="10" defaultRowHeight="13"/>
  <cols>
    <col min="1" max="1" width="2.33203125" style="1" customWidth="1"/>
    <col min="2" max="2" width="5.33203125" style="1" bestFit="1" customWidth="1"/>
    <col min="3" max="3" width="14.6640625" style="1" bestFit="1" customWidth="1"/>
    <col min="4" max="4" width="3.6640625" style="1" bestFit="1" customWidth="1"/>
    <col min="5" max="5" width="5.5" style="1" bestFit="1" customWidth="1"/>
    <col min="6" max="6" width="3.6640625" style="1" bestFit="1" customWidth="1"/>
    <col min="7" max="7" width="5.6640625" style="1" bestFit="1" customWidth="1"/>
    <col min="8" max="8" width="5.5" style="1" bestFit="1" customWidth="1"/>
    <col min="9" max="16384" width="10.83203125" style="1"/>
  </cols>
  <sheetData>
    <row r="3" spans="2:8">
      <c r="B3" s="1" t="s">
        <v>7</v>
      </c>
      <c r="C3" s="1" t="s">
        <v>28</v>
      </c>
      <c r="F3" s="1" t="s">
        <v>0</v>
      </c>
      <c r="G3" s="1">
        <v>395.96</v>
      </c>
    </row>
    <row r="4" spans="2:8">
      <c r="B4" s="1" t="s">
        <v>8</v>
      </c>
      <c r="F4" s="1" t="s">
        <v>1</v>
      </c>
      <c r="G4" s="1">
        <f>11.918431+3.986233</f>
        <v>15.904664</v>
      </c>
      <c r="H4" s="1" t="s">
        <v>71</v>
      </c>
    </row>
    <row r="5" spans="2:8">
      <c r="F5" s="1" t="s">
        <v>2</v>
      </c>
      <c r="G5" s="1">
        <f>+G4*G3</f>
        <v>6297.6107574400003</v>
      </c>
    </row>
    <row r="6" spans="2:8">
      <c r="F6" s="1" t="s">
        <v>3</v>
      </c>
      <c r="G6" s="1">
        <f>717.854+325.675</f>
        <v>1043.529</v>
      </c>
      <c r="H6" s="1" t="str">
        <f>+H4</f>
        <v>10-K</v>
      </c>
    </row>
    <row r="7" spans="2:8">
      <c r="F7" s="1" t="s">
        <v>4</v>
      </c>
      <c r="G7" s="1">
        <f>321.567+200</f>
        <v>521.56700000000001</v>
      </c>
      <c r="H7" s="1" t="str">
        <f>+H6</f>
        <v>10-K</v>
      </c>
    </row>
    <row r="8" spans="2:8">
      <c r="F8" s="1" t="s">
        <v>5</v>
      </c>
      <c r="G8" s="1">
        <f>+G5-G6+G7</f>
        <v>5775.6487574400007</v>
      </c>
    </row>
    <row r="13" spans="2:8">
      <c r="C13" s="1" t="s">
        <v>56</v>
      </c>
    </row>
    <row r="14" spans="2:8">
      <c r="C14" s="7" t="s">
        <v>6</v>
      </c>
    </row>
  </sheetData>
  <hyperlinks>
    <hyperlink ref="C14" r:id="rId1" xr:uid="{EDBD17BD-453F-164C-B9E4-B3C77FF09F5F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93794-5C24-B040-B6F8-A4746C75C92F}">
  <dimension ref="B5:HY62"/>
  <sheetViews>
    <sheetView tabSelected="1" topLeftCell="A4" zoomScale="175" workbookViewId="0">
      <pane xSplit="2" ySplit="3" topLeftCell="C8" activePane="bottomRight" state="frozen"/>
      <selection activeCell="A4" sqref="A4"/>
      <selection pane="topRight" activeCell="C4" sqref="C4"/>
      <selection pane="bottomLeft" activeCell="A6" sqref="A6"/>
      <selection pane="bottomRight" activeCell="AH21" sqref="AH21"/>
    </sheetView>
  </sheetViews>
  <sheetFormatPr baseColWidth="10" defaultRowHeight="13"/>
  <cols>
    <col min="1" max="1" width="1.1640625" style="1" customWidth="1"/>
    <col min="2" max="2" width="15.33203125" style="1" bestFit="1" customWidth="1"/>
    <col min="3" max="10" width="5.6640625" style="1" bestFit="1" customWidth="1"/>
    <col min="11" max="14" width="5.5" style="1" bestFit="1" customWidth="1"/>
    <col min="15" max="15" width="3" style="1" customWidth="1"/>
    <col min="16" max="16" width="2.83203125" style="1" customWidth="1"/>
    <col min="17" max="17" width="3" style="1" customWidth="1"/>
    <col min="18" max="33" width="5.6640625" style="1" bestFit="1" customWidth="1"/>
    <col min="34" max="35" width="5.1640625" style="1" bestFit="1" customWidth="1"/>
    <col min="36" max="36" width="15.83203125" style="1" bestFit="1" customWidth="1"/>
    <col min="37" max="37" width="7.1640625" style="1" bestFit="1" customWidth="1"/>
    <col min="38" max="233" width="5.1640625" style="1" bestFit="1" customWidth="1"/>
    <col min="234" max="16384" width="10.83203125" style="1"/>
  </cols>
  <sheetData>
    <row r="5" spans="2:233" s="5" customFormat="1">
      <c r="C5" s="5">
        <v>45045</v>
      </c>
      <c r="D5" s="5">
        <v>45136</v>
      </c>
      <c r="E5" s="5">
        <v>45227</v>
      </c>
      <c r="F5" s="5">
        <f>+W5</f>
        <v>45325</v>
      </c>
      <c r="G5" s="5">
        <v>45416</v>
      </c>
      <c r="H5" s="5">
        <v>45507</v>
      </c>
      <c r="I5" s="5">
        <v>45598</v>
      </c>
      <c r="S5" s="5">
        <v>44226</v>
      </c>
      <c r="T5" s="5">
        <v>43862</v>
      </c>
      <c r="U5" s="5">
        <v>44587</v>
      </c>
      <c r="V5" s="5">
        <v>44954</v>
      </c>
      <c r="W5" s="5">
        <v>45325</v>
      </c>
    </row>
    <row r="6" spans="2:233" s="2" customFormat="1"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2" t="s">
        <v>14</v>
      </c>
      <c r="I6" s="2" t="s">
        <v>6</v>
      </c>
      <c r="J6" s="2" t="s">
        <v>15</v>
      </c>
      <c r="K6" s="2" t="s">
        <v>72</v>
      </c>
      <c r="L6" s="2" t="s">
        <v>73</v>
      </c>
      <c r="M6" s="2" t="s">
        <v>74</v>
      </c>
      <c r="N6" s="2" t="s">
        <v>75</v>
      </c>
      <c r="R6" s="2">
        <v>2018</v>
      </c>
      <c r="S6" s="2">
        <v>2019</v>
      </c>
      <c r="T6" s="2">
        <v>2020</v>
      </c>
      <c r="U6" s="2">
        <v>2021</v>
      </c>
      <c r="V6" s="2">
        <v>2022</v>
      </c>
      <c r="W6" s="2">
        <v>2023</v>
      </c>
      <c r="X6" s="2">
        <f t="shared" ref="X6:AG6" si="0">+W6+1</f>
        <v>2024</v>
      </c>
      <c r="Y6" s="2">
        <f t="shared" si="0"/>
        <v>2025</v>
      </c>
      <c r="Z6" s="2">
        <f t="shared" si="0"/>
        <v>2026</v>
      </c>
      <c r="AA6" s="2">
        <f t="shared" si="0"/>
        <v>2027</v>
      </c>
      <c r="AB6" s="2">
        <f t="shared" si="0"/>
        <v>2028</v>
      </c>
      <c r="AC6" s="2">
        <f t="shared" si="0"/>
        <v>2029</v>
      </c>
      <c r="AD6" s="2">
        <f t="shared" si="0"/>
        <v>2030</v>
      </c>
      <c r="AE6" s="2">
        <f t="shared" si="0"/>
        <v>2031</v>
      </c>
      <c r="AF6" s="2">
        <f t="shared" si="0"/>
        <v>2032</v>
      </c>
      <c r="AG6" s="2">
        <f t="shared" si="0"/>
        <v>2033</v>
      </c>
      <c r="AH6" s="2">
        <f>+AG6+1</f>
        <v>2034</v>
      </c>
      <c r="AI6" s="2">
        <f t="shared" ref="AI6:CT6" si="1">+AH6+1</f>
        <v>2035</v>
      </c>
      <c r="AJ6" s="2">
        <f t="shared" si="1"/>
        <v>2036</v>
      </c>
      <c r="AK6" s="2">
        <f t="shared" si="1"/>
        <v>2037</v>
      </c>
      <c r="AL6" s="2">
        <f t="shared" si="1"/>
        <v>2038</v>
      </c>
      <c r="AM6" s="2">
        <f t="shared" si="1"/>
        <v>2039</v>
      </c>
      <c r="AN6" s="2">
        <f t="shared" si="1"/>
        <v>2040</v>
      </c>
      <c r="AO6" s="2">
        <f t="shared" si="1"/>
        <v>2041</v>
      </c>
      <c r="AP6" s="2">
        <f t="shared" si="1"/>
        <v>2042</v>
      </c>
      <c r="AQ6" s="2">
        <f t="shared" si="1"/>
        <v>2043</v>
      </c>
      <c r="AR6" s="2">
        <f t="shared" si="1"/>
        <v>2044</v>
      </c>
      <c r="AS6" s="2">
        <f t="shared" si="1"/>
        <v>2045</v>
      </c>
      <c r="AT6" s="2">
        <f t="shared" si="1"/>
        <v>2046</v>
      </c>
      <c r="AU6" s="2">
        <f t="shared" si="1"/>
        <v>2047</v>
      </c>
      <c r="AV6" s="2">
        <f t="shared" si="1"/>
        <v>2048</v>
      </c>
      <c r="AW6" s="2">
        <f t="shared" si="1"/>
        <v>2049</v>
      </c>
      <c r="AX6" s="2">
        <f t="shared" si="1"/>
        <v>2050</v>
      </c>
      <c r="AY6" s="2">
        <f t="shared" si="1"/>
        <v>2051</v>
      </c>
      <c r="AZ6" s="2">
        <f t="shared" si="1"/>
        <v>2052</v>
      </c>
      <c r="BA6" s="2">
        <f t="shared" si="1"/>
        <v>2053</v>
      </c>
      <c r="BB6" s="2">
        <f t="shared" si="1"/>
        <v>2054</v>
      </c>
      <c r="BC6" s="2">
        <f t="shared" si="1"/>
        <v>2055</v>
      </c>
      <c r="BD6" s="2">
        <f t="shared" si="1"/>
        <v>2056</v>
      </c>
      <c r="BE6" s="2">
        <f t="shared" si="1"/>
        <v>2057</v>
      </c>
      <c r="BF6" s="2">
        <f t="shared" si="1"/>
        <v>2058</v>
      </c>
      <c r="BG6" s="2">
        <f t="shared" si="1"/>
        <v>2059</v>
      </c>
      <c r="BH6" s="2">
        <f t="shared" si="1"/>
        <v>2060</v>
      </c>
      <c r="BI6" s="2">
        <f t="shared" si="1"/>
        <v>2061</v>
      </c>
      <c r="BJ6" s="2">
        <f t="shared" si="1"/>
        <v>2062</v>
      </c>
      <c r="BK6" s="2">
        <f t="shared" si="1"/>
        <v>2063</v>
      </c>
      <c r="BL6" s="2">
        <f t="shared" si="1"/>
        <v>2064</v>
      </c>
      <c r="BM6" s="2">
        <f t="shared" si="1"/>
        <v>2065</v>
      </c>
      <c r="BN6" s="2">
        <f t="shared" si="1"/>
        <v>2066</v>
      </c>
      <c r="BO6" s="2">
        <f t="shared" si="1"/>
        <v>2067</v>
      </c>
      <c r="BP6" s="2">
        <f t="shared" si="1"/>
        <v>2068</v>
      </c>
      <c r="BQ6" s="2">
        <f t="shared" si="1"/>
        <v>2069</v>
      </c>
      <c r="BR6" s="2">
        <f t="shared" si="1"/>
        <v>2070</v>
      </c>
      <c r="BS6" s="2">
        <f t="shared" si="1"/>
        <v>2071</v>
      </c>
      <c r="BT6" s="2">
        <f t="shared" si="1"/>
        <v>2072</v>
      </c>
      <c r="BU6" s="2">
        <f t="shared" si="1"/>
        <v>2073</v>
      </c>
      <c r="BV6" s="2">
        <f t="shared" si="1"/>
        <v>2074</v>
      </c>
      <c r="BW6" s="2">
        <f t="shared" si="1"/>
        <v>2075</v>
      </c>
      <c r="BX6" s="2">
        <f t="shared" si="1"/>
        <v>2076</v>
      </c>
      <c r="BY6" s="2">
        <f t="shared" si="1"/>
        <v>2077</v>
      </c>
      <c r="BZ6" s="2">
        <f t="shared" si="1"/>
        <v>2078</v>
      </c>
      <c r="CA6" s="2">
        <f t="shared" si="1"/>
        <v>2079</v>
      </c>
      <c r="CB6" s="2">
        <f t="shared" si="1"/>
        <v>2080</v>
      </c>
      <c r="CC6" s="2">
        <f t="shared" si="1"/>
        <v>2081</v>
      </c>
      <c r="CD6" s="2">
        <f t="shared" si="1"/>
        <v>2082</v>
      </c>
      <c r="CE6" s="2">
        <f t="shared" si="1"/>
        <v>2083</v>
      </c>
      <c r="CF6" s="2">
        <f t="shared" si="1"/>
        <v>2084</v>
      </c>
      <c r="CG6" s="2">
        <f t="shared" si="1"/>
        <v>2085</v>
      </c>
      <c r="CH6" s="2">
        <f t="shared" si="1"/>
        <v>2086</v>
      </c>
      <c r="CI6" s="2">
        <f t="shared" si="1"/>
        <v>2087</v>
      </c>
      <c r="CJ6" s="2">
        <f t="shared" si="1"/>
        <v>2088</v>
      </c>
      <c r="CK6" s="2">
        <f t="shared" si="1"/>
        <v>2089</v>
      </c>
      <c r="CL6" s="2">
        <f t="shared" si="1"/>
        <v>2090</v>
      </c>
      <c r="CM6" s="2">
        <f t="shared" si="1"/>
        <v>2091</v>
      </c>
      <c r="CN6" s="2">
        <f t="shared" si="1"/>
        <v>2092</v>
      </c>
      <c r="CO6" s="2">
        <f t="shared" si="1"/>
        <v>2093</v>
      </c>
      <c r="CP6" s="2">
        <f t="shared" si="1"/>
        <v>2094</v>
      </c>
      <c r="CQ6" s="2">
        <f t="shared" si="1"/>
        <v>2095</v>
      </c>
      <c r="CR6" s="2">
        <f t="shared" si="1"/>
        <v>2096</v>
      </c>
      <c r="CS6" s="2">
        <f t="shared" si="1"/>
        <v>2097</v>
      </c>
      <c r="CT6" s="2">
        <f t="shared" si="1"/>
        <v>2098</v>
      </c>
      <c r="CU6" s="2">
        <f t="shared" ref="CU6:FF6" si="2">+CT6+1</f>
        <v>2099</v>
      </c>
      <c r="CV6" s="2">
        <f t="shared" si="2"/>
        <v>2100</v>
      </c>
      <c r="CW6" s="2">
        <f t="shared" si="2"/>
        <v>2101</v>
      </c>
      <c r="CX6" s="2">
        <f t="shared" si="2"/>
        <v>2102</v>
      </c>
      <c r="CY6" s="2">
        <f t="shared" si="2"/>
        <v>2103</v>
      </c>
      <c r="CZ6" s="2">
        <f t="shared" si="2"/>
        <v>2104</v>
      </c>
      <c r="DA6" s="2">
        <f t="shared" si="2"/>
        <v>2105</v>
      </c>
      <c r="DB6" s="2">
        <f t="shared" si="2"/>
        <v>2106</v>
      </c>
      <c r="DC6" s="2">
        <f t="shared" si="2"/>
        <v>2107</v>
      </c>
      <c r="DD6" s="2">
        <f t="shared" si="2"/>
        <v>2108</v>
      </c>
      <c r="DE6" s="2">
        <f t="shared" si="2"/>
        <v>2109</v>
      </c>
      <c r="DF6" s="2">
        <f t="shared" si="2"/>
        <v>2110</v>
      </c>
      <c r="DG6" s="2">
        <f t="shared" si="2"/>
        <v>2111</v>
      </c>
      <c r="DH6" s="2">
        <f t="shared" si="2"/>
        <v>2112</v>
      </c>
      <c r="DI6" s="2">
        <f t="shared" si="2"/>
        <v>2113</v>
      </c>
      <c r="DJ6" s="2">
        <f t="shared" si="2"/>
        <v>2114</v>
      </c>
      <c r="DK6" s="2">
        <f t="shared" si="2"/>
        <v>2115</v>
      </c>
      <c r="DL6" s="2">
        <f t="shared" si="2"/>
        <v>2116</v>
      </c>
      <c r="DM6" s="2">
        <f t="shared" si="2"/>
        <v>2117</v>
      </c>
      <c r="DN6" s="2">
        <f t="shared" si="2"/>
        <v>2118</v>
      </c>
      <c r="DO6" s="2">
        <f t="shared" si="2"/>
        <v>2119</v>
      </c>
      <c r="DP6" s="2">
        <f t="shared" si="2"/>
        <v>2120</v>
      </c>
      <c r="DQ6" s="2">
        <f t="shared" si="2"/>
        <v>2121</v>
      </c>
      <c r="DR6" s="2">
        <f t="shared" si="2"/>
        <v>2122</v>
      </c>
      <c r="DS6" s="2">
        <f t="shared" si="2"/>
        <v>2123</v>
      </c>
      <c r="DT6" s="2">
        <f t="shared" si="2"/>
        <v>2124</v>
      </c>
      <c r="DU6" s="2">
        <f t="shared" si="2"/>
        <v>2125</v>
      </c>
      <c r="DV6" s="2">
        <f t="shared" si="2"/>
        <v>2126</v>
      </c>
      <c r="DW6" s="2">
        <f t="shared" si="2"/>
        <v>2127</v>
      </c>
      <c r="DX6" s="2">
        <f t="shared" si="2"/>
        <v>2128</v>
      </c>
      <c r="DY6" s="2">
        <f t="shared" si="2"/>
        <v>2129</v>
      </c>
      <c r="DZ6" s="2">
        <f t="shared" si="2"/>
        <v>2130</v>
      </c>
      <c r="EA6" s="2">
        <f t="shared" si="2"/>
        <v>2131</v>
      </c>
      <c r="EB6" s="2">
        <f t="shared" si="2"/>
        <v>2132</v>
      </c>
      <c r="EC6" s="2">
        <f t="shared" si="2"/>
        <v>2133</v>
      </c>
      <c r="ED6" s="2">
        <f t="shared" si="2"/>
        <v>2134</v>
      </c>
      <c r="EE6" s="2">
        <f t="shared" si="2"/>
        <v>2135</v>
      </c>
      <c r="EF6" s="2">
        <f t="shared" si="2"/>
        <v>2136</v>
      </c>
      <c r="EG6" s="2">
        <f t="shared" si="2"/>
        <v>2137</v>
      </c>
      <c r="EH6" s="2">
        <f t="shared" si="2"/>
        <v>2138</v>
      </c>
      <c r="EI6" s="2">
        <f t="shared" si="2"/>
        <v>2139</v>
      </c>
      <c r="EJ6" s="2">
        <f t="shared" si="2"/>
        <v>2140</v>
      </c>
      <c r="EK6" s="2">
        <f t="shared" si="2"/>
        <v>2141</v>
      </c>
      <c r="EL6" s="2">
        <f t="shared" si="2"/>
        <v>2142</v>
      </c>
      <c r="EM6" s="2">
        <f t="shared" si="2"/>
        <v>2143</v>
      </c>
      <c r="EN6" s="2">
        <f t="shared" si="2"/>
        <v>2144</v>
      </c>
      <c r="EO6" s="2">
        <f t="shared" si="2"/>
        <v>2145</v>
      </c>
      <c r="EP6" s="2">
        <f t="shared" si="2"/>
        <v>2146</v>
      </c>
      <c r="EQ6" s="2">
        <f t="shared" si="2"/>
        <v>2147</v>
      </c>
      <c r="ER6" s="2">
        <f t="shared" si="2"/>
        <v>2148</v>
      </c>
      <c r="ES6" s="2">
        <f t="shared" si="2"/>
        <v>2149</v>
      </c>
      <c r="ET6" s="2">
        <f t="shared" si="2"/>
        <v>2150</v>
      </c>
      <c r="EU6" s="2">
        <f t="shared" si="2"/>
        <v>2151</v>
      </c>
      <c r="EV6" s="2">
        <f t="shared" si="2"/>
        <v>2152</v>
      </c>
      <c r="EW6" s="2">
        <f t="shared" si="2"/>
        <v>2153</v>
      </c>
      <c r="EX6" s="2">
        <f t="shared" si="2"/>
        <v>2154</v>
      </c>
      <c r="EY6" s="2">
        <f t="shared" si="2"/>
        <v>2155</v>
      </c>
      <c r="EZ6" s="2">
        <f t="shared" si="2"/>
        <v>2156</v>
      </c>
      <c r="FA6" s="2">
        <f t="shared" si="2"/>
        <v>2157</v>
      </c>
      <c r="FB6" s="2">
        <f t="shared" si="2"/>
        <v>2158</v>
      </c>
      <c r="FC6" s="2">
        <f t="shared" si="2"/>
        <v>2159</v>
      </c>
      <c r="FD6" s="2">
        <f t="shared" si="2"/>
        <v>2160</v>
      </c>
      <c r="FE6" s="2">
        <f t="shared" si="2"/>
        <v>2161</v>
      </c>
      <c r="FF6" s="2">
        <f t="shared" si="2"/>
        <v>2162</v>
      </c>
      <c r="FG6" s="2">
        <f t="shared" ref="FG6:HR6" si="3">+FF6+1</f>
        <v>2163</v>
      </c>
      <c r="FH6" s="2">
        <f t="shared" si="3"/>
        <v>2164</v>
      </c>
      <c r="FI6" s="2">
        <f t="shared" si="3"/>
        <v>2165</v>
      </c>
      <c r="FJ6" s="2">
        <f t="shared" si="3"/>
        <v>2166</v>
      </c>
      <c r="FK6" s="2">
        <f t="shared" si="3"/>
        <v>2167</v>
      </c>
      <c r="FL6" s="2">
        <f t="shared" si="3"/>
        <v>2168</v>
      </c>
      <c r="FM6" s="2">
        <f t="shared" si="3"/>
        <v>2169</v>
      </c>
      <c r="FN6" s="2">
        <f t="shared" si="3"/>
        <v>2170</v>
      </c>
      <c r="FO6" s="2">
        <f t="shared" si="3"/>
        <v>2171</v>
      </c>
      <c r="FP6" s="2">
        <f t="shared" si="3"/>
        <v>2172</v>
      </c>
      <c r="FQ6" s="2">
        <f t="shared" si="3"/>
        <v>2173</v>
      </c>
      <c r="FR6" s="2">
        <f t="shared" si="3"/>
        <v>2174</v>
      </c>
      <c r="FS6" s="2">
        <f t="shared" si="3"/>
        <v>2175</v>
      </c>
      <c r="FT6" s="2">
        <f t="shared" si="3"/>
        <v>2176</v>
      </c>
      <c r="FU6" s="2">
        <f t="shared" si="3"/>
        <v>2177</v>
      </c>
      <c r="FV6" s="2">
        <f t="shared" si="3"/>
        <v>2178</v>
      </c>
      <c r="FW6" s="2">
        <f t="shared" si="3"/>
        <v>2179</v>
      </c>
      <c r="FX6" s="2">
        <f t="shared" si="3"/>
        <v>2180</v>
      </c>
      <c r="FY6" s="2">
        <f t="shared" si="3"/>
        <v>2181</v>
      </c>
      <c r="FZ6" s="2">
        <f t="shared" si="3"/>
        <v>2182</v>
      </c>
      <c r="GA6" s="2">
        <f t="shared" si="3"/>
        <v>2183</v>
      </c>
      <c r="GB6" s="2">
        <f t="shared" si="3"/>
        <v>2184</v>
      </c>
      <c r="GC6" s="2">
        <f t="shared" si="3"/>
        <v>2185</v>
      </c>
      <c r="GD6" s="2">
        <f t="shared" si="3"/>
        <v>2186</v>
      </c>
      <c r="GE6" s="2">
        <f t="shared" si="3"/>
        <v>2187</v>
      </c>
      <c r="GF6" s="2">
        <f t="shared" si="3"/>
        <v>2188</v>
      </c>
      <c r="GG6" s="2">
        <f t="shared" si="3"/>
        <v>2189</v>
      </c>
      <c r="GH6" s="2">
        <f t="shared" si="3"/>
        <v>2190</v>
      </c>
      <c r="GI6" s="2">
        <f t="shared" si="3"/>
        <v>2191</v>
      </c>
      <c r="GJ6" s="2">
        <f t="shared" si="3"/>
        <v>2192</v>
      </c>
      <c r="GK6" s="2">
        <f t="shared" si="3"/>
        <v>2193</v>
      </c>
      <c r="GL6" s="2">
        <f t="shared" si="3"/>
        <v>2194</v>
      </c>
      <c r="GM6" s="2">
        <f t="shared" si="3"/>
        <v>2195</v>
      </c>
      <c r="GN6" s="2">
        <f t="shared" si="3"/>
        <v>2196</v>
      </c>
      <c r="GO6" s="2">
        <f t="shared" si="3"/>
        <v>2197</v>
      </c>
      <c r="GP6" s="2">
        <f t="shared" si="3"/>
        <v>2198</v>
      </c>
      <c r="GQ6" s="2">
        <f t="shared" si="3"/>
        <v>2199</v>
      </c>
      <c r="GR6" s="2">
        <f t="shared" si="3"/>
        <v>2200</v>
      </c>
      <c r="GS6" s="2">
        <f t="shared" si="3"/>
        <v>2201</v>
      </c>
      <c r="GT6" s="2">
        <f t="shared" si="3"/>
        <v>2202</v>
      </c>
      <c r="GU6" s="2">
        <f t="shared" si="3"/>
        <v>2203</v>
      </c>
      <c r="GV6" s="2">
        <f t="shared" si="3"/>
        <v>2204</v>
      </c>
      <c r="GW6" s="2">
        <f t="shared" si="3"/>
        <v>2205</v>
      </c>
      <c r="GX6" s="2">
        <f t="shared" si="3"/>
        <v>2206</v>
      </c>
      <c r="GY6" s="2">
        <f t="shared" si="3"/>
        <v>2207</v>
      </c>
      <c r="GZ6" s="2">
        <f t="shared" si="3"/>
        <v>2208</v>
      </c>
      <c r="HA6" s="2">
        <f t="shared" si="3"/>
        <v>2209</v>
      </c>
      <c r="HB6" s="2">
        <f t="shared" si="3"/>
        <v>2210</v>
      </c>
      <c r="HC6" s="2">
        <f t="shared" si="3"/>
        <v>2211</v>
      </c>
      <c r="HD6" s="2">
        <f t="shared" si="3"/>
        <v>2212</v>
      </c>
      <c r="HE6" s="2">
        <f t="shared" si="3"/>
        <v>2213</v>
      </c>
      <c r="HF6" s="2">
        <f t="shared" si="3"/>
        <v>2214</v>
      </c>
      <c r="HG6" s="2">
        <f t="shared" si="3"/>
        <v>2215</v>
      </c>
      <c r="HH6" s="2">
        <f t="shared" si="3"/>
        <v>2216</v>
      </c>
      <c r="HI6" s="2">
        <f t="shared" si="3"/>
        <v>2217</v>
      </c>
      <c r="HJ6" s="2">
        <f t="shared" si="3"/>
        <v>2218</v>
      </c>
      <c r="HK6" s="2">
        <f t="shared" si="3"/>
        <v>2219</v>
      </c>
      <c r="HL6" s="2">
        <f t="shared" si="3"/>
        <v>2220</v>
      </c>
      <c r="HM6" s="2">
        <f t="shared" si="3"/>
        <v>2221</v>
      </c>
      <c r="HN6" s="2">
        <f t="shared" si="3"/>
        <v>2222</v>
      </c>
      <c r="HO6" s="2">
        <f t="shared" si="3"/>
        <v>2223</v>
      </c>
      <c r="HP6" s="2">
        <f t="shared" si="3"/>
        <v>2224</v>
      </c>
      <c r="HQ6" s="2">
        <f t="shared" si="3"/>
        <v>2225</v>
      </c>
      <c r="HR6" s="2">
        <f t="shared" si="3"/>
        <v>2226</v>
      </c>
      <c r="HS6" s="2">
        <f t="shared" ref="HS6:HY6" si="4">+HR6+1</f>
        <v>2227</v>
      </c>
      <c r="HT6" s="2">
        <f t="shared" si="4"/>
        <v>2228</v>
      </c>
      <c r="HU6" s="2">
        <f t="shared" si="4"/>
        <v>2229</v>
      </c>
      <c r="HV6" s="2">
        <f t="shared" si="4"/>
        <v>2230</v>
      </c>
      <c r="HW6" s="2">
        <f t="shared" si="4"/>
        <v>2231</v>
      </c>
      <c r="HX6" s="2">
        <f t="shared" si="4"/>
        <v>2232</v>
      </c>
      <c r="HY6" s="2">
        <f t="shared" si="4"/>
        <v>2233</v>
      </c>
    </row>
    <row r="7" spans="2:233" s="2" customFormat="1">
      <c r="B7" s="2" t="s">
        <v>54</v>
      </c>
      <c r="C7" s="2">
        <v>274</v>
      </c>
      <c r="D7" s="2">
        <v>274</v>
      </c>
      <c r="E7" s="2">
        <v>273</v>
      </c>
      <c r="F7" s="2">
        <f>+W7</f>
        <v>273</v>
      </c>
      <c r="G7" s="2">
        <v>274</v>
      </c>
      <c r="H7" s="2">
        <v>273</v>
      </c>
      <c r="I7" s="2">
        <v>273</v>
      </c>
      <c r="J7" s="2">
        <v>272</v>
      </c>
      <c r="U7" s="2">
        <v>280</v>
      </c>
      <c r="V7" s="2">
        <v>277</v>
      </c>
      <c r="W7" s="2">
        <v>273</v>
      </c>
      <c r="X7" s="2">
        <v>272</v>
      </c>
    </row>
    <row r="8" spans="2:233" s="2" customFormat="1">
      <c r="B8" s="2" t="s">
        <v>55</v>
      </c>
      <c r="C8" s="2">
        <v>33</v>
      </c>
      <c r="D8" s="2">
        <v>33</v>
      </c>
      <c r="E8" s="2">
        <v>31</v>
      </c>
      <c r="F8" s="2">
        <f>+W8-SUM(C8:E8)</f>
        <v>46</v>
      </c>
      <c r="G8" s="2">
        <v>33</v>
      </c>
      <c r="H8" s="2">
        <v>31</v>
      </c>
      <c r="I8" s="2">
        <v>30</v>
      </c>
      <c r="U8" s="2">
        <v>138</v>
      </c>
      <c r="V8" s="2">
        <v>146</v>
      </c>
      <c r="W8" s="2">
        <v>143</v>
      </c>
    </row>
    <row r="9" spans="2:233" s="2" customFormat="1"/>
    <row r="10" spans="2:233">
      <c r="B10" s="1" t="s">
        <v>16</v>
      </c>
      <c r="C10" s="1">
        <v>1583.9480000000001</v>
      </c>
      <c r="D10" s="1">
        <v>1567.377</v>
      </c>
      <c r="E10" s="1">
        <v>1476.3620000000001</v>
      </c>
      <c r="F10" s="1">
        <f>+W10-SUM(C10:E10)</f>
        <v>2124.366</v>
      </c>
      <c r="G10" s="1">
        <v>1549.0509999999999</v>
      </c>
      <c r="H10" s="1">
        <v>1489.9380000000001</v>
      </c>
      <c r="I10" s="1">
        <v>1427.009</v>
      </c>
      <c r="J10" s="1">
        <v>2016.6</v>
      </c>
      <c r="K10" s="1">
        <v>1528.9</v>
      </c>
      <c r="R10" s="1">
        <v>6356.1090000000004</v>
      </c>
      <c r="S10" s="1">
        <v>6203.52</v>
      </c>
      <c r="T10" s="1">
        <v>4300.8950000000004</v>
      </c>
      <c r="U10" s="1">
        <v>6492.9930000000004</v>
      </c>
      <c r="V10" s="1">
        <v>6871.0810000000001</v>
      </c>
      <c r="W10" s="1">
        <v>6752.0529999999999</v>
      </c>
      <c r="X10" s="1">
        <v>6482.6360000000004</v>
      </c>
      <c r="Y10" s="1">
        <f>+K10 * 4</f>
        <v>6115.6</v>
      </c>
      <c r="Z10" s="1">
        <f>+Y10*0.96</f>
        <v>5870.9760000000006</v>
      </c>
      <c r="AA10" s="1">
        <f t="shared" ref="AA10:AH10" si="5">+Z10*0.96</f>
        <v>5636.1369600000007</v>
      </c>
      <c r="AB10" s="1">
        <f t="shared" si="5"/>
        <v>5410.6914816000008</v>
      </c>
      <c r="AC10" s="1">
        <f t="shared" si="5"/>
        <v>5194.2638223360009</v>
      </c>
      <c r="AD10" s="1">
        <f t="shared" si="5"/>
        <v>4986.4932694425606</v>
      </c>
      <c r="AE10" s="1">
        <f t="shared" si="5"/>
        <v>4787.0335386648576</v>
      </c>
      <c r="AF10" s="1">
        <f t="shared" si="5"/>
        <v>4595.5521971182634</v>
      </c>
      <c r="AG10" s="1">
        <f t="shared" si="5"/>
        <v>4411.7301092335329</v>
      </c>
      <c r="AH10" s="1">
        <f t="shared" si="5"/>
        <v>4235.2609048641916</v>
      </c>
    </row>
    <row r="11" spans="2:233">
      <c r="B11" s="1" t="s">
        <v>22</v>
      </c>
      <c r="C11" s="1">
        <v>29.959</v>
      </c>
      <c r="D11" s="1">
        <v>30.041</v>
      </c>
      <c r="E11" s="1">
        <v>27.872</v>
      </c>
      <c r="F11" s="1">
        <f>+W11-SUM(C11:E11)</f>
        <v>34.495000000000005</v>
      </c>
      <c r="G11" s="1">
        <v>23.757999999999999</v>
      </c>
      <c r="H11" s="1">
        <v>24.707999999999998</v>
      </c>
      <c r="I11" s="1">
        <v>24.151</v>
      </c>
      <c r="J11" s="1">
        <v>35</v>
      </c>
      <c r="K11" s="1">
        <v>18.100000000000001</v>
      </c>
      <c r="R11" s="1">
        <v>147.24</v>
      </c>
      <c r="S11" s="1">
        <v>139.691</v>
      </c>
      <c r="T11" s="1">
        <v>132.29</v>
      </c>
      <c r="U11" s="1">
        <v>131.274</v>
      </c>
      <c r="V11" s="1">
        <v>125.134</v>
      </c>
      <c r="W11" s="1">
        <v>122.367</v>
      </c>
      <c r="X11" s="1">
        <v>107.595</v>
      </c>
      <c r="Y11" s="1">
        <f>+K11 * 4</f>
        <v>72.400000000000006</v>
      </c>
      <c r="Z11" s="1">
        <f t="shared" ref="Z11:AH11" si="6">+Z10*(Y11/Y10)</f>
        <v>69.504000000000005</v>
      </c>
      <c r="AA11" s="1">
        <f t="shared" si="6"/>
        <v>66.72384000000001</v>
      </c>
      <c r="AB11" s="1">
        <f t="shared" si="6"/>
        <v>64.054886400000015</v>
      </c>
      <c r="AC11" s="1">
        <f t="shared" si="6"/>
        <v>61.49269094400001</v>
      </c>
      <c r="AD11" s="1">
        <f t="shared" si="6"/>
        <v>59.032983306240013</v>
      </c>
      <c r="AE11" s="1">
        <f t="shared" si="6"/>
        <v>56.671663973990405</v>
      </c>
      <c r="AF11" s="1">
        <f t="shared" si="6"/>
        <v>54.404797415030785</v>
      </c>
      <c r="AG11" s="1">
        <f t="shared" si="6"/>
        <v>52.228605518429553</v>
      </c>
      <c r="AH11" s="1">
        <f t="shared" si="6"/>
        <v>50.139461297692378</v>
      </c>
    </row>
    <row r="12" spans="2:233" s="3" customFormat="1">
      <c r="B12" s="3" t="s">
        <v>23</v>
      </c>
      <c r="C12" s="3">
        <f t="shared" ref="C12:K12" si="7">+SUM(C10:C11)</f>
        <v>1613.9070000000002</v>
      </c>
      <c r="D12" s="3">
        <f t="shared" si="7"/>
        <v>1597.4179999999999</v>
      </c>
      <c r="E12" s="3">
        <f t="shared" si="7"/>
        <v>1504.2340000000002</v>
      </c>
      <c r="F12" s="3">
        <f t="shared" si="7"/>
        <v>2158.8609999999999</v>
      </c>
      <c r="G12" s="3">
        <f t="shared" si="7"/>
        <v>1572.809</v>
      </c>
      <c r="H12" s="3">
        <f t="shared" si="7"/>
        <v>1514.6460000000002</v>
      </c>
      <c r="I12" s="3">
        <f t="shared" si="7"/>
        <v>1451.16</v>
      </c>
      <c r="J12" s="3">
        <f t="shared" si="7"/>
        <v>2051.6</v>
      </c>
      <c r="K12" s="3">
        <f t="shared" si="7"/>
        <v>1547</v>
      </c>
      <c r="L12" s="1"/>
      <c r="R12" s="3">
        <f t="shared" ref="R12:W12" si="8">+SUM(R10:R11)</f>
        <v>6503.3490000000002</v>
      </c>
      <c r="S12" s="3">
        <f t="shared" si="8"/>
        <v>6343.2110000000002</v>
      </c>
      <c r="T12" s="3">
        <f t="shared" si="8"/>
        <v>4433.1850000000004</v>
      </c>
      <c r="U12" s="3">
        <f t="shared" si="8"/>
        <v>6624.2670000000007</v>
      </c>
      <c r="V12" s="3">
        <f t="shared" si="8"/>
        <v>6996.2150000000001</v>
      </c>
      <c r="W12" s="3">
        <f t="shared" si="8"/>
        <v>6874.42</v>
      </c>
      <c r="X12" s="3">
        <f>SUM(X10:X11)</f>
        <v>6590.2310000000007</v>
      </c>
      <c r="Y12" s="3">
        <f t="shared" ref="Y12:AG12" si="9">SUM(Y10:Y11)</f>
        <v>6188</v>
      </c>
      <c r="Z12" s="3">
        <f t="shared" si="9"/>
        <v>5940.4800000000005</v>
      </c>
      <c r="AA12" s="3">
        <f t="shared" si="9"/>
        <v>5702.8608000000004</v>
      </c>
      <c r="AB12" s="3">
        <f t="shared" si="9"/>
        <v>5474.746368000001</v>
      </c>
      <c r="AC12" s="3">
        <f t="shared" si="9"/>
        <v>5255.7565132800009</v>
      </c>
      <c r="AD12" s="3">
        <f t="shared" si="9"/>
        <v>5045.5262527488003</v>
      </c>
      <c r="AE12" s="3">
        <f t="shared" si="9"/>
        <v>4843.7052026388483</v>
      </c>
      <c r="AF12" s="3">
        <f t="shared" si="9"/>
        <v>4649.9569945332942</v>
      </c>
      <c r="AG12" s="3">
        <f t="shared" si="9"/>
        <v>4463.9587147519624</v>
      </c>
      <c r="AH12" s="3">
        <f t="shared" ref="AH12" si="10">SUM(AH10:AH11)</f>
        <v>4285.4003661618844</v>
      </c>
    </row>
    <row r="13" spans="2:233">
      <c r="B13" s="1" t="s">
        <v>3</v>
      </c>
      <c r="C13" s="1">
        <v>891.26099999999997</v>
      </c>
      <c r="D13" s="1">
        <v>958.83500000000004</v>
      </c>
      <c r="E13" s="1">
        <v>834.53700000000003</v>
      </c>
      <c r="F13" s="1">
        <f>+W13-SUM(C13:E13)</f>
        <v>1346.4750000000004</v>
      </c>
      <c r="G13" s="1">
        <v>857.82500000000005</v>
      </c>
      <c r="H13" s="1">
        <v>930.33100000000002</v>
      </c>
      <c r="I13" s="1">
        <v>819.31299999999999</v>
      </c>
      <c r="J13" s="1">
        <v>1312.1</v>
      </c>
      <c r="K13" s="1">
        <v>857.7</v>
      </c>
      <c r="R13" s="1">
        <v>4291.5200000000004</v>
      </c>
      <c r="S13" s="1">
        <v>4235.9780000000001</v>
      </c>
      <c r="T13" s="1">
        <v>3069.0630000000001</v>
      </c>
      <c r="U13" s="1">
        <v>3747.665</v>
      </c>
      <c r="V13" s="1">
        <v>3983.598</v>
      </c>
      <c r="W13" s="1">
        <v>4031.1080000000002</v>
      </c>
      <c r="X13" s="1">
        <v>3919.549</v>
      </c>
      <c r="Y13" s="1">
        <f>+Y$12*(X13/X$12)</f>
        <v>3680.3215565584878</v>
      </c>
      <c r="Z13" s="1">
        <f t="shared" ref="Z13:AH13" si="11">+Z$12*(Y13/Y$12)</f>
        <v>3533.1086942961483</v>
      </c>
      <c r="AA13" s="1">
        <f t="shared" si="11"/>
        <v>3391.7843465243022</v>
      </c>
      <c r="AB13" s="1">
        <f t="shared" si="11"/>
        <v>3256.1129726633308</v>
      </c>
      <c r="AC13" s="1">
        <f t="shared" si="11"/>
        <v>3125.8684537567974</v>
      </c>
      <c r="AD13" s="1">
        <f t="shared" si="11"/>
        <v>3000.8337156065254</v>
      </c>
      <c r="AE13" s="1">
        <f t="shared" si="11"/>
        <v>2880.8003669822642</v>
      </c>
      <c r="AF13" s="1">
        <f t="shared" si="11"/>
        <v>2765.5683523029734</v>
      </c>
      <c r="AG13" s="1">
        <f t="shared" si="11"/>
        <v>2654.9456182108547</v>
      </c>
      <c r="AH13" s="1">
        <f t="shared" si="11"/>
        <v>2548.7477934824205</v>
      </c>
    </row>
    <row r="14" spans="2:233">
      <c r="B14" s="1" t="s">
        <v>17</v>
      </c>
      <c r="C14" s="1">
        <v>406.375</v>
      </c>
      <c r="D14" s="1">
        <v>412.54300000000001</v>
      </c>
      <c r="E14" s="1">
        <v>421.82499999999999</v>
      </c>
      <c r="F14" s="1">
        <f>+W14-SUM(C14:E14)</f>
        <v>476.67200000000003</v>
      </c>
      <c r="G14" s="1">
        <v>426.67399999999998</v>
      </c>
      <c r="H14" s="1">
        <v>433.65899999999999</v>
      </c>
      <c r="I14" s="1">
        <v>418.899</v>
      </c>
      <c r="J14" s="1">
        <v>452</v>
      </c>
      <c r="K14" s="1">
        <v>421.7</v>
      </c>
      <c r="R14" s="1">
        <v>1691.18</v>
      </c>
      <c r="S14" s="1">
        <v>1691.0170000000001</v>
      </c>
      <c r="T14" s="1">
        <v>1211.4829999999999</v>
      </c>
      <c r="U14" s="1">
        <v>1536.5540000000001</v>
      </c>
      <c r="V14" s="1">
        <v>1674.317</v>
      </c>
      <c r="W14" s="1">
        <v>1717.415</v>
      </c>
      <c r="X14" s="1">
        <v>1731.2339999999999</v>
      </c>
      <c r="Y14" s="1">
        <f t="shared" ref="Y14:AH17" si="12">+Y$12*(X14/X$12)</f>
        <v>1625.5691176834316</v>
      </c>
      <c r="Z14" s="1">
        <f t="shared" si="12"/>
        <v>1560.5463529760943</v>
      </c>
      <c r="AA14" s="1">
        <f t="shared" si="12"/>
        <v>1498.1244988570506</v>
      </c>
      <c r="AB14" s="1">
        <f t="shared" si="12"/>
        <v>1438.1995189027687</v>
      </c>
      <c r="AC14" s="1">
        <f t="shared" si="12"/>
        <v>1380.6715381466579</v>
      </c>
      <c r="AD14" s="1">
        <f t="shared" si="12"/>
        <v>1325.4446766207916</v>
      </c>
      <c r="AE14" s="1">
        <f t="shared" si="12"/>
        <v>1272.4268895559599</v>
      </c>
      <c r="AF14" s="1">
        <f t="shared" si="12"/>
        <v>1221.5298139737215</v>
      </c>
      <c r="AG14" s="1">
        <f t="shared" si="12"/>
        <v>1172.6686214147726</v>
      </c>
      <c r="AH14" s="1">
        <f t="shared" si="12"/>
        <v>1125.7618765581817</v>
      </c>
    </row>
    <row r="15" spans="2:233">
      <c r="B15" s="1" t="s">
        <v>18</v>
      </c>
      <c r="C15" s="1">
        <v>4.3810000000000002</v>
      </c>
      <c r="D15" s="1">
        <v>4.9610000000000003</v>
      </c>
      <c r="E15" s="1">
        <v>4.9320000000000004</v>
      </c>
      <c r="F15" s="1">
        <f>+W15-SUM(C15:E15)</f>
        <v>7.2949999999999982</v>
      </c>
      <c r="G15" s="1">
        <v>5.24</v>
      </c>
      <c r="H15" s="1">
        <v>4.9560000000000004</v>
      </c>
      <c r="I15" s="1">
        <v>4.8879999999999999</v>
      </c>
      <c r="J15" s="1">
        <v>6.5</v>
      </c>
      <c r="K15" s="1">
        <v>4.5999999999999996</v>
      </c>
      <c r="R15" s="1">
        <v>28.646000000000001</v>
      </c>
      <c r="S15" s="1">
        <v>26.375</v>
      </c>
      <c r="T15" s="1">
        <v>22.173999999999999</v>
      </c>
      <c r="U15" s="1">
        <v>22.594000000000001</v>
      </c>
      <c r="V15" s="1">
        <v>23.169</v>
      </c>
      <c r="W15" s="1">
        <v>21.568999999999999</v>
      </c>
      <c r="X15" s="1">
        <v>21.419</v>
      </c>
      <c r="Y15" s="1">
        <f t="shared" si="12"/>
        <v>20.111703519952485</v>
      </c>
      <c r="Z15" s="1">
        <f t="shared" si="12"/>
        <v>19.307235379154385</v>
      </c>
      <c r="AA15" s="1">
        <f t="shared" si="12"/>
        <v>18.534945963988207</v>
      </c>
      <c r="AB15" s="1">
        <f t="shared" si="12"/>
        <v>17.793548125428682</v>
      </c>
      <c r="AC15" s="1">
        <f t="shared" si="12"/>
        <v>17.081806200411535</v>
      </c>
      <c r="AD15" s="1">
        <f t="shared" si="12"/>
        <v>16.39853395239507</v>
      </c>
      <c r="AE15" s="1">
        <f t="shared" si="12"/>
        <v>15.742592594299266</v>
      </c>
      <c r="AF15" s="1">
        <f t="shared" si="12"/>
        <v>15.112888890527294</v>
      </c>
      <c r="AG15" s="1">
        <f t="shared" si="12"/>
        <v>14.508373334906203</v>
      </c>
      <c r="AH15" s="1">
        <f t="shared" si="12"/>
        <v>13.928038401509957</v>
      </c>
    </row>
    <row r="16" spans="2:233">
      <c r="B16" s="1" t="s">
        <v>19</v>
      </c>
      <c r="C16" s="1">
        <v>0.123</v>
      </c>
      <c r="D16" s="1">
        <v>0.13200000000000001</v>
      </c>
      <c r="E16" s="1">
        <v>-1.79</v>
      </c>
      <c r="F16" s="1">
        <f>+W16-SUM(C16:E16)</f>
        <v>-3.0649999999999995</v>
      </c>
      <c r="G16" s="1">
        <v>-3.532</v>
      </c>
      <c r="H16" s="1">
        <v>-3.9340000000000002</v>
      </c>
      <c r="I16" s="1">
        <v>-4.4779999999999998</v>
      </c>
      <c r="J16" s="1">
        <v>-1.8</v>
      </c>
      <c r="K16" s="1">
        <v>-0.8</v>
      </c>
      <c r="R16" s="1">
        <v>52.518000000000001</v>
      </c>
      <c r="S16" s="1">
        <v>46.226999999999997</v>
      </c>
      <c r="T16" s="1">
        <v>49.107999999999997</v>
      </c>
      <c r="U16" s="1">
        <v>43.091999999999999</v>
      </c>
      <c r="V16" s="1">
        <v>30.527000000000001</v>
      </c>
      <c r="W16" s="1">
        <v>-4.5999999999999996</v>
      </c>
      <c r="X16" s="1">
        <v>-13.695</v>
      </c>
      <c r="Y16" s="1">
        <f t="shared" si="12"/>
        <v>-12.859133465883062</v>
      </c>
      <c r="Z16" s="1">
        <f t="shared" si="12"/>
        <v>-12.34476812724774</v>
      </c>
      <c r="AA16" s="1">
        <f t="shared" si="12"/>
        <v>-11.850977402157831</v>
      </c>
      <c r="AB16" s="1">
        <f t="shared" si="12"/>
        <v>-11.376938306071517</v>
      </c>
      <c r="AC16" s="1">
        <f t="shared" si="12"/>
        <v>-10.921860773828657</v>
      </c>
      <c r="AD16" s="1">
        <f t="shared" si="12"/>
        <v>-10.48498634287551</v>
      </c>
      <c r="AE16" s="1">
        <f t="shared" si="12"/>
        <v>-10.065586889160489</v>
      </c>
      <c r="AF16" s="1">
        <f t="shared" si="12"/>
        <v>-9.6629634135940705</v>
      </c>
      <c r="AG16" s="1">
        <f t="shared" si="12"/>
        <v>-9.2764448770503076</v>
      </c>
      <c r="AH16" s="1">
        <f t="shared" si="12"/>
        <v>-8.9053870819682963</v>
      </c>
    </row>
    <row r="17" spans="2:233">
      <c r="B17" s="1" t="s">
        <v>20</v>
      </c>
      <c r="C17" s="1">
        <v>4.6980000000000004</v>
      </c>
      <c r="D17" s="1">
        <v>4.6980000000000004</v>
      </c>
      <c r="E17" s="1">
        <v>4.6970000000000001</v>
      </c>
      <c r="F17" s="1">
        <f>+W17-SUM(C17:E17)</f>
        <v>4.6980000000000004</v>
      </c>
      <c r="G17" s="1">
        <v>6.1580000000000004</v>
      </c>
      <c r="H17" s="1">
        <v>6.1580000000000004</v>
      </c>
      <c r="I17" s="1">
        <v>6.1580000000000004</v>
      </c>
      <c r="J17" s="1">
        <v>6.2</v>
      </c>
      <c r="K17" s="1">
        <v>5.7</v>
      </c>
      <c r="R17" s="1">
        <v>7.66</v>
      </c>
      <c r="S17" s="1">
        <v>7.6669999999999998</v>
      </c>
      <c r="T17" s="1">
        <v>8.4169999999999998</v>
      </c>
      <c r="U17" s="1">
        <v>11.366</v>
      </c>
      <c r="V17" s="1">
        <v>7.7439999999999998</v>
      </c>
      <c r="W17" s="1">
        <v>18.791</v>
      </c>
      <c r="X17" s="1">
        <v>24.631</v>
      </c>
      <c r="Y17" s="1">
        <f t="shared" si="12"/>
        <v>23.127660927211803</v>
      </c>
      <c r="Z17" s="1">
        <f t="shared" si="12"/>
        <v>22.202554490123333</v>
      </c>
      <c r="AA17" s="1">
        <f t="shared" si="12"/>
        <v>21.314452310518401</v>
      </c>
      <c r="AB17" s="1">
        <f t="shared" si="12"/>
        <v>20.461874218097666</v>
      </c>
      <c r="AC17" s="1">
        <f t="shared" si="12"/>
        <v>19.643399249373761</v>
      </c>
      <c r="AD17" s="1">
        <f t="shared" si="12"/>
        <v>18.85766327939881</v>
      </c>
      <c r="AE17" s="1">
        <f t="shared" si="12"/>
        <v>18.103356748222858</v>
      </c>
      <c r="AF17" s="1">
        <f t="shared" si="12"/>
        <v>17.379222478293944</v>
      </c>
      <c r="AG17" s="1">
        <f t="shared" si="12"/>
        <v>16.684053579162185</v>
      </c>
      <c r="AH17" s="1">
        <f t="shared" si="12"/>
        <v>16.0166914359957</v>
      </c>
    </row>
    <row r="18" spans="2:233">
      <c r="B18" s="1" t="s">
        <v>21</v>
      </c>
      <c r="C18" s="1">
        <f>+C12-SUM(C13:C17)</f>
        <v>307.06899999999996</v>
      </c>
      <c r="D18" s="1">
        <f>+D12-SUM(D13:D17)</f>
        <v>216.24899999999957</v>
      </c>
      <c r="E18" s="1">
        <f>+E12-SUM(E13:E17)</f>
        <v>240.03300000000013</v>
      </c>
      <c r="F18" s="1">
        <f>+W18-SUM(C18:E18)</f>
        <v>326.78600000000006</v>
      </c>
      <c r="G18" s="1">
        <f>+G12-SUM(G13:G17)</f>
        <v>280.44399999999996</v>
      </c>
      <c r="H18" s="1">
        <f>+H12-SUM(H13:H17)</f>
        <v>143.47600000000034</v>
      </c>
      <c r="I18" s="1">
        <f>+I12-SUM(I13:I17)</f>
        <v>206.38000000000034</v>
      </c>
      <c r="J18" s="1">
        <f>+J12-SUM(J13:J17)</f>
        <v>276.59999999999991</v>
      </c>
      <c r="K18" s="1">
        <f>+K12-SUM(K13:K17)</f>
        <v>258.09999999999991</v>
      </c>
      <c r="R18" s="1">
        <f t="shared" ref="R18:X18" si="13">+R12-SUM(R13:R17)</f>
        <v>431.82499999999982</v>
      </c>
      <c r="S18" s="1">
        <f t="shared" si="13"/>
        <v>335.94700000000012</v>
      </c>
      <c r="T18" s="1">
        <f t="shared" si="13"/>
        <v>72.9399999999996</v>
      </c>
      <c r="U18" s="1">
        <f t="shared" si="13"/>
        <v>1262.996000000001</v>
      </c>
      <c r="V18" s="1">
        <f t="shared" si="13"/>
        <v>1276.8600000000006</v>
      </c>
      <c r="W18" s="1">
        <f t="shared" si="13"/>
        <v>1090.1369999999997</v>
      </c>
      <c r="X18" s="1">
        <f t="shared" si="13"/>
        <v>907.09300000000076</v>
      </c>
      <c r="Y18" s="1">
        <f>+Y12-SUM(Y13:Y17)</f>
        <v>851.72909477679968</v>
      </c>
      <c r="Z18" s="1">
        <f t="shared" ref="Z18:AG18" si="14">+Z12-SUM(Z13:Z17)</f>
        <v>817.65993098572744</v>
      </c>
      <c r="AA18" s="1">
        <f t="shared" si="14"/>
        <v>784.95353374629849</v>
      </c>
      <c r="AB18" s="1">
        <f t="shared" si="14"/>
        <v>753.55539239644713</v>
      </c>
      <c r="AC18" s="1">
        <f t="shared" si="14"/>
        <v>723.41317670058834</v>
      </c>
      <c r="AD18" s="1">
        <f t="shared" si="14"/>
        <v>694.47664963256466</v>
      </c>
      <c r="AE18" s="1">
        <f t="shared" si="14"/>
        <v>666.69758364726295</v>
      </c>
      <c r="AF18" s="1">
        <f t="shared" si="14"/>
        <v>640.02968030137254</v>
      </c>
      <c r="AG18" s="1">
        <f t="shared" si="14"/>
        <v>614.42849308931727</v>
      </c>
      <c r="AH18" s="1">
        <f t="shared" ref="AH18" si="15">+AH12-SUM(AH13:AH17)</f>
        <v>589.85135336574513</v>
      </c>
    </row>
    <row r="19" spans="2:233">
      <c r="B19" s="1" t="s">
        <v>24</v>
      </c>
      <c r="C19" s="1">
        <v>61.62</v>
      </c>
      <c r="D19" s="1">
        <v>40.08</v>
      </c>
      <c r="E19" s="1">
        <v>44.04</v>
      </c>
      <c r="F19" s="1">
        <f>+W19-SUM(C19:E19)</f>
        <v>32.03000000000003</v>
      </c>
      <c r="G19" s="1">
        <v>54.77</v>
      </c>
      <c r="H19" s="1">
        <v>22.63</v>
      </c>
      <c r="I19" s="1">
        <v>37.909999999999997</v>
      </c>
      <c r="J19" s="1">
        <v>20.9</v>
      </c>
      <c r="K19" s="1">
        <v>49.9</v>
      </c>
      <c r="R19" s="1">
        <v>37.729999999999997</v>
      </c>
      <c r="S19" s="1">
        <v>22.81</v>
      </c>
      <c r="T19" s="1">
        <v>-81.75</v>
      </c>
      <c r="U19" s="1">
        <v>225.89</v>
      </c>
      <c r="V19" s="1">
        <v>217.83</v>
      </c>
      <c r="W19" s="1">
        <v>177.77</v>
      </c>
      <c r="X19" s="1">
        <v>136.22499999999999</v>
      </c>
      <c r="Y19" s="1">
        <f>+Y18*(X19/X18)</f>
        <v>127.91058462138881</v>
      </c>
      <c r="Z19" s="1">
        <f t="shared" ref="Z19:AH19" si="16">+Z18*(Y19/Y18)</f>
        <v>122.79416123653321</v>
      </c>
      <c r="AA19" s="1">
        <f t="shared" si="16"/>
        <v>117.8823947870719</v>
      </c>
      <c r="AB19" s="1">
        <f t="shared" si="16"/>
        <v>113.16709899558911</v>
      </c>
      <c r="AC19" s="1">
        <f t="shared" si="16"/>
        <v>108.64041503576541</v>
      </c>
      <c r="AD19" s="1">
        <f t="shared" si="16"/>
        <v>104.29479843433478</v>
      </c>
      <c r="AE19" s="1">
        <f t="shared" si="16"/>
        <v>100.12300649696151</v>
      </c>
      <c r="AF19" s="1">
        <f t="shared" si="16"/>
        <v>96.118086237083077</v>
      </c>
      <c r="AG19" s="1">
        <f t="shared" si="16"/>
        <v>92.273362787599694</v>
      </c>
      <c r="AH19" s="1">
        <f t="shared" si="16"/>
        <v>88.582428276095783</v>
      </c>
    </row>
    <row r="20" spans="2:233">
      <c r="B20" s="1" t="s">
        <v>25</v>
      </c>
      <c r="C20" s="1">
        <f>+C18-C19</f>
        <v>245.44899999999996</v>
      </c>
      <c r="D20" s="1">
        <f>+D18-D19</f>
        <v>176.16899999999958</v>
      </c>
      <c r="E20" s="1">
        <f>+E18-E19</f>
        <v>195.99300000000014</v>
      </c>
      <c r="F20" s="1">
        <f>+W20-SUM(C20:E20)</f>
        <v>294.75600000000009</v>
      </c>
      <c r="G20" s="1">
        <f>+G18-G19</f>
        <v>225.67399999999995</v>
      </c>
      <c r="H20" s="1">
        <f>+H18-H19</f>
        <v>120.84600000000034</v>
      </c>
      <c r="I20" s="1">
        <f>+I18-I19</f>
        <v>168.47000000000034</v>
      </c>
      <c r="J20" s="1">
        <f>+J18-J19</f>
        <v>255.6999999999999</v>
      </c>
      <c r="K20" s="1">
        <f>+K18-K19</f>
        <v>208.1999999999999</v>
      </c>
      <c r="R20" s="1">
        <f t="shared" ref="R20:X20" si="17">+R18-R19</f>
        <v>394.0949999999998</v>
      </c>
      <c r="S20" s="1">
        <f t="shared" si="17"/>
        <v>313.13700000000011</v>
      </c>
      <c r="T20" s="1">
        <f t="shared" si="17"/>
        <v>154.6899999999996</v>
      </c>
      <c r="U20" s="1">
        <f t="shared" si="17"/>
        <v>1037.1060000000011</v>
      </c>
      <c r="V20" s="1">
        <f t="shared" si="17"/>
        <v>1059.0300000000007</v>
      </c>
      <c r="W20" s="1">
        <f t="shared" si="17"/>
        <v>912.36699999999973</v>
      </c>
      <c r="X20" s="1">
        <f t="shared" si="17"/>
        <v>770.86800000000073</v>
      </c>
      <c r="Y20" s="1">
        <f>+Y18-Y19</f>
        <v>723.81851015541088</v>
      </c>
      <c r="Z20" s="1">
        <f t="shared" ref="Z20:AG20" si="18">+Z18-Z19</f>
        <v>694.86576974919421</v>
      </c>
      <c r="AA20" s="1">
        <f t="shared" si="18"/>
        <v>667.07113895922657</v>
      </c>
      <c r="AB20" s="1">
        <f t="shared" si="18"/>
        <v>640.38829340085806</v>
      </c>
      <c r="AC20" s="1">
        <f t="shared" si="18"/>
        <v>614.77276166482295</v>
      </c>
      <c r="AD20" s="1">
        <f t="shared" si="18"/>
        <v>590.18185119822988</v>
      </c>
      <c r="AE20" s="1">
        <f t="shared" si="18"/>
        <v>566.57457715030148</v>
      </c>
      <c r="AF20" s="1">
        <f t="shared" si="18"/>
        <v>543.91159406428949</v>
      </c>
      <c r="AG20" s="1">
        <f t="shared" si="18"/>
        <v>522.15513030171758</v>
      </c>
      <c r="AH20" s="1">
        <f t="shared" ref="AH20" si="19">+AH18-AH19</f>
        <v>501.26892508964931</v>
      </c>
      <c r="AI20" s="1">
        <f>+AH20* ( 1 + $AK$32)</f>
        <v>496.25623583875284</v>
      </c>
      <c r="AJ20" s="1">
        <f>+AI20* ( 1 + $AK$32)</f>
        <v>491.29367348036533</v>
      </c>
      <c r="AK20" s="1">
        <f>+AJ20* ( 1 + $AK$32)</f>
        <v>486.38073674556165</v>
      </c>
      <c r="AL20" s="1">
        <f>+AK20* ( 1 + $AK$32)</f>
        <v>481.51692937810606</v>
      </c>
      <c r="AM20" s="1">
        <f>+AL20* ( 1 + $AK$32)</f>
        <v>476.70176008432497</v>
      </c>
      <c r="AN20" s="1">
        <f>+AM20* ( 1 + $AK$32)</f>
        <v>471.93474248348173</v>
      </c>
      <c r="AO20" s="1">
        <f>+AN20* ( 1 + $AK$32)</f>
        <v>467.21539505864689</v>
      </c>
      <c r="AP20" s="1">
        <f>+AO20* ( 1 + $AK$32)</f>
        <v>462.54324110806044</v>
      </c>
      <c r="AQ20" s="1">
        <f>+AP20* ( 1 + $AK$32)</f>
        <v>457.91780869697982</v>
      </c>
      <c r="AR20" s="1">
        <f>+AQ20* ( 1 + $AK$32)</f>
        <v>453.33863061001</v>
      </c>
      <c r="AS20" s="1">
        <f>+AR20* ( 1 + $AK$32)</f>
        <v>448.80524430390989</v>
      </c>
      <c r="AT20" s="1">
        <f>+AS20* ( 1 + $AK$32)</f>
        <v>444.31719186087076</v>
      </c>
      <c r="AU20" s="1">
        <f>+AT20* ( 1 + $AK$32)</f>
        <v>439.87401994226207</v>
      </c>
      <c r="AV20" s="1">
        <f>+AU20* ( 1 + $AK$32)</f>
        <v>435.47527974283946</v>
      </c>
      <c r="AW20" s="1">
        <f>+AV20* ( 1 + $AK$32)</f>
        <v>431.12052694541109</v>
      </c>
      <c r="AX20" s="1">
        <f>+AW20* ( 1 + $AK$32)</f>
        <v>426.80932167595699</v>
      </c>
      <c r="AY20" s="1">
        <f>+AX20* ( 1 + $AK$32)</f>
        <v>422.54122845919744</v>
      </c>
      <c r="AZ20" s="1">
        <f>+AY20* ( 1 + $AK$32)</f>
        <v>418.31581617460546</v>
      </c>
      <c r="BA20" s="1">
        <f>+AZ20* ( 1 + $AK$32)</f>
        <v>414.13265801285939</v>
      </c>
      <c r="BB20" s="1">
        <f>+BA20* ( 1 + $AK$32)</f>
        <v>409.99133143273082</v>
      </c>
      <c r="BC20" s="1">
        <f>+BB20* ( 1 + $AK$32)</f>
        <v>405.89141811840352</v>
      </c>
      <c r="BD20" s="1">
        <f>+BC20* ( 1 + $AK$32)</f>
        <v>401.83250393721949</v>
      </c>
      <c r="BE20" s="1">
        <f>+BD20* ( 1 + $AK$32)</f>
        <v>397.81417889784728</v>
      </c>
      <c r="BF20" s="1">
        <f>+BE20* ( 1 + $AK$32)</f>
        <v>393.83603710886882</v>
      </c>
      <c r="BG20" s="1">
        <f>+BF20* ( 1 + $AK$32)</f>
        <v>389.8976767377801</v>
      </c>
      <c r="BH20" s="1">
        <f>+BG20* ( 1 + $AK$32)</f>
        <v>385.9986999704023</v>
      </c>
      <c r="BI20" s="1">
        <f>+BH20* ( 1 + $AK$32)</f>
        <v>382.13871297069829</v>
      </c>
      <c r="BJ20" s="1">
        <f>+BI20* ( 1 + $AK$32)</f>
        <v>378.31732584099132</v>
      </c>
      <c r="BK20" s="1">
        <f>+BJ20* ( 1 + $AK$32)</f>
        <v>374.53415258258138</v>
      </c>
      <c r="BL20" s="1">
        <f>+BK20* ( 1 + $AK$32)</f>
        <v>370.78881105675555</v>
      </c>
      <c r="BM20" s="1">
        <f>+BL20* ( 1 + $AK$32)</f>
        <v>367.08092294618797</v>
      </c>
      <c r="BN20" s="1">
        <f t="shared" ref="BN20:CS20" si="20">+BM20* ( 1 + $AK$32)</f>
        <v>363.41011371672607</v>
      </c>
      <c r="BO20" s="1">
        <f t="shared" si="20"/>
        <v>359.77601257955882</v>
      </c>
      <c r="BP20" s="1">
        <f t="shared" si="20"/>
        <v>356.17825245376321</v>
      </c>
      <c r="BQ20" s="1">
        <f t="shared" si="20"/>
        <v>352.61646992922556</v>
      </c>
      <c r="BR20" s="1">
        <f t="shared" si="20"/>
        <v>349.09030522993328</v>
      </c>
      <c r="BS20" s="1">
        <f t="shared" si="20"/>
        <v>345.59940217763392</v>
      </c>
      <c r="BT20" s="1">
        <f t="shared" si="20"/>
        <v>342.14340815585757</v>
      </c>
      <c r="BU20" s="1">
        <f t="shared" si="20"/>
        <v>338.721974074299</v>
      </c>
      <c r="BV20" s="1">
        <f t="shared" si="20"/>
        <v>335.33475433355602</v>
      </c>
      <c r="BW20" s="1">
        <f t="shared" si="20"/>
        <v>331.98140679022043</v>
      </c>
      <c r="BX20" s="1">
        <f t="shared" si="20"/>
        <v>328.66159272231823</v>
      </c>
      <c r="BY20" s="1">
        <f t="shared" si="20"/>
        <v>325.37497679509505</v>
      </c>
      <c r="BZ20" s="1">
        <f t="shared" si="20"/>
        <v>322.12122702714407</v>
      </c>
      <c r="CA20" s="1">
        <f t="shared" si="20"/>
        <v>318.90001475687262</v>
      </c>
      <c r="CB20" s="1">
        <f t="shared" si="20"/>
        <v>315.7110146093039</v>
      </c>
      <c r="CC20" s="1">
        <f t="shared" si="20"/>
        <v>312.55390446321087</v>
      </c>
      <c r="CD20" s="1">
        <f t="shared" si="20"/>
        <v>309.42836541857878</v>
      </c>
      <c r="CE20" s="1">
        <f t="shared" si="20"/>
        <v>306.33408176439298</v>
      </c>
      <c r="CF20" s="1">
        <f t="shared" si="20"/>
        <v>303.27074094674907</v>
      </c>
      <c r="CG20" s="1">
        <f t="shared" si="20"/>
        <v>300.23803353728158</v>
      </c>
      <c r="CH20" s="1">
        <f t="shared" si="20"/>
        <v>297.23565320190875</v>
      </c>
      <c r="CI20" s="1">
        <f t="shared" si="20"/>
        <v>294.26329666988966</v>
      </c>
      <c r="CJ20" s="1">
        <f t="shared" si="20"/>
        <v>291.32066370319075</v>
      </c>
      <c r="CK20" s="1">
        <f t="shared" si="20"/>
        <v>288.40745706615883</v>
      </c>
      <c r="CL20" s="1">
        <f t="shared" si="20"/>
        <v>285.52338249549723</v>
      </c>
      <c r="CM20" s="1">
        <f t="shared" si="20"/>
        <v>282.66814867054228</v>
      </c>
      <c r="CN20" s="1">
        <f t="shared" si="20"/>
        <v>279.84146718383687</v>
      </c>
      <c r="CO20" s="1">
        <f t="shared" si="20"/>
        <v>277.0430525119985</v>
      </c>
      <c r="CP20" s="1">
        <f t="shared" si="20"/>
        <v>274.27262198687851</v>
      </c>
      <c r="CQ20" s="1">
        <f t="shared" si="20"/>
        <v>271.52989576700969</v>
      </c>
      <c r="CR20" s="1">
        <f t="shared" si="20"/>
        <v>268.8145968093396</v>
      </c>
      <c r="CS20" s="1">
        <f t="shared" si="20"/>
        <v>266.1264508412462</v>
      </c>
      <c r="CT20" s="1">
        <f t="shared" ref="CT20:DY20" si="21">+CS20* ( 1 + $AK$32)</f>
        <v>263.46518633283375</v>
      </c>
      <c r="CU20" s="1">
        <f t="shared" si="21"/>
        <v>260.83053446950544</v>
      </c>
      <c r="CV20" s="1">
        <f t="shared" si="21"/>
        <v>258.22222912481038</v>
      </c>
      <c r="CW20" s="1">
        <f t="shared" si="21"/>
        <v>255.64000683356227</v>
      </c>
      <c r="CX20" s="1">
        <f t="shared" si="21"/>
        <v>253.08360676522665</v>
      </c>
      <c r="CY20" s="1">
        <f t="shared" si="21"/>
        <v>250.55277069757437</v>
      </c>
      <c r="CZ20" s="1">
        <f t="shared" si="21"/>
        <v>248.04724299059862</v>
      </c>
      <c r="DA20" s="1">
        <f t="shared" si="21"/>
        <v>245.56677056069262</v>
      </c>
      <c r="DB20" s="1">
        <f t="shared" si="21"/>
        <v>243.11110285508568</v>
      </c>
      <c r="DC20" s="1">
        <f t="shared" si="21"/>
        <v>240.67999182653483</v>
      </c>
      <c r="DD20" s="1">
        <f t="shared" si="21"/>
        <v>238.27319190826947</v>
      </c>
      <c r="DE20" s="1">
        <f t="shared" si="21"/>
        <v>235.89045998918678</v>
      </c>
      <c r="DF20" s="1">
        <f t="shared" si="21"/>
        <v>233.53155538929491</v>
      </c>
      <c r="DG20" s="1">
        <f t="shared" si="21"/>
        <v>231.19623983540197</v>
      </c>
      <c r="DH20" s="1">
        <f t="shared" si="21"/>
        <v>228.88427743704796</v>
      </c>
      <c r="DI20" s="1">
        <f t="shared" si="21"/>
        <v>226.59543466267746</v>
      </c>
      <c r="DJ20" s="1">
        <f t="shared" si="21"/>
        <v>224.32948031605068</v>
      </c>
      <c r="DK20" s="1">
        <f t="shared" si="21"/>
        <v>222.08618551289018</v>
      </c>
      <c r="DL20" s="1">
        <f t="shared" si="21"/>
        <v>219.86532365776128</v>
      </c>
      <c r="DM20" s="1">
        <f t="shared" si="21"/>
        <v>217.66667042118365</v>
      </c>
      <c r="DN20" s="1">
        <f t="shared" si="21"/>
        <v>215.49000371697181</v>
      </c>
      <c r="DO20" s="1">
        <f t="shared" si="21"/>
        <v>213.3351036798021</v>
      </c>
      <c r="DP20" s="1">
        <f t="shared" si="21"/>
        <v>211.20175264300408</v>
      </c>
      <c r="DQ20" s="1">
        <f t="shared" si="21"/>
        <v>209.08973511657405</v>
      </c>
      <c r="DR20" s="1">
        <f t="shared" si="21"/>
        <v>206.9988377654083</v>
      </c>
      <c r="DS20" s="1">
        <f t="shared" si="21"/>
        <v>204.92884938775421</v>
      </c>
      <c r="DT20" s="1">
        <f t="shared" si="21"/>
        <v>202.87956089387666</v>
      </c>
      <c r="DU20" s="1">
        <f t="shared" si="21"/>
        <v>200.85076528493789</v>
      </c>
      <c r="DV20" s="1">
        <f t="shared" si="21"/>
        <v>198.84225763208852</v>
      </c>
      <c r="DW20" s="1">
        <f t="shared" si="21"/>
        <v>196.85383505576763</v>
      </c>
      <c r="DX20" s="1">
        <f t="shared" si="21"/>
        <v>194.88529670520995</v>
      </c>
      <c r="DY20" s="1">
        <f t="shared" si="21"/>
        <v>192.93644373815786</v>
      </c>
      <c r="DZ20" s="1">
        <f t="shared" ref="DZ20:FE20" si="22">+DY20* ( 1 + $AK$32)</f>
        <v>191.00707930077627</v>
      </c>
      <c r="EA20" s="1">
        <f t="shared" si="22"/>
        <v>189.09700850776849</v>
      </c>
      <c r="EB20" s="1">
        <f t="shared" si="22"/>
        <v>187.2060384226908</v>
      </c>
      <c r="EC20" s="1">
        <f t="shared" si="22"/>
        <v>185.3339780384639</v>
      </c>
      <c r="ED20" s="1">
        <f t="shared" si="22"/>
        <v>183.48063825807927</v>
      </c>
      <c r="EE20" s="1">
        <f t="shared" si="22"/>
        <v>181.64583187549846</v>
      </c>
      <c r="EF20" s="1">
        <f t="shared" si="22"/>
        <v>179.82937355674346</v>
      </c>
      <c r="EG20" s="1">
        <f t="shared" si="22"/>
        <v>178.03107982117604</v>
      </c>
      <c r="EH20" s="1">
        <f t="shared" si="22"/>
        <v>176.25076902296428</v>
      </c>
      <c r="EI20" s="1">
        <f t="shared" si="22"/>
        <v>174.48826133273462</v>
      </c>
      <c r="EJ20" s="1">
        <f t="shared" si="22"/>
        <v>172.74337871940727</v>
      </c>
      <c r="EK20" s="1">
        <f t="shared" si="22"/>
        <v>171.01594493221319</v>
      </c>
      <c r="EL20" s="1">
        <f t="shared" si="22"/>
        <v>169.30578548289105</v>
      </c>
      <c r="EM20" s="1">
        <f t="shared" si="22"/>
        <v>167.61272762806215</v>
      </c>
      <c r="EN20" s="1">
        <f t="shared" si="22"/>
        <v>165.93660035178152</v>
      </c>
      <c r="EO20" s="1">
        <f t="shared" si="22"/>
        <v>164.2772343482637</v>
      </c>
      <c r="EP20" s="1">
        <f t="shared" si="22"/>
        <v>162.63446200478106</v>
      </c>
      <c r="EQ20" s="1">
        <f t="shared" si="22"/>
        <v>161.00811738473325</v>
      </c>
      <c r="ER20" s="1">
        <f t="shared" si="22"/>
        <v>159.39803621088592</v>
      </c>
      <c r="ES20" s="1">
        <f t="shared" si="22"/>
        <v>157.80405584877707</v>
      </c>
      <c r="ET20" s="1">
        <f t="shared" si="22"/>
        <v>156.2260152902893</v>
      </c>
      <c r="EU20" s="1">
        <f t="shared" si="22"/>
        <v>154.6637551373864</v>
      </c>
      <c r="EV20" s="1">
        <f t="shared" si="22"/>
        <v>153.11711758601254</v>
      </c>
      <c r="EW20" s="1">
        <f t="shared" si="22"/>
        <v>151.58594641015242</v>
      </c>
      <c r="EX20" s="1">
        <f t="shared" si="22"/>
        <v>150.07008694605088</v>
      </c>
      <c r="EY20" s="1">
        <f t="shared" si="22"/>
        <v>148.56938607659038</v>
      </c>
      <c r="EZ20" s="1">
        <f t="shared" si="22"/>
        <v>147.08369221582447</v>
      </c>
      <c r="FA20" s="1">
        <f t="shared" si="22"/>
        <v>145.61285529366623</v>
      </c>
      <c r="FB20" s="1">
        <f t="shared" si="22"/>
        <v>144.15672674072957</v>
      </c>
      <c r="FC20" s="1">
        <f t="shared" si="22"/>
        <v>142.71515947332227</v>
      </c>
      <c r="FD20" s="1">
        <f t="shared" si="22"/>
        <v>141.28800787858904</v>
      </c>
      <c r="FE20" s="1">
        <f t="shared" si="22"/>
        <v>139.87512779980315</v>
      </c>
      <c r="FF20" s="1">
        <f t="shared" ref="FF20:GK20" si="23">+FE20* ( 1 + $AK$32)</f>
        <v>138.47637652180512</v>
      </c>
      <c r="FG20" s="1">
        <f t="shared" si="23"/>
        <v>137.09161275658707</v>
      </c>
      <c r="FH20" s="1">
        <f t="shared" si="23"/>
        <v>135.72069662902121</v>
      </c>
      <c r="FI20" s="1">
        <f t="shared" si="23"/>
        <v>134.36348966273098</v>
      </c>
      <c r="FJ20" s="1">
        <f t="shared" si="23"/>
        <v>133.01985476610366</v>
      </c>
      <c r="FK20" s="1">
        <f t="shared" si="23"/>
        <v>131.68965621844262</v>
      </c>
      <c r="FL20" s="1">
        <f t="shared" si="23"/>
        <v>130.37275965625818</v>
      </c>
      <c r="FM20" s="1">
        <f t="shared" si="23"/>
        <v>129.06903205969559</v>
      </c>
      <c r="FN20" s="1">
        <f t="shared" si="23"/>
        <v>127.77834173909864</v>
      </c>
      <c r="FO20" s="1">
        <f t="shared" si="23"/>
        <v>126.50055832170764</v>
      </c>
      <c r="FP20" s="1">
        <f t="shared" si="23"/>
        <v>125.23555273849057</v>
      </c>
      <c r="FQ20" s="1">
        <f t="shared" si="23"/>
        <v>123.98319721110566</v>
      </c>
      <c r="FR20" s="1">
        <f t="shared" si="23"/>
        <v>122.7433652389946</v>
      </c>
      <c r="FS20" s="1">
        <f t="shared" si="23"/>
        <v>121.51593158660465</v>
      </c>
      <c r="FT20" s="1">
        <f t="shared" si="23"/>
        <v>120.30077227073861</v>
      </c>
      <c r="FU20" s="1">
        <f t="shared" si="23"/>
        <v>119.09776454803122</v>
      </c>
      <c r="FV20" s="1">
        <f t="shared" si="23"/>
        <v>117.90678690255091</v>
      </c>
      <c r="FW20" s="1">
        <f t="shared" si="23"/>
        <v>116.72771903352539</v>
      </c>
      <c r="FX20" s="1">
        <f t="shared" si="23"/>
        <v>115.56044184319013</v>
      </c>
      <c r="FY20" s="1">
        <f t="shared" si="23"/>
        <v>114.40483742475823</v>
      </c>
      <c r="FZ20" s="1">
        <f t="shared" si="23"/>
        <v>113.26078905051064</v>
      </c>
      <c r="GA20" s="1">
        <f t="shared" si="23"/>
        <v>112.12818116000552</v>
      </c>
      <c r="GB20" s="1">
        <f t="shared" si="23"/>
        <v>111.00689934840547</v>
      </c>
      <c r="GC20" s="1">
        <f t="shared" si="23"/>
        <v>109.89683035492142</v>
      </c>
      <c r="GD20" s="1">
        <f t="shared" si="23"/>
        <v>108.79786205137221</v>
      </c>
      <c r="GE20" s="1">
        <f t="shared" si="23"/>
        <v>107.70988343085848</v>
      </c>
      <c r="GF20" s="1">
        <f t="shared" si="23"/>
        <v>106.6327845965499</v>
      </c>
      <c r="GG20" s="1">
        <f t="shared" si="23"/>
        <v>105.56645675058439</v>
      </c>
      <c r="GH20" s="1">
        <f t="shared" si="23"/>
        <v>104.51079218307855</v>
      </c>
      <c r="GI20" s="1">
        <f t="shared" si="23"/>
        <v>103.46568426124776</v>
      </c>
      <c r="GJ20" s="1">
        <f t="shared" si="23"/>
        <v>102.43102741863528</v>
      </c>
      <c r="GK20" s="1">
        <f t="shared" si="23"/>
        <v>101.40671714444893</v>
      </c>
      <c r="GL20" s="1">
        <f t="shared" ref="GL20:HQ20" si="24">+GK20* ( 1 + $AK$32)</f>
        <v>100.39264997300444</v>
      </c>
      <c r="GM20" s="1">
        <f t="shared" si="24"/>
        <v>99.388723473274396</v>
      </c>
      <c r="GN20" s="1">
        <f t="shared" si="24"/>
        <v>98.394836238541657</v>
      </c>
      <c r="GO20" s="1">
        <f t="shared" si="24"/>
        <v>97.410887876156238</v>
      </c>
      <c r="GP20" s="1">
        <f t="shared" si="24"/>
        <v>96.436778997394669</v>
      </c>
      <c r="GQ20" s="1">
        <f t="shared" si="24"/>
        <v>95.47241120742072</v>
      </c>
      <c r="GR20" s="1">
        <f t="shared" si="24"/>
        <v>94.517687095346517</v>
      </c>
      <c r="GS20" s="1">
        <f t="shared" si="24"/>
        <v>93.572510224393056</v>
      </c>
      <c r="GT20" s="1">
        <f t="shared" si="24"/>
        <v>92.636785122149121</v>
      </c>
      <c r="GU20" s="1">
        <f t="shared" si="24"/>
        <v>91.710417270927636</v>
      </c>
      <c r="GV20" s="1">
        <f t="shared" si="24"/>
        <v>90.793313098218363</v>
      </c>
      <c r="GW20" s="1">
        <f t="shared" si="24"/>
        <v>89.885379967236176</v>
      </c>
      <c r="GX20" s="1">
        <f t="shared" si="24"/>
        <v>88.98652616756381</v>
      </c>
      <c r="GY20" s="1">
        <f t="shared" si="24"/>
        <v>88.096660905888172</v>
      </c>
      <c r="GZ20" s="1">
        <f t="shared" si="24"/>
        <v>87.215694296829284</v>
      </c>
      <c r="HA20" s="1">
        <f t="shared" si="24"/>
        <v>86.343537353860995</v>
      </c>
      <c r="HB20" s="1">
        <f t="shared" si="24"/>
        <v>85.480101980322388</v>
      </c>
      <c r="HC20" s="1">
        <f t="shared" si="24"/>
        <v>84.625300960519169</v>
      </c>
      <c r="HD20" s="1">
        <f t="shared" si="24"/>
        <v>83.779047950913977</v>
      </c>
      <c r="HE20" s="1">
        <f t="shared" si="24"/>
        <v>82.941257471404839</v>
      </c>
      <c r="HF20" s="1">
        <f t="shared" si="24"/>
        <v>82.111844896690783</v>
      </c>
      <c r="HG20" s="1">
        <f t="shared" si="24"/>
        <v>81.29072644772387</v>
      </c>
      <c r="HH20" s="1">
        <f t="shared" si="24"/>
        <v>80.477819183246623</v>
      </c>
      <c r="HI20" s="1">
        <f t="shared" si="24"/>
        <v>79.673040991414155</v>
      </c>
      <c r="HJ20" s="1">
        <f t="shared" si="24"/>
        <v>78.876310581500007</v>
      </c>
      <c r="HK20" s="1">
        <f t="shared" si="24"/>
        <v>78.087547475685</v>
      </c>
      <c r="HL20" s="1">
        <f t="shared" si="24"/>
        <v>77.306672000928145</v>
      </c>
      <c r="HM20" s="1">
        <f t="shared" si="24"/>
        <v>76.533605280918863</v>
      </c>
      <c r="HN20" s="1">
        <f t="shared" si="24"/>
        <v>75.768269228109673</v>
      </c>
      <c r="HO20" s="1">
        <f t="shared" si="24"/>
        <v>75.01058653582858</v>
      </c>
      <c r="HP20" s="1">
        <f t="shared" si="24"/>
        <v>74.260480670470287</v>
      </c>
      <c r="HQ20" s="1">
        <f t="shared" si="24"/>
        <v>73.517875863765582</v>
      </c>
      <c r="HR20" s="1">
        <f t="shared" ref="HR20:HY20" si="25">+HQ20* ( 1 + $AK$32)</f>
        <v>72.782697105127923</v>
      </c>
      <c r="HS20" s="1">
        <f t="shared" si="25"/>
        <v>72.054870134076637</v>
      </c>
      <c r="HT20" s="1">
        <f t="shared" si="25"/>
        <v>71.334321432735877</v>
      </c>
      <c r="HU20" s="1">
        <f t="shared" si="25"/>
        <v>70.620978218408524</v>
      </c>
      <c r="HV20" s="1">
        <f t="shared" si="25"/>
        <v>69.914768436224435</v>
      </c>
      <c r="HW20" s="1">
        <f t="shared" si="25"/>
        <v>69.21562075186219</v>
      </c>
      <c r="HX20" s="1">
        <f t="shared" si="25"/>
        <v>68.523464544343568</v>
      </c>
      <c r="HY20" s="1">
        <f t="shared" si="25"/>
        <v>67.838229898900138</v>
      </c>
    </row>
    <row r="21" spans="2:233" s="6" customFormat="1">
      <c r="B21" s="6" t="s">
        <v>26</v>
      </c>
      <c r="C21" s="6">
        <v>11.85</v>
      </c>
      <c r="D21" s="6">
        <v>7.98</v>
      </c>
      <c r="E21" s="6">
        <v>9.49</v>
      </c>
      <c r="F21" s="6">
        <f>+W21-SUM(C21:E21)</f>
        <v>15.409999999999997</v>
      </c>
      <c r="G21" s="6">
        <v>11.09</v>
      </c>
      <c r="H21" s="6">
        <v>4.59</v>
      </c>
      <c r="I21" s="6">
        <v>7.73</v>
      </c>
      <c r="J21" s="1">
        <v>13.48</v>
      </c>
      <c r="K21" s="6">
        <v>10.39</v>
      </c>
      <c r="R21" s="6">
        <v>6.23</v>
      </c>
      <c r="S21" s="6">
        <v>4.38</v>
      </c>
      <c r="T21" s="6">
        <v>-3.16</v>
      </c>
      <c r="U21" s="6">
        <v>41.88</v>
      </c>
      <c r="V21" s="6">
        <v>50.81</v>
      </c>
      <c r="W21" s="6">
        <v>44.73</v>
      </c>
      <c r="X21" s="1">
        <v>36.82</v>
      </c>
      <c r="Y21" s="6">
        <f>+Y20/Y22</f>
        <v>34.572712246353724</v>
      </c>
      <c r="Z21" s="6">
        <f t="shared" ref="Z21:AG21" si="26">+Z20/Z22</f>
        <v>33.189803756499565</v>
      </c>
      <c r="AA21" s="6">
        <f t="shared" si="26"/>
        <v>31.86221160623959</v>
      </c>
      <c r="AB21" s="6">
        <f t="shared" si="26"/>
        <v>30.587723141990033</v>
      </c>
      <c r="AC21" s="6">
        <f t="shared" si="26"/>
        <v>29.364214216310394</v>
      </c>
      <c r="AD21" s="6">
        <f t="shared" si="26"/>
        <v>28.189645647657969</v>
      </c>
      <c r="AE21" s="6">
        <f t="shared" si="26"/>
        <v>27.062059821751689</v>
      </c>
      <c r="AF21" s="6">
        <f t="shared" si="26"/>
        <v>25.979577428881626</v>
      </c>
      <c r="AG21" s="6">
        <f t="shared" si="26"/>
        <v>24.940394331726345</v>
      </c>
      <c r="AH21" s="6">
        <f t="shared" ref="AH21" si="27">+AH20/AH22</f>
        <v>23.942778558457313</v>
      </c>
    </row>
    <row r="22" spans="2:233">
      <c r="B22" s="1" t="s">
        <v>57</v>
      </c>
      <c r="C22" s="1">
        <f t="shared" ref="C22:H22" si="28">+C20/C21</f>
        <v>20.712995780590713</v>
      </c>
      <c r="D22" s="1">
        <f t="shared" si="28"/>
        <v>22.076315789473632</v>
      </c>
      <c r="E22" s="1">
        <f t="shared" si="28"/>
        <v>20.652581664910446</v>
      </c>
      <c r="F22" s="1">
        <f t="shared" si="28"/>
        <v>19.127579493835182</v>
      </c>
      <c r="G22" s="1">
        <f t="shared" si="28"/>
        <v>20.349323715058606</v>
      </c>
      <c r="H22" s="1">
        <f t="shared" si="28"/>
        <v>26.328104575163476</v>
      </c>
      <c r="I22" s="1">
        <f>+I20/I21</f>
        <v>21.794307891332515</v>
      </c>
      <c r="J22" s="1">
        <f>+J20/J21</f>
        <v>18.968842729970319</v>
      </c>
      <c r="K22" s="1">
        <f t="shared" ref="K22" si="29">+K20/K21</f>
        <v>20.038498556304127</v>
      </c>
      <c r="R22" s="1">
        <f t="shared" ref="R22:V22" si="30">+R20/R21</f>
        <v>63.257624398073801</v>
      </c>
      <c r="S22" s="1">
        <f t="shared" si="30"/>
        <v>71.492465753424682</v>
      </c>
      <c r="T22" s="1">
        <f t="shared" si="30"/>
        <v>-48.952531645569493</v>
      </c>
      <c r="U22" s="1">
        <f t="shared" si="30"/>
        <v>24.763753581661916</v>
      </c>
      <c r="V22" s="1">
        <f t="shared" si="30"/>
        <v>20.842944302302708</v>
      </c>
      <c r="W22" s="1">
        <f>+W20/W21</f>
        <v>20.39720545495193</v>
      </c>
      <c r="X22" s="1">
        <f>+X20/X21</f>
        <v>20.936121673003822</v>
      </c>
      <c r="Y22" s="1">
        <f>+X22</f>
        <v>20.936121673003822</v>
      </c>
      <c r="Z22" s="1">
        <f t="shared" ref="Z22:AH22" si="31">+Y22</f>
        <v>20.936121673003822</v>
      </c>
      <c r="AA22" s="1">
        <f t="shared" si="31"/>
        <v>20.936121673003822</v>
      </c>
      <c r="AB22" s="1">
        <f t="shared" si="31"/>
        <v>20.936121673003822</v>
      </c>
      <c r="AC22" s="1">
        <f t="shared" si="31"/>
        <v>20.936121673003822</v>
      </c>
      <c r="AD22" s="1">
        <f t="shared" si="31"/>
        <v>20.936121673003822</v>
      </c>
      <c r="AE22" s="1">
        <f t="shared" si="31"/>
        <v>20.936121673003822</v>
      </c>
      <c r="AF22" s="1">
        <f t="shared" si="31"/>
        <v>20.936121673003822</v>
      </c>
      <c r="AG22" s="1">
        <f t="shared" si="31"/>
        <v>20.936121673003822</v>
      </c>
      <c r="AH22" s="1">
        <f t="shared" si="31"/>
        <v>20.936121673003822</v>
      </c>
    </row>
    <row r="24" spans="2:233">
      <c r="B24" s="1" t="s">
        <v>27</v>
      </c>
    </row>
    <row r="25" spans="2:233" s="4" customFormat="1">
      <c r="B25" s="1" t="s">
        <v>16</v>
      </c>
      <c r="G25" s="4">
        <f t="shared" ref="G25:K27" si="32">+G10/C10-1</f>
        <v>-2.2031657604921429E-2</v>
      </c>
      <c r="H25" s="4">
        <f t="shared" si="32"/>
        <v>-4.9406747706518539E-2</v>
      </c>
      <c r="I25" s="4">
        <f t="shared" si="32"/>
        <v>-3.3428793209253627E-2</v>
      </c>
      <c r="J25" s="4">
        <f t="shared" si="32"/>
        <v>-5.0728546775838046E-2</v>
      </c>
      <c r="K25" s="4">
        <f t="shared" si="32"/>
        <v>-1.3008609787540815E-2</v>
      </c>
      <c r="S25" s="4">
        <f t="shared" ref="S25:W27" si="33">+S10/R10-1</f>
        <v>-2.4006668230516448E-2</v>
      </c>
      <c r="T25" s="4">
        <f t="shared" si="33"/>
        <v>-0.30670087305271843</v>
      </c>
      <c r="U25" s="4">
        <f t="shared" si="33"/>
        <v>0.50968414713681676</v>
      </c>
      <c r="V25" s="4">
        <f t="shared" si="33"/>
        <v>5.8230156724333293E-2</v>
      </c>
      <c r="W25" s="4">
        <f t="shared" si="33"/>
        <v>-1.732303839817928E-2</v>
      </c>
      <c r="X25" s="4">
        <f t="shared" ref="X25:AH25" si="34">+X10/W10-1</f>
        <v>-3.9901493664223242E-2</v>
      </c>
      <c r="Y25" s="4">
        <f t="shared" si="34"/>
        <v>-5.6618326248766726E-2</v>
      </c>
      <c r="Z25" s="4">
        <f t="shared" si="34"/>
        <v>-3.9999999999999925E-2</v>
      </c>
      <c r="AA25" s="4">
        <f t="shared" si="34"/>
        <v>-3.9999999999999925E-2</v>
      </c>
      <c r="AB25" s="4">
        <f t="shared" si="34"/>
        <v>-4.0000000000000036E-2</v>
      </c>
      <c r="AC25" s="4">
        <f t="shared" si="34"/>
        <v>-3.9999999999999925E-2</v>
      </c>
      <c r="AD25" s="4">
        <f t="shared" si="34"/>
        <v>-4.0000000000000036E-2</v>
      </c>
      <c r="AE25" s="4">
        <f t="shared" si="34"/>
        <v>-4.0000000000000147E-2</v>
      </c>
      <c r="AF25" s="4">
        <f t="shared" si="34"/>
        <v>-3.9999999999999925E-2</v>
      </c>
      <c r="AG25" s="4">
        <f t="shared" si="34"/>
        <v>-4.0000000000000036E-2</v>
      </c>
      <c r="AH25" s="4">
        <f t="shared" si="34"/>
        <v>-4.0000000000000036E-2</v>
      </c>
    </row>
    <row r="26" spans="2:233" s="4" customFormat="1">
      <c r="B26" s="1" t="s">
        <v>22</v>
      </c>
      <c r="G26" s="4">
        <f t="shared" si="32"/>
        <v>-0.20698287659801728</v>
      </c>
      <c r="H26" s="4">
        <f t="shared" si="32"/>
        <v>-0.17752405046436548</v>
      </c>
      <c r="I26" s="4">
        <f t="shared" si="32"/>
        <v>-0.13350315729047069</v>
      </c>
      <c r="J26" s="4">
        <f t="shared" si="32"/>
        <v>1.4639802869981011E-2</v>
      </c>
      <c r="K26" s="4">
        <f t="shared" si="32"/>
        <v>-0.23815135954204891</v>
      </c>
      <c r="S26" s="4">
        <f t="shared" si="33"/>
        <v>-5.1270035316490103E-2</v>
      </c>
      <c r="T26" s="4">
        <f t="shared" si="33"/>
        <v>-5.2981222841843811E-2</v>
      </c>
      <c r="U26" s="4">
        <f t="shared" si="33"/>
        <v>-7.6800967571244438E-3</v>
      </c>
      <c r="V26" s="4">
        <f t="shared" si="33"/>
        <v>-4.6772399713576163E-2</v>
      </c>
      <c r="W26" s="4">
        <f t="shared" si="33"/>
        <v>-2.2112295619096334E-2</v>
      </c>
      <c r="X26" s="4">
        <f t="shared" ref="X26:AH26" si="35">+X11/W11-1</f>
        <v>-0.12071882125082745</v>
      </c>
      <c r="Y26" s="4">
        <f t="shared" si="35"/>
        <v>-0.32710627817277749</v>
      </c>
      <c r="Z26" s="4">
        <f t="shared" si="35"/>
        <v>-4.0000000000000036E-2</v>
      </c>
      <c r="AA26" s="4">
        <f t="shared" si="35"/>
        <v>-3.9999999999999925E-2</v>
      </c>
      <c r="AB26" s="4">
        <f t="shared" si="35"/>
        <v>-3.9999999999999925E-2</v>
      </c>
      <c r="AC26" s="4">
        <f t="shared" si="35"/>
        <v>-4.0000000000000036E-2</v>
      </c>
      <c r="AD26" s="4">
        <f t="shared" si="35"/>
        <v>-3.9999999999999925E-2</v>
      </c>
      <c r="AE26" s="4">
        <f t="shared" si="35"/>
        <v>-4.0000000000000147E-2</v>
      </c>
      <c r="AF26" s="4">
        <f t="shared" si="35"/>
        <v>-4.0000000000000036E-2</v>
      </c>
      <c r="AG26" s="4">
        <f t="shared" si="35"/>
        <v>-4.0000000000000036E-2</v>
      </c>
      <c r="AH26" s="4">
        <f t="shared" si="35"/>
        <v>-3.9999999999999925E-2</v>
      </c>
    </row>
    <row r="27" spans="2:233" s="4" customFormat="1">
      <c r="B27" s="3" t="s">
        <v>23</v>
      </c>
      <c r="G27" s="4">
        <f t="shared" si="32"/>
        <v>-2.5464912166562326E-2</v>
      </c>
      <c r="H27" s="4">
        <f t="shared" si="32"/>
        <v>-5.1816118260843202E-2</v>
      </c>
      <c r="I27" s="4">
        <f t="shared" si="32"/>
        <v>-3.5283074308917417E-2</v>
      </c>
      <c r="J27" s="4">
        <f t="shared" si="32"/>
        <v>-4.9684069516286566E-2</v>
      </c>
      <c r="K27" s="4">
        <f t="shared" si="32"/>
        <v>-1.6409494096231603E-2</v>
      </c>
      <c r="S27" s="4">
        <f t="shared" si="33"/>
        <v>-2.4623928379055138E-2</v>
      </c>
      <c r="T27" s="4">
        <f t="shared" si="33"/>
        <v>-0.30111342662257334</v>
      </c>
      <c r="U27" s="4">
        <f t="shared" si="33"/>
        <v>0.4942455593439028</v>
      </c>
      <c r="V27" s="4">
        <f t="shared" si="33"/>
        <v>5.6149306783678687E-2</v>
      </c>
      <c r="W27" s="4">
        <f t="shared" si="33"/>
        <v>-1.740869884644769E-2</v>
      </c>
      <c r="X27" s="4">
        <f t="shared" ref="X27:AH27" si="36">+X12/W12-1</f>
        <v>-4.1340069416765268E-2</v>
      </c>
      <c r="Y27" s="4">
        <f t="shared" si="36"/>
        <v>-6.1034431114781906E-2</v>
      </c>
      <c r="Z27" s="4">
        <f t="shared" si="36"/>
        <v>-3.9999999999999925E-2</v>
      </c>
      <c r="AA27" s="4">
        <f t="shared" si="36"/>
        <v>-4.0000000000000036E-2</v>
      </c>
      <c r="AB27" s="4">
        <f t="shared" si="36"/>
        <v>-3.9999999999999925E-2</v>
      </c>
      <c r="AC27" s="4">
        <f t="shared" si="36"/>
        <v>-4.0000000000000036E-2</v>
      </c>
      <c r="AD27" s="4">
        <f t="shared" si="36"/>
        <v>-4.0000000000000147E-2</v>
      </c>
      <c r="AE27" s="4">
        <f t="shared" si="36"/>
        <v>-4.0000000000000036E-2</v>
      </c>
      <c r="AF27" s="4">
        <f t="shared" si="36"/>
        <v>-4.0000000000000036E-2</v>
      </c>
      <c r="AG27" s="4">
        <f t="shared" si="36"/>
        <v>-4.0000000000000036E-2</v>
      </c>
      <c r="AH27" s="4">
        <f t="shared" si="36"/>
        <v>-3.9999999999999925E-2</v>
      </c>
    </row>
    <row r="28" spans="2:233" s="4" customFormat="1">
      <c r="B28" s="4" t="s">
        <v>29</v>
      </c>
      <c r="C28" s="4">
        <f>(C12-C13)/C12</f>
        <v>0.44776185988411982</v>
      </c>
      <c r="D28" s="4">
        <f t="shared" ref="D28:I28" si="37">(D12-D13)/D12</f>
        <v>0.39975948687193952</v>
      </c>
      <c r="E28" s="4">
        <f t="shared" si="37"/>
        <v>0.44520799290535917</v>
      </c>
      <c r="F28" s="4">
        <f t="shared" si="37"/>
        <v>0.37630305980792628</v>
      </c>
      <c r="G28" s="4">
        <f t="shared" si="37"/>
        <v>0.45459048110736899</v>
      </c>
      <c r="H28" s="4">
        <f t="shared" si="37"/>
        <v>0.38577661050833006</v>
      </c>
      <c r="I28" s="4">
        <f t="shared" si="37"/>
        <v>0.43540822514402278</v>
      </c>
      <c r="J28" s="4">
        <f>(J12-J13)/J12</f>
        <v>0.3604503801910704</v>
      </c>
      <c r="K28" s="4">
        <f>(K12-K13)/K12</f>
        <v>0.44557207498383966</v>
      </c>
      <c r="R28" s="4">
        <f t="shared" ref="R28:W28" si="38">(R12-R13)/R12</f>
        <v>0.34010615146134704</v>
      </c>
      <c r="S28" s="4">
        <f t="shared" si="38"/>
        <v>0.33220288588855079</v>
      </c>
      <c r="T28" s="4">
        <f t="shared" si="38"/>
        <v>0.30770698718866912</v>
      </c>
      <c r="U28" s="4">
        <f t="shared" si="38"/>
        <v>0.43425212178192701</v>
      </c>
      <c r="V28" s="4">
        <f t="shared" si="38"/>
        <v>0.43060669233292576</v>
      </c>
      <c r="W28" s="4">
        <f t="shared" si="38"/>
        <v>0.41360754798222976</v>
      </c>
      <c r="X28" s="4">
        <f t="shared" ref="X28:AG28" si="39">(X12-X13)/X12</f>
        <v>0.40524861723359928</v>
      </c>
      <c r="Y28" s="4">
        <f t="shared" si="39"/>
        <v>0.40524861723359923</v>
      </c>
      <c r="Z28" s="4">
        <f t="shared" si="39"/>
        <v>0.40524861723359928</v>
      </c>
      <c r="AA28" s="4">
        <f t="shared" si="39"/>
        <v>0.40524861723359934</v>
      </c>
      <c r="AB28" s="4">
        <f t="shared" si="39"/>
        <v>0.40524861723359928</v>
      </c>
      <c r="AC28" s="4">
        <f t="shared" si="39"/>
        <v>0.40524861723359928</v>
      </c>
      <c r="AD28" s="4">
        <f t="shared" si="39"/>
        <v>0.40524861723359923</v>
      </c>
      <c r="AE28" s="4">
        <f t="shared" si="39"/>
        <v>0.40524861723359928</v>
      </c>
      <c r="AF28" s="4">
        <f t="shared" si="39"/>
        <v>0.40524861723359934</v>
      </c>
      <c r="AG28" s="4">
        <f t="shared" si="39"/>
        <v>0.40524861723359923</v>
      </c>
      <c r="AH28" s="4">
        <f t="shared" ref="AH28" si="40">(AH12-AH13)/AH12</f>
        <v>0.40524861723359934</v>
      </c>
    </row>
    <row r="29" spans="2:233" s="4" customFormat="1">
      <c r="C29" s="4">
        <f t="shared" ref="C29:K29" si="41">+C18/C12</f>
        <v>0.19026437087143183</v>
      </c>
      <c r="D29" s="4">
        <f t="shared" si="41"/>
        <v>0.1353740849295548</v>
      </c>
      <c r="E29" s="4">
        <f t="shared" si="41"/>
        <v>0.15957158261281165</v>
      </c>
      <c r="F29" s="4">
        <f t="shared" si="41"/>
        <v>0.15136963426547614</v>
      </c>
      <c r="G29" s="4">
        <f t="shared" si="41"/>
        <v>0.17830772840185932</v>
      </c>
      <c r="H29" s="4">
        <f t="shared" si="41"/>
        <v>9.4725764304002605E-2</v>
      </c>
      <c r="I29" s="4">
        <f t="shared" si="41"/>
        <v>0.14221726067421947</v>
      </c>
      <c r="J29" s="4">
        <f t="shared" si="41"/>
        <v>0.13482160265158896</v>
      </c>
      <c r="K29" s="4">
        <f>+K18/K12</f>
        <v>0.16683904330963148</v>
      </c>
    </row>
    <row r="30" spans="2:233" s="4" customFormat="1"/>
    <row r="32" spans="2:233">
      <c r="B32" s="1" t="s">
        <v>58</v>
      </c>
      <c r="D32" s="3">
        <f>+SUM(D33,D35) - SUM(D48)</f>
        <v>603.08699999999999</v>
      </c>
      <c r="E32" s="3">
        <f t="shared" ref="E32:K32" si="42">+SUM(E33,E35) - SUM(E48)</f>
        <v>571.82399999999984</v>
      </c>
      <c r="F32" s="3">
        <f t="shared" si="42"/>
        <v>634.86200000000008</v>
      </c>
      <c r="G32" s="3">
        <f t="shared" si="42"/>
        <v>843.33799999999997</v>
      </c>
      <c r="H32" s="3">
        <f t="shared" si="42"/>
        <v>748.96500000000003</v>
      </c>
      <c r="I32" s="3">
        <f t="shared" si="42"/>
        <v>787.72600000000011</v>
      </c>
      <c r="J32" s="3">
        <f t="shared" si="42"/>
        <v>721.99999999999989</v>
      </c>
      <c r="K32" s="3">
        <f t="shared" si="42"/>
        <v>837.4</v>
      </c>
      <c r="W32" s="1">
        <f>+I32</f>
        <v>787.72600000000011</v>
      </c>
      <c r="X32" s="1">
        <f>+W32*1.01</f>
        <v>795.60326000000009</v>
      </c>
      <c r="Y32" s="1">
        <f t="shared" ref="Y32:AH32" si="43">+X32*1.01</f>
        <v>803.55929260000005</v>
      </c>
      <c r="Z32" s="1">
        <f t="shared" si="43"/>
        <v>811.5948855260001</v>
      </c>
      <c r="AA32" s="1">
        <f t="shared" si="43"/>
        <v>819.71083438126016</v>
      </c>
      <c r="AB32" s="1">
        <f t="shared" si="43"/>
        <v>827.90794272507276</v>
      </c>
      <c r="AC32" s="1">
        <f t="shared" si="43"/>
        <v>836.18702215232349</v>
      </c>
      <c r="AD32" s="1">
        <f t="shared" si="43"/>
        <v>844.54889237384668</v>
      </c>
      <c r="AE32" s="1">
        <f t="shared" si="43"/>
        <v>852.99438129758516</v>
      </c>
      <c r="AF32" s="1">
        <f t="shared" si="43"/>
        <v>861.52432511056099</v>
      </c>
      <c r="AG32" s="1">
        <f t="shared" si="43"/>
        <v>870.13956836166665</v>
      </c>
      <c r="AH32" s="1">
        <f t="shared" si="43"/>
        <v>878.84096404528327</v>
      </c>
      <c r="AJ32" s="1" t="s">
        <v>69</v>
      </c>
      <c r="AK32" s="8">
        <v>-0.01</v>
      </c>
    </row>
    <row r="33" spans="2:37">
      <c r="B33" s="1" t="s">
        <v>30</v>
      </c>
      <c r="D33" s="1">
        <v>774.34299999999996</v>
      </c>
      <c r="E33" s="1">
        <v>842.00099999999998</v>
      </c>
      <c r="F33" s="1">
        <v>808.28700000000003</v>
      </c>
      <c r="G33" s="1">
        <v>817.82500000000005</v>
      </c>
      <c r="H33" s="1">
        <v>946.72799999999995</v>
      </c>
      <c r="I33" s="1">
        <v>980.39200000000005</v>
      </c>
      <c r="J33" s="1">
        <v>717.9</v>
      </c>
      <c r="K33" s="1">
        <v>900.5</v>
      </c>
      <c r="AJ33" s="1" t="s">
        <v>70</v>
      </c>
      <c r="AK33" s="9">
        <v>0.1</v>
      </c>
    </row>
    <row r="34" spans="2:37">
      <c r="B34" s="1" t="s">
        <v>40</v>
      </c>
      <c r="D34" s="1">
        <v>59.701000000000001</v>
      </c>
      <c r="E34" s="1">
        <v>57.411999999999999</v>
      </c>
      <c r="F34" s="1">
        <v>60.546999999999997</v>
      </c>
      <c r="G34" s="1">
        <v>49.250999999999998</v>
      </c>
      <c r="H34" s="1">
        <v>64.468000000000004</v>
      </c>
      <c r="I34" s="1">
        <v>61.741</v>
      </c>
      <c r="J34" s="1">
        <v>55.7</v>
      </c>
      <c r="K34" s="1">
        <v>56.9</v>
      </c>
      <c r="AJ34" s="1" t="s">
        <v>59</v>
      </c>
      <c r="AK34" s="1">
        <f>NPV(AK33,Y20:HZ20)</f>
        <v>5584.2626503206084</v>
      </c>
    </row>
    <row r="35" spans="2:37">
      <c r="B35" s="1" t="s">
        <v>41</v>
      </c>
      <c r="D35" s="1">
        <v>150.15100000000001</v>
      </c>
      <c r="E35" s="1">
        <v>51.256999999999998</v>
      </c>
      <c r="F35" s="1">
        <v>148.036</v>
      </c>
      <c r="G35" s="1">
        <v>347</v>
      </c>
      <c r="H35" s="1">
        <v>123.751</v>
      </c>
      <c r="I35" s="1">
        <v>128.875</v>
      </c>
      <c r="J35" s="1">
        <v>325.7</v>
      </c>
      <c r="K35" s="1">
        <v>258.5</v>
      </c>
      <c r="AJ35" s="1" t="s">
        <v>58</v>
      </c>
      <c r="AK35" s="1">
        <f>+K32</f>
        <v>837.4</v>
      </c>
    </row>
    <row r="36" spans="2:37">
      <c r="B36" s="1" t="s">
        <v>42</v>
      </c>
      <c r="D36" s="1">
        <v>1192.703</v>
      </c>
      <c r="E36" s="1">
        <v>1629.2449999999999</v>
      </c>
      <c r="F36" s="1">
        <v>1093.999</v>
      </c>
      <c r="G36" s="1">
        <v>1387.684</v>
      </c>
      <c r="H36" s="1">
        <v>1191.432</v>
      </c>
      <c r="I36" s="1">
        <v>1682.2170000000001</v>
      </c>
      <c r="J36" s="1">
        <v>1172</v>
      </c>
      <c r="K36" s="1">
        <v>1469.3</v>
      </c>
      <c r="AJ36" s="1" t="s">
        <v>63</v>
      </c>
      <c r="AK36" s="1">
        <f>+SUM(AK34:AK35)</f>
        <v>6421.662650320608</v>
      </c>
    </row>
    <row r="37" spans="2:37">
      <c r="B37" s="1" t="s">
        <v>39</v>
      </c>
      <c r="D37" s="1">
        <v>0</v>
      </c>
      <c r="G37" s="1">
        <v>0</v>
      </c>
      <c r="H37" s="1">
        <v>35.462000000000003</v>
      </c>
      <c r="J37" s="1">
        <v>0</v>
      </c>
      <c r="K37" s="1">
        <v>0</v>
      </c>
      <c r="AJ37" s="1" t="s">
        <v>57</v>
      </c>
      <c r="AK37" s="1">
        <f>+Main!G4</f>
        <v>15.904664</v>
      </c>
    </row>
    <row r="38" spans="2:37">
      <c r="B38" s="1" t="s">
        <v>43</v>
      </c>
      <c r="D38" s="1">
        <v>103.331</v>
      </c>
      <c r="E38" s="1">
        <v>85.646000000000001</v>
      </c>
      <c r="F38" s="1">
        <v>97.340999999999994</v>
      </c>
      <c r="G38" s="1">
        <v>106.241</v>
      </c>
      <c r="H38" s="1">
        <v>91.700999999999993</v>
      </c>
      <c r="I38" s="1">
        <v>89.075999999999993</v>
      </c>
      <c r="J38" s="1">
        <v>96.8</v>
      </c>
      <c r="K38" s="1">
        <v>82.9</v>
      </c>
      <c r="AJ38" s="1" t="s">
        <v>60</v>
      </c>
      <c r="AK38" s="1">
        <f>+AK36/AK37</f>
        <v>403.75971792428987</v>
      </c>
    </row>
    <row r="39" spans="2:37">
      <c r="B39" s="1" t="s">
        <v>44</v>
      </c>
      <c r="D39" s="1">
        <v>1098.9469999999999</v>
      </c>
      <c r="E39" s="1">
        <v>1094.587</v>
      </c>
      <c r="F39" s="1">
        <v>1074.3040000000001</v>
      </c>
      <c r="G39" s="1">
        <v>1062.9929999999999</v>
      </c>
      <c r="H39" s="1">
        <v>1044.866</v>
      </c>
      <c r="I39" s="1">
        <v>1030.69</v>
      </c>
      <c r="J39" s="1">
        <v>1002.2</v>
      </c>
      <c r="K39" s="1">
        <v>976</v>
      </c>
      <c r="AJ39" s="1" t="s">
        <v>61</v>
      </c>
      <c r="AK39" s="1">
        <f>+Main!G3</f>
        <v>395.96</v>
      </c>
    </row>
    <row r="40" spans="2:37">
      <c r="B40" s="1" t="s">
        <v>34</v>
      </c>
      <c r="D40" s="1">
        <v>30.364000000000001</v>
      </c>
      <c r="E40" s="1">
        <v>34.462000000000003</v>
      </c>
      <c r="F40" s="1">
        <v>42.680999999999997</v>
      </c>
      <c r="G40" s="1">
        <v>41.908999999999999</v>
      </c>
      <c r="H40" s="1">
        <v>38.936</v>
      </c>
      <c r="I40" s="1">
        <v>35.920999999999999</v>
      </c>
      <c r="J40" s="1">
        <v>33.6</v>
      </c>
      <c r="K40" s="1">
        <v>32.5</v>
      </c>
      <c r="AJ40" s="1" t="s">
        <v>62</v>
      </c>
      <c r="AK40" s="4">
        <f>+AK38/AK39-1</f>
        <v>1.9698247106500366E-2</v>
      </c>
    </row>
    <row r="41" spans="2:37">
      <c r="B41" s="1" t="s">
        <v>45</v>
      </c>
      <c r="D41" s="1">
        <v>45.98</v>
      </c>
      <c r="E41" s="1">
        <v>47.563000000000002</v>
      </c>
      <c r="F41" s="1">
        <v>63.951000000000001</v>
      </c>
      <c r="G41" s="1">
        <v>64.016999999999996</v>
      </c>
      <c r="H41" s="1">
        <v>63.935000000000002</v>
      </c>
      <c r="I41" s="1">
        <v>64.733000000000004</v>
      </c>
      <c r="J41" s="1">
        <v>69.099999999999994</v>
      </c>
      <c r="K41" s="1">
        <v>71.3</v>
      </c>
    </row>
    <row r="42" spans="2:37">
      <c r="B42" s="1" t="s">
        <v>46</v>
      </c>
      <c r="D42" s="1">
        <v>56.841999999999999</v>
      </c>
      <c r="E42" s="1">
        <v>55.761000000000003</v>
      </c>
      <c r="F42" s="1">
        <v>59.76</v>
      </c>
      <c r="G42" s="1">
        <v>60.072000000000003</v>
      </c>
      <c r="H42" s="1">
        <v>60.582999999999998</v>
      </c>
      <c r="I42" s="1">
        <v>59.417000000000002</v>
      </c>
      <c r="J42" s="1">
        <v>58.1</v>
      </c>
      <c r="K42" s="1">
        <v>59.1</v>
      </c>
    </row>
    <row r="43" spans="2:37" s="3" customFormat="1">
      <c r="B43" s="3" t="s">
        <v>47</v>
      </c>
      <c r="D43" s="3">
        <f t="shared" ref="D43:K43" si="44">+SUM(D33:D42)</f>
        <v>3512.3620000000005</v>
      </c>
      <c r="E43" s="3">
        <f t="shared" si="44"/>
        <v>3897.9340000000002</v>
      </c>
      <c r="F43" s="3">
        <f t="shared" si="44"/>
        <v>3448.9060000000004</v>
      </c>
      <c r="G43" s="3">
        <f t="shared" si="44"/>
        <v>3936.9920000000002</v>
      </c>
      <c r="H43" s="3">
        <f t="shared" si="44"/>
        <v>3661.8620000000001</v>
      </c>
      <c r="I43" s="3">
        <f t="shared" si="44"/>
        <v>4133.0620000000008</v>
      </c>
      <c r="J43" s="3">
        <f t="shared" si="44"/>
        <v>3531.1</v>
      </c>
      <c r="K43" s="3">
        <f t="shared" si="44"/>
        <v>3907</v>
      </c>
      <c r="AJ43" s="3" t="s">
        <v>64</v>
      </c>
      <c r="AK43" s="11">
        <f>+Main!G8 / X20</f>
        <v>7.4923965678170523</v>
      </c>
    </row>
    <row r="44" spans="2:37">
      <c r="AJ44" s="3" t="s">
        <v>65</v>
      </c>
      <c r="AK44" s="10">
        <f>+Main!G8 / Y20</f>
        <v>7.9794156634650211</v>
      </c>
    </row>
    <row r="45" spans="2:37">
      <c r="B45" s="1" t="s">
        <v>37</v>
      </c>
      <c r="D45" s="1">
        <v>803.14200000000005</v>
      </c>
      <c r="E45" s="1">
        <v>1181.1980000000001</v>
      </c>
      <c r="F45" s="1">
        <v>782.54499999999996</v>
      </c>
      <c r="G45" s="1">
        <v>1031.325</v>
      </c>
      <c r="H45" s="1">
        <v>768.75800000000004</v>
      </c>
      <c r="I45" s="1">
        <v>1214.982</v>
      </c>
      <c r="J45" s="1">
        <v>795</v>
      </c>
      <c r="K45" s="1">
        <v>1056.7</v>
      </c>
      <c r="AJ45" s="3" t="s">
        <v>66</v>
      </c>
      <c r="AK45" s="10">
        <f>+Main!G8 / X12</f>
        <v>0.87639549470117206</v>
      </c>
    </row>
    <row r="46" spans="2:37">
      <c r="B46" s="1" t="s">
        <v>38</v>
      </c>
      <c r="D46" s="1">
        <v>8.0470000000000006</v>
      </c>
      <c r="E46" s="1">
        <v>8.4610000000000003</v>
      </c>
      <c r="F46" s="1">
        <v>11.252000000000001</v>
      </c>
      <c r="G46" s="1">
        <v>11.596</v>
      </c>
      <c r="H46" s="1">
        <v>11.535</v>
      </c>
      <c r="I46" s="1">
        <v>11.721</v>
      </c>
      <c r="J46" s="1">
        <v>11.4</v>
      </c>
      <c r="K46" s="1">
        <v>10.8</v>
      </c>
      <c r="AJ46" s="3" t="s">
        <v>67</v>
      </c>
      <c r="AK46" s="10">
        <f>+Main!G8 / Y12</f>
        <v>0.93336275976729166</v>
      </c>
    </row>
    <row r="47" spans="2:37">
      <c r="B47" s="1" t="s">
        <v>39</v>
      </c>
      <c r="D47" s="1">
        <v>115.633</v>
      </c>
      <c r="E47" s="1">
        <v>12.5</v>
      </c>
      <c r="F47" s="1">
        <v>33.959000000000003</v>
      </c>
      <c r="G47" s="1">
        <v>87.369</v>
      </c>
      <c r="H47" s="1">
        <v>0</v>
      </c>
      <c r="I47" s="1">
        <v>10.029999999999999</v>
      </c>
      <c r="J47" s="1">
        <v>28.5</v>
      </c>
      <c r="K47" s="1">
        <v>79.3</v>
      </c>
      <c r="AJ47" s="3" t="s">
        <v>68</v>
      </c>
      <c r="AK47" s="10">
        <f>+Main!G8 / I52</f>
        <v>2.9416641875119378</v>
      </c>
    </row>
    <row r="48" spans="2:37">
      <c r="B48" s="1" t="s">
        <v>33</v>
      </c>
      <c r="D48" s="1">
        <v>321.40699999999998</v>
      </c>
      <c r="E48" s="1">
        <v>321.43400000000003</v>
      </c>
      <c r="F48" s="1">
        <v>321.46100000000001</v>
      </c>
      <c r="G48" s="1">
        <v>321.48700000000002</v>
      </c>
      <c r="H48" s="1">
        <v>321.51400000000001</v>
      </c>
      <c r="I48" s="1">
        <v>321.541</v>
      </c>
      <c r="J48" s="1">
        <v>321.60000000000002</v>
      </c>
      <c r="K48" s="1">
        <v>321.60000000000002</v>
      </c>
    </row>
    <row r="49" spans="2:23">
      <c r="B49" s="1" t="s">
        <v>34</v>
      </c>
      <c r="D49" s="1">
        <v>22.291</v>
      </c>
      <c r="E49" s="1">
        <v>26.245999999999999</v>
      </c>
      <c r="F49" s="1">
        <v>31.728000000000002</v>
      </c>
      <c r="G49" s="1">
        <v>30.297000000000001</v>
      </c>
      <c r="H49" s="1">
        <v>27.44</v>
      </c>
      <c r="I49" s="1">
        <v>24.338000000000001</v>
      </c>
      <c r="J49" s="1">
        <v>22.3</v>
      </c>
      <c r="K49" s="1">
        <v>21.5</v>
      </c>
    </row>
    <row r="50" spans="2:23">
      <c r="B50" s="1" t="s">
        <v>35</v>
      </c>
      <c r="D50" s="1">
        <v>332.32600000000002</v>
      </c>
      <c r="E50" s="1">
        <v>334.45699999999999</v>
      </c>
      <c r="F50" s="1">
        <v>370.89299999999997</v>
      </c>
      <c r="G50" s="1">
        <v>380.09</v>
      </c>
      <c r="H50" s="1">
        <v>383.69400000000002</v>
      </c>
      <c r="I50" s="1">
        <v>387.05500000000001</v>
      </c>
      <c r="J50" s="1">
        <v>356.1</v>
      </c>
      <c r="K50" s="1">
        <v>359.2</v>
      </c>
    </row>
    <row r="51" spans="2:23">
      <c r="B51" s="1" t="s">
        <v>36</v>
      </c>
      <c r="D51" s="1">
        <v>200</v>
      </c>
      <c r="E51" s="1">
        <v>200</v>
      </c>
      <c r="F51" s="1">
        <v>200</v>
      </c>
      <c r="G51" s="1">
        <v>200</v>
      </c>
      <c r="H51" s="1">
        <v>200</v>
      </c>
      <c r="I51" s="1">
        <v>200</v>
      </c>
      <c r="J51" s="1">
        <v>200</v>
      </c>
      <c r="K51" s="1">
        <v>200</v>
      </c>
    </row>
    <row r="52" spans="2:23">
      <c r="B52" s="1" t="s">
        <v>31</v>
      </c>
      <c r="D52" s="1">
        <v>1709.5160000000001</v>
      </c>
      <c r="E52" s="1">
        <v>1813.6379999999999</v>
      </c>
      <c r="F52" s="1">
        <v>1697.068</v>
      </c>
      <c r="G52" s="1">
        <v>1874.992</v>
      </c>
      <c r="H52" s="1">
        <v>1948.921</v>
      </c>
      <c r="I52" s="1">
        <v>1963.395</v>
      </c>
      <c r="J52" s="1">
        <v>1796.2</v>
      </c>
      <c r="K52" s="1">
        <v>1857.9</v>
      </c>
    </row>
    <row r="53" spans="2:23" s="3" customFormat="1">
      <c r="B53" s="3" t="s">
        <v>32</v>
      </c>
      <c r="D53" s="3">
        <f t="shared" ref="D53:K53" si="45">+SUM(D45:D52)</f>
        <v>3512.3620000000001</v>
      </c>
      <c r="E53" s="3">
        <f t="shared" si="45"/>
        <v>3897.9340000000002</v>
      </c>
      <c r="F53" s="3">
        <f t="shared" si="45"/>
        <v>3448.9059999999999</v>
      </c>
      <c r="G53" s="3">
        <f t="shared" si="45"/>
        <v>3937.1559999999999</v>
      </c>
      <c r="H53" s="3">
        <f t="shared" si="45"/>
        <v>3661.8620000000001</v>
      </c>
      <c r="I53" s="3">
        <f t="shared" si="45"/>
        <v>4133.0619999999999</v>
      </c>
      <c r="J53" s="3">
        <f t="shared" si="45"/>
        <v>3531.1000000000004</v>
      </c>
      <c r="K53" s="3">
        <f t="shared" si="45"/>
        <v>3907.0000000000005</v>
      </c>
    </row>
    <row r="56" spans="2:23">
      <c r="B56" s="1" t="s">
        <v>48</v>
      </c>
      <c r="C56" s="1">
        <v>280.94799999999998</v>
      </c>
      <c r="D56" s="1">
        <f>397.85-C56</f>
        <v>116.90200000000004</v>
      </c>
      <c r="E56" s="1">
        <f>447.107-SUM(C56:D56)</f>
        <v>49.257000000000005</v>
      </c>
      <c r="F56" s="1">
        <f>883.59-SUM(C56:E56)</f>
        <v>436.483</v>
      </c>
      <c r="G56" s="1">
        <v>244.37799999999999</v>
      </c>
      <c r="H56" s="1">
        <f>175.957-G56</f>
        <v>-68.420999999999992</v>
      </c>
      <c r="I56" s="1">
        <f>349.434-SUM(G56:H56)</f>
        <v>173.47700000000003</v>
      </c>
      <c r="J56" s="1">
        <f>714.1-SUM(G56:I56)</f>
        <v>364.666</v>
      </c>
      <c r="K56" s="1">
        <v>232.6</v>
      </c>
      <c r="R56" s="1">
        <v>367.28800000000001</v>
      </c>
      <c r="S56" s="1">
        <v>365.07400000000001</v>
      </c>
      <c r="T56" s="1">
        <v>252.946</v>
      </c>
      <c r="U56" s="1">
        <v>1280.02</v>
      </c>
      <c r="V56" s="1">
        <v>948.39099999999996</v>
      </c>
      <c r="W56" s="1">
        <v>883.59</v>
      </c>
    </row>
    <row r="57" spans="2:23">
      <c r="B57" s="1" t="s">
        <v>49</v>
      </c>
      <c r="C57" s="1">
        <v>-32.347999999999999</v>
      </c>
      <c r="D57" s="1">
        <f>+-63.807-C57</f>
        <v>-31.459000000000003</v>
      </c>
      <c r="E57" s="1">
        <f>+-104.679-SUM(C57:D57)</f>
        <v>-40.872</v>
      </c>
      <c r="F57" s="1">
        <f>+-132.944-SUM(C57:E57)</f>
        <v>-28.264999999999986</v>
      </c>
      <c r="G57" s="1">
        <v>-35.174999999999997</v>
      </c>
      <c r="H57" s="1">
        <f>+-61.086-G57</f>
        <v>-25.911000000000001</v>
      </c>
      <c r="I57" s="1">
        <f>+-89.147-SUM(G57:H57)</f>
        <v>-28.061000000000007</v>
      </c>
      <c r="J57" s="1">
        <f>+-104.6-SUM(G57:I57)</f>
        <v>-15.452999999999989</v>
      </c>
      <c r="K57" s="1">
        <v>-16.8</v>
      </c>
      <c r="R57" s="1">
        <v>-137.06399999999999</v>
      </c>
      <c r="S57" s="1">
        <v>-103.383</v>
      </c>
      <c r="T57" s="1">
        <v>-60.453000000000003</v>
      </c>
      <c r="U57" s="1">
        <v>-104.36</v>
      </c>
      <c r="V57" s="1">
        <v>-120.105</v>
      </c>
      <c r="W57" s="1">
        <v>-132.94399999999999</v>
      </c>
    </row>
    <row r="58" spans="2:23" s="3" customFormat="1">
      <c r="B58" s="3" t="s">
        <v>50</v>
      </c>
      <c r="C58" s="3">
        <f t="shared" ref="C58:H58" si="46">+SUM(C56:C57)</f>
        <v>248.59999999999997</v>
      </c>
      <c r="D58" s="3">
        <f t="shared" si="46"/>
        <v>85.44300000000004</v>
      </c>
      <c r="E58" s="3">
        <f t="shared" si="46"/>
        <v>8.3850000000000051</v>
      </c>
      <c r="F58" s="3">
        <f t="shared" si="46"/>
        <v>408.21800000000002</v>
      </c>
      <c r="G58" s="3">
        <f t="shared" si="46"/>
        <v>209.20299999999997</v>
      </c>
      <c r="H58" s="3">
        <f t="shared" si="46"/>
        <v>-94.331999999999994</v>
      </c>
      <c r="I58" s="3">
        <f>+SUM(I56:I57)</f>
        <v>145.41600000000003</v>
      </c>
      <c r="J58" s="3">
        <f>+SUM(J56:J57)</f>
        <v>349.21300000000002</v>
      </c>
      <c r="K58" s="3">
        <f>+SUM(K56:K57)</f>
        <v>215.79999999999998</v>
      </c>
      <c r="R58" s="3">
        <f>+SUM(R56:R57)</f>
        <v>230.22400000000002</v>
      </c>
      <c r="S58" s="3">
        <f t="shared" ref="S58:W58" si="47">+SUM(S56:S57)</f>
        <v>261.69100000000003</v>
      </c>
      <c r="T58" s="3">
        <f t="shared" si="47"/>
        <v>192.49299999999999</v>
      </c>
      <c r="U58" s="3">
        <f t="shared" si="47"/>
        <v>1175.6600000000001</v>
      </c>
      <c r="V58" s="3">
        <f t="shared" si="47"/>
        <v>828.28599999999994</v>
      </c>
      <c r="W58" s="3">
        <f t="shared" si="47"/>
        <v>750.64600000000007</v>
      </c>
    </row>
    <row r="59" spans="2:23">
      <c r="B59" s="1" t="s">
        <v>51</v>
      </c>
      <c r="C59" s="1">
        <f>+C20</f>
        <v>245.44899999999996</v>
      </c>
      <c r="D59" s="1">
        <f t="shared" ref="D59:K59" si="48">+D20</f>
        <v>176.16899999999958</v>
      </c>
      <c r="E59" s="1">
        <f t="shared" si="48"/>
        <v>195.99300000000014</v>
      </c>
      <c r="F59" s="1">
        <f t="shared" si="48"/>
        <v>294.75600000000009</v>
      </c>
      <c r="G59" s="1">
        <f t="shared" si="48"/>
        <v>225.67399999999995</v>
      </c>
      <c r="H59" s="1">
        <f t="shared" si="48"/>
        <v>120.84600000000034</v>
      </c>
      <c r="I59" s="1">
        <f t="shared" si="48"/>
        <v>168.47000000000034</v>
      </c>
      <c r="J59" s="1">
        <f t="shared" si="48"/>
        <v>255.6999999999999</v>
      </c>
      <c r="K59" s="1">
        <f t="shared" si="48"/>
        <v>208.1999999999999</v>
      </c>
      <c r="R59" s="1">
        <f>+R20</f>
        <v>394.0949999999998</v>
      </c>
      <c r="S59" s="1">
        <f t="shared" ref="S59:W59" si="49">+S20</f>
        <v>313.13700000000011</v>
      </c>
      <c r="T59" s="1">
        <f t="shared" si="49"/>
        <v>154.6899999999996</v>
      </c>
      <c r="U59" s="1">
        <f t="shared" si="49"/>
        <v>1037.1060000000011</v>
      </c>
      <c r="V59" s="1">
        <f t="shared" si="49"/>
        <v>1059.0300000000007</v>
      </c>
      <c r="W59" s="1">
        <f t="shared" si="49"/>
        <v>912.36699999999973</v>
      </c>
    </row>
    <row r="61" spans="2:23">
      <c r="B61" s="1" t="s">
        <v>52</v>
      </c>
      <c r="F61" s="1">
        <f t="shared" ref="F61:H61" si="50">+SUM(C58:F58)</f>
        <v>750.64599999999996</v>
      </c>
      <c r="G61" s="1">
        <f t="shared" si="50"/>
        <v>711.24900000000002</v>
      </c>
      <c r="H61" s="1">
        <f t="shared" si="50"/>
        <v>531.47400000000005</v>
      </c>
      <c r="I61" s="1">
        <f>+SUM(F58:I58)</f>
        <v>668.50500000000011</v>
      </c>
      <c r="J61" s="1">
        <f>+SUM(G58:J58)</f>
        <v>609.5</v>
      </c>
      <c r="K61" s="1">
        <f>+SUM(H58:K58)</f>
        <v>616.09699999999998</v>
      </c>
    </row>
    <row r="62" spans="2:23">
      <c r="B62" s="1" t="s">
        <v>53</v>
      </c>
      <c r="F62" s="1">
        <f t="shared" ref="F62:H62" si="51">+SUM(C59:F59)</f>
        <v>912.36699999999973</v>
      </c>
      <c r="G62" s="1">
        <f t="shared" si="51"/>
        <v>892.59199999999976</v>
      </c>
      <c r="H62" s="1">
        <f t="shared" si="51"/>
        <v>837.26900000000057</v>
      </c>
      <c r="I62" s="1">
        <f>+SUM(F59:I59)</f>
        <v>809.74600000000078</v>
      </c>
      <c r="J62" s="1">
        <f>+SUM(G59:J59)</f>
        <v>770.69000000000062</v>
      </c>
      <c r="K62" s="1">
        <f>+SUM(H59:K59)</f>
        <v>753.21600000000058</v>
      </c>
    </row>
  </sheetData>
  <pageMargins left="0.7" right="0.7" top="0.75" bottom="0.75" header="0.3" footer="0.3"/>
  <ignoredErrors>
    <ignoredError sqref="F18:F20 F12" formula="1"/>
    <ignoredError sqref="Q12:W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2025-01-26T14:24:39Z</dcterms:created>
  <dcterms:modified xsi:type="dcterms:W3CDTF">2025-06-02T00:59:09Z</dcterms:modified>
</cp:coreProperties>
</file>