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D57D19BD-8A90-8549-81C6-90FCA04A2D4C}" xr6:coauthVersionLast="47" xr6:coauthVersionMax="47" xr10:uidLastSave="{00000000-0000-0000-0000-000000000000}"/>
  <bookViews>
    <workbookView xWindow="14260" yWindow="3260" windowWidth="31020" windowHeight="21280" activeTab="1" xr2:uid="{E4E86949-30F2-B846-B247-3E813273A05B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2" l="1"/>
  <c r="U50" i="2"/>
  <c r="T50" i="2"/>
  <c r="S50" i="2"/>
  <c r="R50" i="2"/>
  <c r="Q50" i="2"/>
  <c r="P50" i="2"/>
  <c r="R35" i="2"/>
  <c r="R45" i="2" s="1"/>
  <c r="R30" i="2"/>
  <c r="S30" i="2"/>
  <c r="S45" i="2"/>
  <c r="S35" i="2"/>
  <c r="S49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0" i="2"/>
  <c r="T29" i="2"/>
  <c r="T28" i="2"/>
  <c r="T27" i="2"/>
  <c r="T26" i="2"/>
  <c r="T25" i="2"/>
  <c r="T24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0" i="2"/>
  <c r="U29" i="2"/>
  <c r="U28" i="2"/>
  <c r="U27" i="2"/>
  <c r="U26" i="2"/>
  <c r="U25" i="2"/>
  <c r="U24" i="2"/>
  <c r="S48" i="2"/>
  <c r="S47" i="2" s="1"/>
  <c r="R49" i="2"/>
  <c r="R48" i="2"/>
  <c r="R47" i="2" s="1"/>
  <c r="Q49" i="2"/>
  <c r="Q48" i="2"/>
  <c r="Q47" i="2" s="1"/>
  <c r="Q45" i="2"/>
  <c r="P49" i="2"/>
  <c r="P48" i="2"/>
  <c r="P47" i="2" s="1"/>
  <c r="Q30" i="2"/>
  <c r="P45" i="2"/>
  <c r="P30" i="2"/>
  <c r="E7" i="1" l="1"/>
  <c r="V10" i="2"/>
  <c r="W10" i="2" s="1"/>
  <c r="X10" i="2" s="1"/>
  <c r="Y10" i="2" s="1"/>
  <c r="Z10" i="2" s="1"/>
  <c r="L10" i="2"/>
  <c r="K23" i="2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F14" i="3"/>
  <c r="E14" i="3"/>
  <c r="E13" i="3"/>
  <c r="F11" i="3"/>
  <c r="E11" i="3"/>
  <c r="E49" i="2"/>
  <c r="F49" i="2"/>
  <c r="T49" i="2" s="1"/>
  <c r="G49" i="2"/>
  <c r="H49" i="2"/>
  <c r="I49" i="2"/>
  <c r="J49" i="2"/>
  <c r="U49" i="2" s="1"/>
  <c r="K49" i="2"/>
  <c r="D49" i="2"/>
  <c r="K48" i="2"/>
  <c r="K47" i="2" s="1"/>
  <c r="J48" i="2"/>
  <c r="U48" i="2" s="1"/>
  <c r="I48" i="2"/>
  <c r="I47" i="2" s="1"/>
  <c r="H48" i="2"/>
  <c r="H47" i="2" s="1"/>
  <c r="G48" i="2"/>
  <c r="G47" i="2" s="1"/>
  <c r="F48" i="2"/>
  <c r="F47" i="2" s="1"/>
  <c r="T47" i="2" s="1"/>
  <c r="E48" i="2"/>
  <c r="E47" i="2" s="1"/>
  <c r="D48" i="2"/>
  <c r="D47" i="2" s="1"/>
  <c r="S3" i="2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C53" i="2"/>
  <c r="D52" i="2"/>
  <c r="E52" i="2" s="1"/>
  <c r="F52" i="2" s="1"/>
  <c r="D51" i="2"/>
  <c r="E51" i="2" s="1"/>
  <c r="H52" i="2"/>
  <c r="H51" i="2"/>
  <c r="G53" i="2"/>
  <c r="K51" i="2"/>
  <c r="K53" i="2" s="1"/>
  <c r="D45" i="2"/>
  <c r="D30" i="2"/>
  <c r="H45" i="2"/>
  <c r="H30" i="2"/>
  <c r="E45" i="2"/>
  <c r="E30" i="2"/>
  <c r="I45" i="2"/>
  <c r="I30" i="2"/>
  <c r="K18" i="2"/>
  <c r="I18" i="2"/>
  <c r="H18" i="2"/>
  <c r="G18" i="2"/>
  <c r="I17" i="2"/>
  <c r="H17" i="2"/>
  <c r="G17" i="2"/>
  <c r="K17" i="2"/>
  <c r="F45" i="2"/>
  <c r="F30" i="2"/>
  <c r="J12" i="2"/>
  <c r="J10" i="2"/>
  <c r="J8" i="2"/>
  <c r="J7" i="2"/>
  <c r="J5" i="2"/>
  <c r="J4" i="2"/>
  <c r="U6" i="2"/>
  <c r="U9" i="2" s="1"/>
  <c r="U11" i="2" s="1"/>
  <c r="U13" i="2" s="1"/>
  <c r="G45" i="2"/>
  <c r="G30" i="2"/>
  <c r="J45" i="2"/>
  <c r="J30" i="2"/>
  <c r="K45" i="2"/>
  <c r="K30" i="2"/>
  <c r="K6" i="2"/>
  <c r="K9" i="2" s="1"/>
  <c r="K11" i="2" s="1"/>
  <c r="K13" i="2" s="1"/>
  <c r="AG21" i="2"/>
  <c r="AG19" i="2"/>
  <c r="T18" i="2"/>
  <c r="S18" i="2"/>
  <c r="S17" i="2"/>
  <c r="T17" i="2"/>
  <c r="T2" i="2"/>
  <c r="F12" i="2"/>
  <c r="F10" i="2"/>
  <c r="F8" i="2"/>
  <c r="F7" i="2"/>
  <c r="F5" i="2"/>
  <c r="U18" i="2" s="1"/>
  <c r="F4" i="2"/>
  <c r="R6" i="2"/>
  <c r="R9" i="2" s="1"/>
  <c r="R11" i="2" s="1"/>
  <c r="R13" i="2" s="1"/>
  <c r="S6" i="2"/>
  <c r="S9" i="2" s="1"/>
  <c r="S11" i="2" s="1"/>
  <c r="S13" i="2" s="1"/>
  <c r="T6" i="2"/>
  <c r="T9" i="2" s="1"/>
  <c r="T11" i="2" s="1"/>
  <c r="T13" i="2" s="1"/>
  <c r="C6" i="2"/>
  <c r="C9" i="2" s="1"/>
  <c r="C11" i="2" s="1"/>
  <c r="C13" i="2" s="1"/>
  <c r="G6" i="2"/>
  <c r="G9" i="2" s="1"/>
  <c r="G11" i="2" s="1"/>
  <c r="G13" i="2" s="1"/>
  <c r="D6" i="2"/>
  <c r="D9" i="2" s="1"/>
  <c r="D11" i="2" s="1"/>
  <c r="D13" i="2" s="1"/>
  <c r="H6" i="2"/>
  <c r="H9" i="2" s="1"/>
  <c r="H11" i="2" s="1"/>
  <c r="H13" i="2" s="1"/>
  <c r="E6" i="2"/>
  <c r="E9" i="2" s="1"/>
  <c r="E11" i="2" s="1"/>
  <c r="E13" i="2" s="1"/>
  <c r="I6" i="2"/>
  <c r="I9" i="2" s="1"/>
  <c r="I11" i="2" s="1"/>
  <c r="I13" i="2" s="1"/>
  <c r="F6" i="1"/>
  <c r="F7" i="1" s="1"/>
  <c r="E5" i="1"/>
  <c r="E8" i="1" s="1"/>
  <c r="J47" i="2" l="1"/>
  <c r="U47" i="2" s="1"/>
  <c r="T48" i="2"/>
  <c r="L9" i="2"/>
  <c r="H53" i="2"/>
  <c r="J18" i="2"/>
  <c r="K21" i="2"/>
  <c r="J17" i="2"/>
  <c r="K19" i="2"/>
  <c r="I19" i="2"/>
  <c r="J13" i="2"/>
  <c r="T52" i="2"/>
  <c r="I51" i="2"/>
  <c r="J51" i="2" s="1"/>
  <c r="J6" i="2"/>
  <c r="F51" i="2"/>
  <c r="J9" i="2"/>
  <c r="G19" i="2"/>
  <c r="K20" i="2"/>
  <c r="J11" i="2"/>
  <c r="H19" i="2"/>
  <c r="I52" i="2"/>
  <c r="D53" i="2"/>
  <c r="E53" i="2"/>
  <c r="C21" i="2"/>
  <c r="S21" i="2"/>
  <c r="D21" i="2"/>
  <c r="T21" i="2"/>
  <c r="E21" i="2"/>
  <c r="G21" i="2"/>
  <c r="H21" i="2"/>
  <c r="I21" i="2"/>
  <c r="R21" i="2"/>
  <c r="T19" i="2"/>
  <c r="T20" i="2"/>
  <c r="S19" i="2"/>
  <c r="C20" i="2"/>
  <c r="U17" i="2"/>
  <c r="U21" i="2"/>
  <c r="R20" i="2"/>
  <c r="F13" i="2"/>
  <c r="D20" i="2"/>
  <c r="E20" i="2"/>
  <c r="S20" i="2"/>
  <c r="F11" i="2"/>
  <c r="G20" i="2"/>
  <c r="F9" i="2"/>
  <c r="F21" i="2" s="1"/>
  <c r="H20" i="2"/>
  <c r="F6" i="2"/>
  <c r="F20" i="2" s="1"/>
  <c r="I20" i="2"/>
  <c r="J19" i="2" l="1"/>
  <c r="J52" i="2"/>
  <c r="J53" i="2" s="1"/>
  <c r="F53" i="2"/>
  <c r="G55" i="2" s="1"/>
  <c r="T51" i="2"/>
  <c r="I53" i="2"/>
  <c r="U51" i="2"/>
  <c r="J20" i="2"/>
  <c r="V6" i="2"/>
  <c r="U20" i="2"/>
  <c r="U19" i="2"/>
  <c r="V8" i="2" l="1"/>
  <c r="V7" i="2"/>
  <c r="V9" i="2"/>
  <c r="U52" i="2"/>
  <c r="U53" i="2"/>
  <c r="J55" i="2"/>
  <c r="I55" i="2"/>
  <c r="H55" i="2"/>
  <c r="F55" i="2"/>
  <c r="T53" i="2"/>
  <c r="K55" i="2"/>
  <c r="V21" i="2"/>
  <c r="V19" i="2"/>
  <c r="W6" i="2"/>
  <c r="J21" i="2"/>
  <c r="W7" i="2" l="1"/>
  <c r="W8" i="2"/>
  <c r="X6" i="2"/>
  <c r="W19" i="2"/>
  <c r="V20" i="2"/>
  <c r="X8" i="2" l="1"/>
  <c r="X7" i="2"/>
  <c r="X9" i="2" s="1"/>
  <c r="X21" i="2" s="1"/>
  <c r="W9" i="2"/>
  <c r="W21" i="2" s="1"/>
  <c r="V11" i="2"/>
  <c r="V12" i="2" s="1"/>
  <c r="W20" i="2"/>
  <c r="Y6" i="2"/>
  <c r="Y7" i="2" s="1"/>
  <c r="X20" i="2"/>
  <c r="X19" i="2"/>
  <c r="Y8" i="2" l="1"/>
  <c r="W11" i="2"/>
  <c r="Z6" i="2"/>
  <c r="Z7" i="2" s="1"/>
  <c r="Y19" i="2"/>
  <c r="Z8" i="2" l="1"/>
  <c r="Y9" i="2"/>
  <c r="Y21" i="2" s="1"/>
  <c r="W12" i="2"/>
  <c r="W13" i="2" s="1"/>
  <c r="V13" i="2"/>
  <c r="X11" i="2"/>
  <c r="X12" i="2" s="1"/>
  <c r="Y20" i="2"/>
  <c r="AA6" i="2"/>
  <c r="AA7" i="2" s="1"/>
  <c r="Z19" i="2"/>
  <c r="Z20" i="2"/>
  <c r="AA8" i="2" l="1"/>
  <c r="AA9" i="2"/>
  <c r="AA21" i="2" s="1"/>
  <c r="Z9" i="2"/>
  <c r="Z21" i="2" s="1"/>
  <c r="X13" i="2"/>
  <c r="Y11" i="2"/>
  <c r="Y12" i="2" s="1"/>
  <c r="Y13" i="2" s="1"/>
  <c r="AB6" i="2"/>
  <c r="AB7" i="2" s="1"/>
  <c r="AA19" i="2"/>
  <c r="AB8" i="2" l="1"/>
  <c r="AB20" i="2"/>
  <c r="Z11" i="2"/>
  <c r="Z12" i="2" s="1"/>
  <c r="Z13" i="2" s="1"/>
  <c r="AA20" i="2"/>
  <c r="AC6" i="2"/>
  <c r="AB19" i="2"/>
  <c r="AC7" i="2" l="1"/>
  <c r="AC8" i="2"/>
  <c r="AB9" i="2"/>
  <c r="AB21" i="2" s="1"/>
  <c r="AA11" i="2"/>
  <c r="AA12" i="2" s="1"/>
  <c r="AA13" i="2" s="1"/>
  <c r="AD6" i="2"/>
  <c r="AC19" i="2"/>
  <c r="AD7" i="2" l="1"/>
  <c r="AD8" i="2"/>
  <c r="AD9" i="2" s="1"/>
  <c r="AD21" i="2" s="1"/>
  <c r="AC9" i="2"/>
  <c r="AC21" i="2" s="1"/>
  <c r="AB11" i="2"/>
  <c r="AB12" i="2" s="1"/>
  <c r="AB13" i="2" s="1"/>
  <c r="AC20" i="2"/>
  <c r="AD19" i="2"/>
  <c r="AC11" i="2" l="1"/>
  <c r="AC12" i="2" s="1"/>
  <c r="AD20" i="2"/>
  <c r="AC13" i="2" l="1"/>
  <c r="AD11" i="2"/>
  <c r="AD12" i="2" s="1"/>
  <c r="AD13" i="2" s="1"/>
  <c r="AE13" i="2" s="1"/>
  <c r="AF13" i="2" l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HH13" i="2" s="1"/>
  <c r="HI13" i="2" s="1"/>
  <c r="HJ13" i="2" s="1"/>
  <c r="HK13" i="2" s="1"/>
  <c r="HL13" i="2" s="1"/>
  <c r="HM13" i="2" s="1"/>
  <c r="HN13" i="2" s="1"/>
  <c r="HO13" i="2" s="1"/>
  <c r="HP13" i="2" s="1"/>
  <c r="HQ13" i="2" s="1"/>
  <c r="HR13" i="2" s="1"/>
  <c r="HS13" i="2" s="1"/>
  <c r="HT13" i="2" s="1"/>
  <c r="HU13" i="2" s="1"/>
  <c r="HV13" i="2" s="1"/>
  <c r="AG18" i="2" l="1"/>
  <c r="AG20" i="2" s="1"/>
  <c r="AG22" i="2" l="1"/>
</calcChain>
</file>

<file path=xl/sharedStrings.xml><?xml version="1.0" encoding="utf-8"?>
<sst xmlns="http://schemas.openxmlformats.org/spreadsheetml/2006/main" count="81" uniqueCount="73">
  <si>
    <t>P</t>
  </si>
  <si>
    <t>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</si>
  <si>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</si>
  <si>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</si>
  <si>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</si>
  <si>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</si>
  <si>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</si>
  <si>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</si>
  <si>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</si>
  <si>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</si>
  <si>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</si>
  <si>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</si>
  <si>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</si>
  <si>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</si>
  <si>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>Other</t>
  </si>
  <si>
    <t xml:space="preserve">Total Revenue </t>
  </si>
  <si>
    <t>SGA</t>
  </si>
  <si>
    <t xml:space="preserve">Operating Income </t>
  </si>
  <si>
    <t>Interest Expense</t>
  </si>
  <si>
    <t xml:space="preserve">EBT </t>
  </si>
  <si>
    <t>Taxes</t>
  </si>
  <si>
    <t>Net Income</t>
  </si>
  <si>
    <t>Diluted</t>
  </si>
  <si>
    <t>GM %</t>
  </si>
  <si>
    <t xml:space="preserve">Terminal </t>
  </si>
  <si>
    <t xml:space="preserve">Discount </t>
  </si>
  <si>
    <t>NPV</t>
  </si>
  <si>
    <t>Shares</t>
  </si>
  <si>
    <t>Estimate</t>
  </si>
  <si>
    <t>Current</t>
  </si>
  <si>
    <t>Upside</t>
  </si>
  <si>
    <t>Growth Analysis  Y/Y</t>
  </si>
  <si>
    <t>OM %</t>
  </si>
  <si>
    <t>Q125</t>
  </si>
  <si>
    <t>Q225</t>
  </si>
  <si>
    <t>Q325</t>
  </si>
  <si>
    <t>Q425</t>
  </si>
  <si>
    <t>TL</t>
  </si>
  <si>
    <t>E</t>
  </si>
  <si>
    <t>A/P</t>
  </si>
  <si>
    <t>Accrued liab</t>
  </si>
  <si>
    <t>Borrowings</t>
  </si>
  <si>
    <t>Long term debt</t>
  </si>
  <si>
    <t>Fin leases</t>
  </si>
  <si>
    <t>OpLease</t>
  </si>
  <si>
    <t>LTD</t>
  </si>
  <si>
    <t>OpLeases</t>
  </si>
  <si>
    <t>Deferred i/t</t>
  </si>
  <si>
    <t>OLTL</t>
  </si>
  <si>
    <t xml:space="preserve">Cash </t>
  </si>
  <si>
    <t>Inventories</t>
  </si>
  <si>
    <t>PPE</t>
  </si>
  <si>
    <t>Op Lease</t>
  </si>
  <si>
    <t>Other assets</t>
  </si>
  <si>
    <t xml:space="preserve">Total Assets </t>
  </si>
  <si>
    <t>CFFO</t>
  </si>
  <si>
    <t>Capex</t>
  </si>
  <si>
    <t>FCF</t>
  </si>
  <si>
    <t xml:space="preserve">4Q FCF </t>
  </si>
  <si>
    <t xml:space="preserve">Total Debt </t>
  </si>
  <si>
    <t xml:space="preserve">Total cash </t>
  </si>
  <si>
    <t xml:space="preserve">Debt </t>
  </si>
  <si>
    <t xml:space="preserve">Effect Rate # Issue </t>
  </si>
  <si>
    <t>Coupon</t>
  </si>
  <si>
    <t xml:space="preserve">Outstanding </t>
  </si>
  <si>
    <t xml:space="preserve">Oustanding Secured Sr. Debt </t>
  </si>
  <si>
    <t>Unamortized debt discounts/deferred fin costs</t>
  </si>
  <si>
    <t>Current portion of unsecured sr debt</t>
  </si>
  <si>
    <t>LT unsecured debt</t>
  </si>
  <si>
    <t xml:space="preserve">Effective interest rate at issuance </t>
  </si>
  <si>
    <t>ROIC</t>
  </si>
  <si>
    <t xml:space="preserve">Total Capital </t>
  </si>
  <si>
    <t xml:space="preserve">Incoem tx payable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</si>
</sst>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\x"/>
  </numFmts>
  <fonts count="3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165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491849</xdr:colOff>
      <xdr:row>0</xdr:row>
      <xdr:rowOff>0</xdr:rowOff>
    </xdr:from>
    <xdr:to>
      <xdr:col>11</xdr:col>
      <xdr:colOff>22023</xdr:colOff>
      <xdr:row>69</xdr:row>
      <xdr:rowOff>58729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71C7368-437B-2E26-F8EE-1648DE397CDF}"/>
            </a:ext>
          </a:extLst>
        </xdr:cNvPr>
        <xdr:cNvCxnSpPr/>
      </xdr:nvCxnSpPr>
      <xdr:spPr>
        <a:xfrm flipH="1">
          <a:off x="5880173" y="0"/>
          <a:ext cx="36705" cy="1120242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14683</xdr:colOff>
      <xdr:row>0</xdr:row>
      <xdr:rowOff>0</xdr:rowOff>
    </xdr:from>
    <xdr:to>
      <xdr:col>21</xdr:col>
      <xdr:colOff>22023</xdr:colOff>
      <xdr:row>64</xdr:row>
      <xdr:rowOff>95434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AB8471-8E27-C844-BCBF-A0DB0D6EBB25}"/>
            </a:ext>
          </a:extLst>
        </xdr:cNvPr>
        <xdr:cNvCxnSpPr/>
      </xdr:nvCxnSpPr>
      <xdr:spPr>
        <a:xfrm flipH="1">
          <a:off x="12978960" y="0"/>
          <a:ext cx="7340" cy="9947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A1B2-AC8B-F64B-9952-2942787061FF}">
  <dimension ref="D3:F8"/>
  <sheetViews>
    <sheetView zoomScale="150" workbookViewId="0">
      <selection activeCell="H19" sqref="H19"/>
    </sheetView>
  </sheetViews>
  <sheetFormatPr baseColWidth="10" defaultRowHeight="13"/>
  <cols>
    <col min="1" max="3" width="10.83203125" style="1"/>
    <col min="4" max="4" width="3.6640625" style="1" bestFit="1" customWidth="1"/>
    <col min="5" max="5" width="5.6640625" style="1" bestFit="1" customWidth="1"/>
    <col min="6" max="6" width="5.5" style="1" bestFit="1" customWidth="1"/>
    <col min="7" max="16384" width="10.83203125" style="1"/>
  </cols>
  <sheetData>
    <row r="3" spans="4:6">
      <c r="D3" s="1" t="s">
        <v>0</v>
      </c>
      <c r="E3" s="1">
        <v>13.89</v>
      </c>
    </row>
    <row r="4" spans="4:6">
      <c r="D4" s="1" t="s">
        <v>1</v>
      </c>
      <c r="E4" s="1">
        <v>112.041679</v>
      </c>
      <c r="F4" s="1" t="s">
        <v>33</v>
      </c>
    </row>
    <row r="5" spans="4:6">
      <c r="D5" s="1" t="s">
        <v>2</v>
      </c>
      <c r="E5" s="1">
        <f>+E3*E4</f>
        <v>1556.25892131</v>
      </c>
    </row>
    <row r="6" spans="4:6">
      <c r="D6" s="1" t="s">
        <v>3</v>
      </c>
      <c r="E6" s="1">
        <v>153</v>
      </c>
      <c r="F6" s="1" t="str">
        <f>+F4</f>
        <v>Q125</v>
      </c>
    </row>
    <row r="7" spans="4:6">
      <c r="D7" s="1" t="s">
        <v>4</v>
      </c>
      <c r="E7" s="1">
        <f>353+1174+545</f>
        <v>2072</v>
      </c>
      <c r="F7" s="1" t="str">
        <f>+F6</f>
        <v>Q125</v>
      </c>
    </row>
    <row r="8" spans="4:6">
      <c r="D8" s="1" t="s">
        <v>5</v>
      </c>
      <c r="E8" s="1">
        <f>+E5-E6+E7</f>
        <v>3475.25892131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A36A-8AC5-0144-B9F4-AFE7547B4C11}">
  <dimension ref="B2:HV55"/>
  <sheetViews>
    <sheetView tabSelected="1" zoomScale="125" workbookViewId="0">
      <pane xSplit="2" ySplit="3" topLeftCell="D14" activePane="bottomRight" state="frozen"/>
      <selection pane="topRight" activeCell="C1" sqref="C1"/>
      <selection pane="bottomLeft" activeCell="A3" sqref="A3"/>
      <selection pane="bottomRight" activeCell="K50" sqref="K50"/>
    </sheetView>
  </sheetViews>
  <sheetFormatPr baseColWidth="10" defaultRowHeight="13"/>
  <cols>
    <col min="1" max="1" width="1" style="1" customWidth="1"/>
    <col min="2" max="2" width="17.5" style="1" bestFit="1" customWidth="1"/>
    <col min="3" max="3" width="6.1640625" style="1" bestFit="1" customWidth="1"/>
    <col min="4" max="4" width="7.1640625" style="1" bestFit="1" customWidth="1"/>
    <col min="5" max="11" width="6.6640625" style="1" bestFit="1" customWidth="1"/>
    <col min="12" max="15" width="5.6640625" style="1" customWidth="1"/>
    <col min="16" max="27" width="6.6640625" style="1" bestFit="1" customWidth="1"/>
    <col min="28" max="30" width="5.6640625" style="1" bestFit="1" customWidth="1"/>
    <col min="31" max="31" width="5.1640625" style="1" bestFit="1" customWidth="1"/>
    <col min="32" max="32" width="10.33203125" style="1" bestFit="1" customWidth="1"/>
    <col min="33" max="33" width="7.1640625" style="1" bestFit="1" customWidth="1"/>
    <col min="34" max="230" width="5.1640625" style="1" bestFit="1" customWidth="1"/>
    <col min="231" max="16384" width="10.83203125" style="1"/>
  </cols>
  <sheetData>
    <row r="2" spans="2:230" s="3" customFormat="1">
      <c r="C2" s="3">
        <v>45045</v>
      </c>
      <c r="D2" s="3">
        <v>45136</v>
      </c>
      <c r="E2" s="3">
        <v>45227</v>
      </c>
      <c r="F2" s="3">
        <v>45325</v>
      </c>
      <c r="G2" s="3">
        <v>45416</v>
      </c>
      <c r="H2" s="3">
        <v>45507</v>
      </c>
      <c r="I2" s="3">
        <v>45598</v>
      </c>
      <c r="T2" s="3">
        <f>+F2</f>
        <v>45325</v>
      </c>
    </row>
    <row r="3" spans="2:230" s="2" customFormat="1"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6</v>
      </c>
      <c r="J3" s="2" t="s">
        <v>13</v>
      </c>
      <c r="K3" s="2" t="s">
        <v>33</v>
      </c>
      <c r="L3" s="2" t="s">
        <v>34</v>
      </c>
      <c r="M3" s="2" t="s">
        <v>35</v>
      </c>
      <c r="N3" s="2" t="s">
        <v>36</v>
      </c>
      <c r="P3" s="2">
        <v>2019</v>
      </c>
      <c r="Q3" s="2">
        <v>2020</v>
      </c>
      <c r="R3" s="2">
        <v>2021</v>
      </c>
      <c r="S3" s="2">
        <f t="shared" ref="S3:AE3" si="0">+R3+1</f>
        <v>2022</v>
      </c>
      <c r="T3" s="2">
        <f t="shared" si="0"/>
        <v>2023</v>
      </c>
      <c r="U3" s="2">
        <f t="shared" si="0"/>
        <v>2024</v>
      </c>
      <c r="V3" s="2">
        <f t="shared" si="0"/>
        <v>2025</v>
      </c>
      <c r="W3" s="2">
        <f t="shared" si="0"/>
        <v>2026</v>
      </c>
      <c r="X3" s="2">
        <f t="shared" si="0"/>
        <v>2027</v>
      </c>
      <c r="Y3" s="2">
        <f t="shared" si="0"/>
        <v>2028</v>
      </c>
      <c r="Z3" s="2">
        <f t="shared" si="0"/>
        <v>2029</v>
      </c>
      <c r="AA3" s="2">
        <f t="shared" si="0"/>
        <v>2030</v>
      </c>
      <c r="AB3" s="2">
        <f t="shared" si="0"/>
        <v>2031</v>
      </c>
      <c r="AC3" s="2">
        <f t="shared" si="0"/>
        <v>2032</v>
      </c>
      <c r="AD3" s="2">
        <f t="shared" si="0"/>
        <v>2033</v>
      </c>
      <c r="AE3" s="2">
        <f t="shared" si="0"/>
        <v>2034</v>
      </c>
      <c r="AF3" s="2">
        <f t="shared" ref="AF3:CQ3" si="1">+AE3+1</f>
        <v>2035</v>
      </c>
      <c r="AG3" s="2">
        <f t="shared" si="1"/>
        <v>2036</v>
      </c>
      <c r="AH3" s="2">
        <f t="shared" si="1"/>
        <v>2037</v>
      </c>
      <c r="AI3" s="2">
        <f t="shared" si="1"/>
        <v>2038</v>
      </c>
      <c r="AJ3" s="2">
        <f t="shared" si="1"/>
        <v>2039</v>
      </c>
      <c r="AK3" s="2">
        <f t="shared" si="1"/>
        <v>2040</v>
      </c>
      <c r="AL3" s="2">
        <f t="shared" si="1"/>
        <v>2041</v>
      </c>
      <c r="AM3" s="2">
        <f t="shared" si="1"/>
        <v>2042</v>
      </c>
      <c r="AN3" s="2">
        <f t="shared" si="1"/>
        <v>2043</v>
      </c>
      <c r="AO3" s="2">
        <f t="shared" si="1"/>
        <v>2044</v>
      </c>
      <c r="AP3" s="2">
        <f t="shared" si="1"/>
        <v>2045</v>
      </c>
      <c r="AQ3" s="2">
        <f t="shared" si="1"/>
        <v>2046</v>
      </c>
      <c r="AR3" s="2">
        <f t="shared" si="1"/>
        <v>2047</v>
      </c>
      <c r="AS3" s="2">
        <f t="shared" si="1"/>
        <v>2048</v>
      </c>
      <c r="AT3" s="2">
        <f t="shared" si="1"/>
        <v>2049</v>
      </c>
      <c r="AU3" s="2">
        <f t="shared" si="1"/>
        <v>2050</v>
      </c>
      <c r="AV3" s="2">
        <f t="shared" si="1"/>
        <v>2051</v>
      </c>
      <c r="AW3" s="2">
        <f t="shared" si="1"/>
        <v>2052</v>
      </c>
      <c r="AX3" s="2">
        <f t="shared" si="1"/>
        <v>2053</v>
      </c>
      <c r="AY3" s="2">
        <f t="shared" si="1"/>
        <v>2054</v>
      </c>
      <c r="AZ3" s="2">
        <f t="shared" si="1"/>
        <v>2055</v>
      </c>
      <c r="BA3" s="2">
        <f t="shared" si="1"/>
        <v>2056</v>
      </c>
      <c r="BB3" s="2">
        <f t="shared" si="1"/>
        <v>2057</v>
      </c>
      <c r="BC3" s="2">
        <f t="shared" si="1"/>
        <v>2058</v>
      </c>
      <c r="BD3" s="2">
        <f t="shared" si="1"/>
        <v>2059</v>
      </c>
      <c r="BE3" s="2">
        <f t="shared" si="1"/>
        <v>2060</v>
      </c>
      <c r="BF3" s="2">
        <f t="shared" si="1"/>
        <v>2061</v>
      </c>
      <c r="BG3" s="2">
        <f t="shared" si="1"/>
        <v>2062</v>
      </c>
      <c r="BH3" s="2">
        <f t="shared" si="1"/>
        <v>2063</v>
      </c>
      <c r="BI3" s="2">
        <f t="shared" si="1"/>
        <v>2064</v>
      </c>
      <c r="BJ3" s="2">
        <f t="shared" si="1"/>
        <v>2065</v>
      </c>
      <c r="BK3" s="2">
        <f t="shared" si="1"/>
        <v>2066</v>
      </c>
      <c r="BL3" s="2">
        <f t="shared" si="1"/>
        <v>2067</v>
      </c>
      <c r="BM3" s="2">
        <f t="shared" si="1"/>
        <v>2068</v>
      </c>
      <c r="BN3" s="2">
        <f t="shared" si="1"/>
        <v>2069</v>
      </c>
      <c r="BO3" s="2">
        <f t="shared" si="1"/>
        <v>2070</v>
      </c>
      <c r="BP3" s="2">
        <f t="shared" si="1"/>
        <v>2071</v>
      </c>
      <c r="BQ3" s="2">
        <f t="shared" si="1"/>
        <v>2072</v>
      </c>
      <c r="BR3" s="2">
        <f t="shared" si="1"/>
        <v>2073</v>
      </c>
      <c r="BS3" s="2">
        <f t="shared" si="1"/>
        <v>2074</v>
      </c>
      <c r="BT3" s="2">
        <f t="shared" si="1"/>
        <v>2075</v>
      </c>
      <c r="BU3" s="2">
        <f t="shared" si="1"/>
        <v>2076</v>
      </c>
      <c r="BV3" s="2">
        <f t="shared" si="1"/>
        <v>2077</v>
      </c>
      <c r="BW3" s="2">
        <f t="shared" si="1"/>
        <v>2078</v>
      </c>
      <c r="BX3" s="2">
        <f t="shared" si="1"/>
        <v>2079</v>
      </c>
      <c r="BY3" s="2">
        <f t="shared" si="1"/>
        <v>2080</v>
      </c>
      <c r="BZ3" s="2">
        <f t="shared" si="1"/>
        <v>2081</v>
      </c>
      <c r="CA3" s="2">
        <f t="shared" si="1"/>
        <v>2082</v>
      </c>
      <c r="CB3" s="2">
        <f t="shared" si="1"/>
        <v>2083</v>
      </c>
      <c r="CC3" s="2">
        <f t="shared" si="1"/>
        <v>2084</v>
      </c>
      <c r="CD3" s="2">
        <f t="shared" si="1"/>
        <v>2085</v>
      </c>
      <c r="CE3" s="2">
        <f t="shared" si="1"/>
        <v>2086</v>
      </c>
      <c r="CF3" s="2">
        <f t="shared" si="1"/>
        <v>2087</v>
      </c>
      <c r="CG3" s="2">
        <f t="shared" si="1"/>
        <v>2088</v>
      </c>
      <c r="CH3" s="2">
        <f t="shared" si="1"/>
        <v>2089</v>
      </c>
      <c r="CI3" s="2">
        <f t="shared" si="1"/>
        <v>2090</v>
      </c>
      <c r="CJ3" s="2">
        <f t="shared" si="1"/>
        <v>2091</v>
      </c>
      <c r="CK3" s="2">
        <f t="shared" si="1"/>
        <v>2092</v>
      </c>
      <c r="CL3" s="2">
        <f t="shared" si="1"/>
        <v>2093</v>
      </c>
      <c r="CM3" s="2">
        <f t="shared" si="1"/>
        <v>2094</v>
      </c>
      <c r="CN3" s="2">
        <f t="shared" si="1"/>
        <v>2095</v>
      </c>
      <c r="CO3" s="2">
        <f t="shared" si="1"/>
        <v>2096</v>
      </c>
      <c r="CP3" s="2">
        <f t="shared" si="1"/>
        <v>2097</v>
      </c>
      <c r="CQ3" s="2">
        <f t="shared" si="1"/>
        <v>2098</v>
      </c>
      <c r="CR3" s="2">
        <f t="shared" ref="CR3:FC3" si="2">+CQ3+1</f>
        <v>2099</v>
      </c>
      <c r="CS3" s="2">
        <f t="shared" si="2"/>
        <v>2100</v>
      </c>
      <c r="CT3" s="2">
        <f t="shared" si="2"/>
        <v>2101</v>
      </c>
      <c r="CU3" s="2">
        <f t="shared" si="2"/>
        <v>2102</v>
      </c>
      <c r="CV3" s="2">
        <f t="shared" si="2"/>
        <v>2103</v>
      </c>
      <c r="CW3" s="2">
        <f t="shared" si="2"/>
        <v>2104</v>
      </c>
      <c r="CX3" s="2">
        <f t="shared" si="2"/>
        <v>2105</v>
      </c>
      <c r="CY3" s="2">
        <f t="shared" si="2"/>
        <v>2106</v>
      </c>
      <c r="CZ3" s="2">
        <f t="shared" si="2"/>
        <v>2107</v>
      </c>
      <c r="DA3" s="2">
        <f t="shared" si="2"/>
        <v>2108</v>
      </c>
      <c r="DB3" s="2">
        <f t="shared" si="2"/>
        <v>2109</v>
      </c>
      <c r="DC3" s="2">
        <f t="shared" si="2"/>
        <v>2110</v>
      </c>
      <c r="DD3" s="2">
        <f t="shared" si="2"/>
        <v>2111</v>
      </c>
      <c r="DE3" s="2">
        <f t="shared" si="2"/>
        <v>2112</v>
      </c>
      <c r="DF3" s="2">
        <f t="shared" si="2"/>
        <v>2113</v>
      </c>
      <c r="DG3" s="2">
        <f t="shared" si="2"/>
        <v>2114</v>
      </c>
      <c r="DH3" s="2">
        <f t="shared" si="2"/>
        <v>2115</v>
      </c>
      <c r="DI3" s="2">
        <f t="shared" si="2"/>
        <v>2116</v>
      </c>
      <c r="DJ3" s="2">
        <f t="shared" si="2"/>
        <v>2117</v>
      </c>
      <c r="DK3" s="2">
        <f t="shared" si="2"/>
        <v>2118</v>
      </c>
      <c r="DL3" s="2">
        <f t="shared" si="2"/>
        <v>2119</v>
      </c>
      <c r="DM3" s="2">
        <f t="shared" si="2"/>
        <v>2120</v>
      </c>
      <c r="DN3" s="2">
        <f t="shared" si="2"/>
        <v>2121</v>
      </c>
      <c r="DO3" s="2">
        <f t="shared" si="2"/>
        <v>2122</v>
      </c>
      <c r="DP3" s="2">
        <f t="shared" si="2"/>
        <v>2123</v>
      </c>
      <c r="DQ3" s="2">
        <f t="shared" si="2"/>
        <v>2124</v>
      </c>
      <c r="DR3" s="2">
        <f t="shared" si="2"/>
        <v>2125</v>
      </c>
      <c r="DS3" s="2">
        <f t="shared" si="2"/>
        <v>2126</v>
      </c>
      <c r="DT3" s="2">
        <f t="shared" si="2"/>
        <v>2127</v>
      </c>
      <c r="DU3" s="2">
        <f t="shared" si="2"/>
        <v>2128</v>
      </c>
      <c r="DV3" s="2">
        <f t="shared" si="2"/>
        <v>2129</v>
      </c>
      <c r="DW3" s="2">
        <f t="shared" si="2"/>
        <v>2130</v>
      </c>
      <c r="DX3" s="2">
        <f t="shared" si="2"/>
        <v>2131</v>
      </c>
      <c r="DY3" s="2">
        <f t="shared" si="2"/>
        <v>2132</v>
      </c>
      <c r="DZ3" s="2">
        <f t="shared" si="2"/>
        <v>2133</v>
      </c>
      <c r="EA3" s="2">
        <f t="shared" si="2"/>
        <v>2134</v>
      </c>
      <c r="EB3" s="2">
        <f t="shared" si="2"/>
        <v>2135</v>
      </c>
      <c r="EC3" s="2">
        <f t="shared" si="2"/>
        <v>2136</v>
      </c>
      <c r="ED3" s="2">
        <f t="shared" si="2"/>
        <v>2137</v>
      </c>
      <c r="EE3" s="2">
        <f t="shared" si="2"/>
        <v>2138</v>
      </c>
      <c r="EF3" s="2">
        <f t="shared" si="2"/>
        <v>2139</v>
      </c>
      <c r="EG3" s="2">
        <f t="shared" si="2"/>
        <v>2140</v>
      </c>
      <c r="EH3" s="2">
        <f t="shared" si="2"/>
        <v>2141</v>
      </c>
      <c r="EI3" s="2">
        <f t="shared" si="2"/>
        <v>2142</v>
      </c>
      <c r="EJ3" s="2">
        <f t="shared" si="2"/>
        <v>2143</v>
      </c>
      <c r="EK3" s="2">
        <f t="shared" si="2"/>
        <v>2144</v>
      </c>
      <c r="EL3" s="2">
        <f t="shared" si="2"/>
        <v>2145</v>
      </c>
      <c r="EM3" s="2">
        <f t="shared" si="2"/>
        <v>2146</v>
      </c>
      <c r="EN3" s="2">
        <f t="shared" si="2"/>
        <v>2147</v>
      </c>
      <c r="EO3" s="2">
        <f t="shared" si="2"/>
        <v>2148</v>
      </c>
      <c r="EP3" s="2">
        <f t="shared" si="2"/>
        <v>2149</v>
      </c>
      <c r="EQ3" s="2">
        <f t="shared" si="2"/>
        <v>2150</v>
      </c>
      <c r="ER3" s="2">
        <f t="shared" si="2"/>
        <v>2151</v>
      </c>
      <c r="ES3" s="2">
        <f t="shared" si="2"/>
        <v>2152</v>
      </c>
      <c r="ET3" s="2">
        <f t="shared" si="2"/>
        <v>2153</v>
      </c>
      <c r="EU3" s="2">
        <f t="shared" si="2"/>
        <v>2154</v>
      </c>
      <c r="EV3" s="2">
        <f t="shared" si="2"/>
        <v>2155</v>
      </c>
      <c r="EW3" s="2">
        <f t="shared" si="2"/>
        <v>2156</v>
      </c>
      <c r="EX3" s="2">
        <f t="shared" si="2"/>
        <v>2157</v>
      </c>
      <c r="EY3" s="2">
        <f t="shared" si="2"/>
        <v>2158</v>
      </c>
      <c r="EZ3" s="2">
        <f t="shared" si="2"/>
        <v>2159</v>
      </c>
      <c r="FA3" s="2">
        <f t="shared" si="2"/>
        <v>2160</v>
      </c>
      <c r="FB3" s="2">
        <f t="shared" si="2"/>
        <v>2161</v>
      </c>
      <c r="FC3" s="2">
        <f t="shared" si="2"/>
        <v>2162</v>
      </c>
      <c r="FD3" s="2">
        <f t="shared" ref="FD3:HL3" si="3">+FC3+1</f>
        <v>2163</v>
      </c>
      <c r="FE3" s="2">
        <f t="shared" si="3"/>
        <v>2164</v>
      </c>
      <c r="FF3" s="2">
        <f t="shared" si="3"/>
        <v>2165</v>
      </c>
      <c r="FG3" s="2">
        <f t="shared" si="3"/>
        <v>2166</v>
      </c>
      <c r="FH3" s="2">
        <f t="shared" si="3"/>
        <v>2167</v>
      </c>
      <c r="FI3" s="2">
        <f t="shared" si="3"/>
        <v>2168</v>
      </c>
      <c r="FJ3" s="2">
        <f t="shared" si="3"/>
        <v>2169</v>
      </c>
      <c r="FK3" s="2">
        <f t="shared" si="3"/>
        <v>2170</v>
      </c>
      <c r="FL3" s="2">
        <f t="shared" si="3"/>
        <v>2171</v>
      </c>
      <c r="FM3" s="2">
        <f t="shared" si="3"/>
        <v>2172</v>
      </c>
      <c r="FN3" s="2">
        <f t="shared" si="3"/>
        <v>2173</v>
      </c>
      <c r="FO3" s="2">
        <f t="shared" si="3"/>
        <v>2174</v>
      </c>
      <c r="FP3" s="2">
        <f t="shared" si="3"/>
        <v>2175</v>
      </c>
      <c r="FQ3" s="2">
        <f t="shared" si="3"/>
        <v>2176</v>
      </c>
      <c r="FR3" s="2">
        <f t="shared" si="3"/>
        <v>2177</v>
      </c>
      <c r="FS3" s="2">
        <f t="shared" si="3"/>
        <v>2178</v>
      </c>
      <c r="FT3" s="2">
        <f t="shared" si="3"/>
        <v>2179</v>
      </c>
      <c r="FU3" s="2">
        <f t="shared" si="3"/>
        <v>2180</v>
      </c>
      <c r="FV3" s="2">
        <f t="shared" si="3"/>
        <v>2181</v>
      </c>
      <c r="FW3" s="2">
        <f t="shared" si="3"/>
        <v>2182</v>
      </c>
      <c r="FX3" s="2">
        <f t="shared" si="3"/>
        <v>2183</v>
      </c>
      <c r="FY3" s="2">
        <f t="shared" si="3"/>
        <v>2184</v>
      </c>
      <c r="FZ3" s="2">
        <f t="shared" si="3"/>
        <v>2185</v>
      </c>
      <c r="GA3" s="2">
        <f t="shared" si="3"/>
        <v>2186</v>
      </c>
      <c r="GB3" s="2">
        <f t="shared" si="3"/>
        <v>2187</v>
      </c>
      <c r="GC3" s="2">
        <f t="shared" si="3"/>
        <v>2188</v>
      </c>
      <c r="GD3" s="2">
        <f t="shared" si="3"/>
        <v>2189</v>
      </c>
      <c r="GE3" s="2">
        <f t="shared" si="3"/>
        <v>2190</v>
      </c>
      <c r="GF3" s="2">
        <f t="shared" si="3"/>
        <v>2191</v>
      </c>
      <c r="GG3" s="2">
        <f t="shared" si="3"/>
        <v>2192</v>
      </c>
      <c r="GH3" s="2">
        <f t="shared" si="3"/>
        <v>2193</v>
      </c>
      <c r="GI3" s="2">
        <f t="shared" si="3"/>
        <v>2194</v>
      </c>
      <c r="GJ3" s="2">
        <f t="shared" si="3"/>
        <v>2195</v>
      </c>
      <c r="GK3" s="2">
        <f t="shared" si="3"/>
        <v>2196</v>
      </c>
      <c r="GL3" s="2">
        <f t="shared" si="3"/>
        <v>2197</v>
      </c>
      <c r="GM3" s="2">
        <f t="shared" si="3"/>
        <v>2198</v>
      </c>
      <c r="GN3" s="2">
        <f t="shared" si="3"/>
        <v>2199</v>
      </c>
      <c r="GO3" s="2">
        <f t="shared" si="3"/>
        <v>2200</v>
      </c>
      <c r="GP3" s="2">
        <f t="shared" si="3"/>
        <v>2201</v>
      </c>
      <c r="GQ3" s="2">
        <f t="shared" si="3"/>
        <v>2202</v>
      </c>
      <c r="GR3" s="2">
        <f t="shared" si="3"/>
        <v>2203</v>
      </c>
      <c r="GS3" s="2">
        <f t="shared" si="3"/>
        <v>2204</v>
      </c>
      <c r="GT3" s="2">
        <f t="shared" si="3"/>
        <v>2205</v>
      </c>
      <c r="GU3" s="2">
        <f t="shared" si="3"/>
        <v>2206</v>
      </c>
      <c r="GV3" s="2">
        <f t="shared" si="3"/>
        <v>2207</v>
      </c>
      <c r="GW3" s="2">
        <f t="shared" si="3"/>
        <v>2208</v>
      </c>
      <c r="GX3" s="2">
        <f t="shared" si="3"/>
        <v>2209</v>
      </c>
      <c r="GY3" s="2">
        <f t="shared" si="3"/>
        <v>2210</v>
      </c>
      <c r="GZ3" s="2">
        <f t="shared" si="3"/>
        <v>2211</v>
      </c>
      <c r="HA3" s="2">
        <f t="shared" si="3"/>
        <v>2212</v>
      </c>
      <c r="HB3" s="2">
        <f t="shared" si="3"/>
        <v>2213</v>
      </c>
      <c r="HC3" s="2">
        <f t="shared" si="3"/>
        <v>2214</v>
      </c>
      <c r="HD3" s="2">
        <f t="shared" si="3"/>
        <v>2215</v>
      </c>
      <c r="HE3" s="2">
        <f t="shared" si="3"/>
        <v>2216</v>
      </c>
      <c r="HF3" s="2">
        <f t="shared" si="3"/>
        <v>2217</v>
      </c>
      <c r="HG3" s="2">
        <f t="shared" si="3"/>
        <v>2218</v>
      </c>
      <c r="HH3" s="2">
        <f t="shared" si="3"/>
        <v>2219</v>
      </c>
      <c r="HI3" s="2">
        <f t="shared" si="3"/>
        <v>2220</v>
      </c>
      <c r="HJ3" s="2">
        <f t="shared" si="3"/>
        <v>2221</v>
      </c>
      <c r="HK3" s="2">
        <f t="shared" si="3"/>
        <v>2222</v>
      </c>
      <c r="HL3" s="2">
        <f t="shared" si="3"/>
        <v>2223</v>
      </c>
      <c r="HM3" s="2">
        <f t="shared" ref="HM3:HV3" si="4">+HL3+1</f>
        <v>2224</v>
      </c>
      <c r="HN3" s="2">
        <f t="shared" si="4"/>
        <v>2225</v>
      </c>
      <c r="HO3" s="2">
        <f t="shared" si="4"/>
        <v>2226</v>
      </c>
      <c r="HP3" s="2">
        <f t="shared" si="4"/>
        <v>2227</v>
      </c>
      <c r="HQ3" s="2">
        <f t="shared" si="4"/>
        <v>2228</v>
      </c>
      <c r="HR3" s="2">
        <f t="shared" si="4"/>
        <v>2229</v>
      </c>
      <c r="HS3" s="2">
        <f t="shared" si="4"/>
        <v>2230</v>
      </c>
      <c r="HT3" s="2">
        <f t="shared" si="4"/>
        <v>2231</v>
      </c>
      <c r="HU3" s="2">
        <f t="shared" si="4"/>
        <v>2232</v>
      </c>
      <c r="HV3" s="2">
        <f t="shared" si="4"/>
        <v>2233</v>
      </c>
    </row>
    <row r="4" spans="2:230">
      <c r="B4" s="1" t="s">
        <v>1</v>
      </c>
      <c r="C4" s="1">
        <v>3355</v>
      </c>
      <c r="D4" s="1">
        <v>3678</v>
      </c>
      <c r="E4" s="1">
        <v>3843</v>
      </c>
      <c r="F4" s="1">
        <f t="shared" ref="F4:F13" si="5">+T4-SUM(C4:E4)</f>
        <v>5710</v>
      </c>
      <c r="G4" s="1">
        <v>3178</v>
      </c>
      <c r="H4" s="1">
        <v>3525</v>
      </c>
      <c r="I4" s="1">
        <v>3507</v>
      </c>
      <c r="J4" s="1">
        <f t="shared" ref="J4:J13" si="6">+U4-SUM(G4:I4)</f>
        <v>5175</v>
      </c>
      <c r="K4" s="1">
        <v>3049</v>
      </c>
      <c r="R4" s="1">
        <v>18471</v>
      </c>
      <c r="S4" s="1">
        <v>17161</v>
      </c>
      <c r="T4" s="1">
        <v>16586</v>
      </c>
      <c r="U4" s="1">
        <v>15385</v>
      </c>
    </row>
    <row r="5" spans="2:230">
      <c r="B5" s="1" t="s">
        <v>14</v>
      </c>
      <c r="C5" s="1">
        <v>216</v>
      </c>
      <c r="D5" s="1">
        <v>217</v>
      </c>
      <c r="E5" s="1">
        <v>211</v>
      </c>
      <c r="F5" s="1">
        <f t="shared" si="5"/>
        <v>246</v>
      </c>
      <c r="G5" s="1">
        <v>204</v>
      </c>
      <c r="H5" s="1">
        <v>207</v>
      </c>
      <c r="I5" s="1">
        <v>203</v>
      </c>
      <c r="J5" s="1">
        <f t="shared" si="6"/>
        <v>222</v>
      </c>
      <c r="K5" s="1">
        <v>184</v>
      </c>
      <c r="R5" s="1">
        <v>962</v>
      </c>
      <c r="S5" s="1">
        <v>937</v>
      </c>
      <c r="T5" s="1">
        <v>890</v>
      </c>
      <c r="U5" s="1">
        <v>836</v>
      </c>
    </row>
    <row r="6" spans="2:230">
      <c r="B6" s="1" t="s">
        <v>15</v>
      </c>
      <c r="C6" s="1">
        <f>+SUM(C4:C5)</f>
        <v>3571</v>
      </c>
      <c r="D6" s="1">
        <f>+SUM(D4:D5)</f>
        <v>3895</v>
      </c>
      <c r="E6" s="1">
        <f>+SUM(E4:E5)</f>
        <v>4054</v>
      </c>
      <c r="F6" s="1">
        <f t="shared" si="5"/>
        <v>5956</v>
      </c>
      <c r="G6" s="1">
        <f>+SUM(G4:G5)</f>
        <v>3382</v>
      </c>
      <c r="H6" s="1">
        <f>+SUM(H4:H5)</f>
        <v>3732</v>
      </c>
      <c r="I6" s="1">
        <f>+SUM(I4:I5)</f>
        <v>3710</v>
      </c>
      <c r="J6" s="1">
        <f t="shared" si="6"/>
        <v>5397</v>
      </c>
      <c r="K6" s="1">
        <f>+SUM(K4:K5)</f>
        <v>3233</v>
      </c>
      <c r="R6" s="1">
        <f>+SUM(R4:R5)</f>
        <v>19433</v>
      </c>
      <c r="S6" s="1">
        <f>+SUM(S4:S5)</f>
        <v>18098</v>
      </c>
      <c r="T6" s="1">
        <f>+SUM(T4:T5)</f>
        <v>17476</v>
      </c>
      <c r="U6" s="1">
        <f>+SUM(U4:U5)</f>
        <v>16221</v>
      </c>
      <c r="V6" s="1">
        <f>+U6*0.93</f>
        <v>15085.53</v>
      </c>
      <c r="W6" s="1">
        <f t="shared" ref="W6:AD6" si="7">+V6*0.93</f>
        <v>14029.542900000002</v>
      </c>
      <c r="X6" s="1">
        <f t="shared" si="7"/>
        <v>13047.474897000002</v>
      </c>
      <c r="Y6" s="1">
        <f t="shared" si="7"/>
        <v>12134.151654210002</v>
      </c>
      <c r="Z6" s="1">
        <f t="shared" si="7"/>
        <v>11284.761038415301</v>
      </c>
      <c r="AA6" s="1">
        <f t="shared" si="7"/>
        <v>10494.827765726232</v>
      </c>
      <c r="AB6" s="1">
        <f t="shared" si="7"/>
        <v>9760.1898221253959</v>
      </c>
      <c r="AC6" s="1">
        <f t="shared" si="7"/>
        <v>9076.9765345766191</v>
      </c>
      <c r="AD6" s="1">
        <f t="shared" si="7"/>
        <v>8441.5881771562563</v>
      </c>
    </row>
    <row r="7" spans="2:230">
      <c r="B7" s="1" t="s">
        <v>3</v>
      </c>
      <c r="C7" s="1">
        <v>2047</v>
      </c>
      <c r="D7" s="1">
        <v>2242</v>
      </c>
      <c r="E7" s="1">
        <v>2349</v>
      </c>
      <c r="F7" s="1">
        <f t="shared" si="5"/>
        <v>3860</v>
      </c>
      <c r="G7" s="1">
        <v>1923</v>
      </c>
      <c r="H7" s="1">
        <v>2128</v>
      </c>
      <c r="I7" s="1">
        <v>2137</v>
      </c>
      <c r="J7" s="1">
        <f t="shared" si="6"/>
        <v>3473</v>
      </c>
      <c r="K7" s="1">
        <v>1834</v>
      </c>
      <c r="R7" s="1">
        <v>11437</v>
      </c>
      <c r="S7" s="1">
        <v>11457</v>
      </c>
      <c r="T7" s="1">
        <v>10498</v>
      </c>
      <c r="U7" s="1">
        <v>9661</v>
      </c>
      <c r="V7" s="1">
        <f>+V6*0.59</f>
        <v>8900.4627</v>
      </c>
      <c r="W7" s="1">
        <f t="shared" ref="W7:AD7" si="8">+W6*0.59</f>
        <v>8277.4303110000001</v>
      </c>
      <c r="X7" s="1">
        <f t="shared" si="8"/>
        <v>7698.0101892300008</v>
      </c>
      <c r="Y7" s="1">
        <f t="shared" si="8"/>
        <v>7159.1494759839006</v>
      </c>
      <c r="Z7" s="1">
        <f t="shared" si="8"/>
        <v>6658.0090126650275</v>
      </c>
      <c r="AA7" s="1">
        <f t="shared" si="8"/>
        <v>6191.9483817784767</v>
      </c>
      <c r="AB7" s="1">
        <f t="shared" si="8"/>
        <v>5758.5119950539829</v>
      </c>
      <c r="AC7" s="1">
        <f t="shared" si="8"/>
        <v>5355.4161554002048</v>
      </c>
      <c r="AD7" s="1">
        <f t="shared" si="8"/>
        <v>4980.5370245221911</v>
      </c>
    </row>
    <row r="8" spans="2:230">
      <c r="B8" s="1" t="s">
        <v>16</v>
      </c>
      <c r="C8" s="1">
        <v>1238</v>
      </c>
      <c r="D8" s="1">
        <v>1304</v>
      </c>
      <c r="E8" s="1">
        <v>1360</v>
      </c>
      <c r="F8" s="1">
        <f t="shared" si="5"/>
        <v>1610</v>
      </c>
      <c r="G8" s="1">
        <v>1228</v>
      </c>
      <c r="H8" s="1">
        <v>1250</v>
      </c>
      <c r="I8" s="1">
        <v>1291</v>
      </c>
      <c r="J8" s="1">
        <f t="shared" si="6"/>
        <v>1539</v>
      </c>
      <c r="K8" s="1">
        <v>1164</v>
      </c>
      <c r="R8" s="1">
        <v>5478</v>
      </c>
      <c r="S8" s="1">
        <v>5587</v>
      </c>
      <c r="T8" s="1">
        <v>5512</v>
      </c>
      <c r="U8" s="1">
        <v>5308</v>
      </c>
      <c r="V8" s="1">
        <f>+V6*(K8/K6)</f>
        <v>5431.3507330652646</v>
      </c>
      <c r="W8" s="1">
        <f>+W6*(V8/V6)</f>
        <v>5051.1561817506972</v>
      </c>
      <c r="X8" s="1">
        <f t="shared" ref="X8:AD8" si="9">+X6*(W8/W6)</f>
        <v>4697.5752490281484</v>
      </c>
      <c r="Y8" s="1">
        <f t="shared" si="9"/>
        <v>4368.7449815961781</v>
      </c>
      <c r="Z8" s="1">
        <f t="shared" si="9"/>
        <v>4062.9328328844458</v>
      </c>
      <c r="AA8" s="1">
        <f t="shared" si="9"/>
        <v>3778.5275345825353</v>
      </c>
      <c r="AB8" s="1">
        <f t="shared" si="9"/>
        <v>3514.0306071617579</v>
      </c>
      <c r="AC8" s="1">
        <f t="shared" si="9"/>
        <v>3268.048464660435</v>
      </c>
      <c r="AD8" s="1">
        <f t="shared" si="9"/>
        <v>3039.2850721342047</v>
      </c>
    </row>
    <row r="9" spans="2:230">
      <c r="B9" s="1" t="s">
        <v>17</v>
      </c>
      <c r="C9" s="1">
        <f>+C6-SUM(C7:C8)</f>
        <v>286</v>
      </c>
      <c r="D9" s="1">
        <f>+D6-SUM(D7:D8)</f>
        <v>349</v>
      </c>
      <c r="E9" s="1">
        <f>+E6-SUM(E7:E8)</f>
        <v>345</v>
      </c>
      <c r="F9" s="1">
        <f t="shared" si="5"/>
        <v>486</v>
      </c>
      <c r="G9" s="1">
        <f>+G6-SUM(G7:G8)</f>
        <v>231</v>
      </c>
      <c r="H9" s="1">
        <f>+H6-SUM(H7:H8)</f>
        <v>354</v>
      </c>
      <c r="I9" s="1">
        <f>+I6-SUM(I7:I8)</f>
        <v>282</v>
      </c>
      <c r="J9" s="1">
        <f t="shared" si="6"/>
        <v>385</v>
      </c>
      <c r="K9" s="1">
        <f>+K6-SUM(K7:K8)</f>
        <v>235</v>
      </c>
      <c r="L9" s="1">
        <f>+K9*4</f>
        <v>940</v>
      </c>
      <c r="R9" s="1">
        <f>+R6-SUM(R7:R8)</f>
        <v>2518</v>
      </c>
      <c r="S9" s="1">
        <f>+S6-SUM(S7:S8)</f>
        <v>1054</v>
      </c>
      <c r="T9" s="1">
        <f>+T6-SUM(T7:T8)</f>
        <v>1466</v>
      </c>
      <c r="U9" s="1">
        <f>+U6-SUM(U7:U8)</f>
        <v>1252</v>
      </c>
      <c r="V9" s="1">
        <f>+V6-SUM(V7:V8)</f>
        <v>753.71656693473597</v>
      </c>
      <c r="W9" s="1">
        <f t="shared" ref="W9:AD9" si="10">+W6-SUM(W7:W8)</f>
        <v>700.9564072493049</v>
      </c>
      <c r="X9" s="1">
        <f t="shared" si="10"/>
        <v>651.88945874185265</v>
      </c>
      <c r="Y9" s="1">
        <f t="shared" si="10"/>
        <v>606.25719662992378</v>
      </c>
      <c r="Z9" s="1">
        <f t="shared" si="10"/>
        <v>563.81919286582706</v>
      </c>
      <c r="AA9" s="1">
        <f t="shared" si="10"/>
        <v>524.3518493652191</v>
      </c>
      <c r="AB9" s="1">
        <f t="shared" si="10"/>
        <v>487.64721990965518</v>
      </c>
      <c r="AC9" s="1">
        <f t="shared" si="10"/>
        <v>453.51191451597879</v>
      </c>
      <c r="AD9" s="1">
        <f t="shared" si="10"/>
        <v>421.76608049986044</v>
      </c>
    </row>
    <row r="10" spans="2:230">
      <c r="B10" s="1" t="s">
        <v>18</v>
      </c>
      <c r="C10" s="1">
        <v>84</v>
      </c>
      <c r="D10" s="1">
        <v>89</v>
      </c>
      <c r="E10" s="1">
        <v>89</v>
      </c>
      <c r="F10" s="1">
        <f t="shared" si="5"/>
        <v>82</v>
      </c>
      <c r="G10" s="1">
        <v>83</v>
      </c>
      <c r="H10" s="1">
        <v>86</v>
      </c>
      <c r="I10" s="1">
        <v>76</v>
      </c>
      <c r="J10" s="1">
        <f t="shared" si="6"/>
        <v>74</v>
      </c>
      <c r="K10" s="1">
        <v>76</v>
      </c>
      <c r="L10" s="1">
        <f>+K10*4</f>
        <v>304</v>
      </c>
      <c r="R10" s="1">
        <v>260</v>
      </c>
      <c r="S10" s="1">
        <v>304</v>
      </c>
      <c r="T10" s="1">
        <v>344</v>
      </c>
      <c r="U10" s="1">
        <v>319</v>
      </c>
      <c r="V10" s="1">
        <f>+K10*4</f>
        <v>304</v>
      </c>
      <c r="W10" s="1">
        <f>+V10</f>
        <v>304</v>
      </c>
      <c r="X10" s="1">
        <f>+W10</f>
        <v>304</v>
      </c>
      <c r="Y10" s="1">
        <f>+X10</f>
        <v>304</v>
      </c>
      <c r="Z10" s="1">
        <f>+Y10</f>
        <v>304</v>
      </c>
      <c r="AA10" s="1">
        <v>200</v>
      </c>
      <c r="AB10" s="1">
        <v>200</v>
      </c>
      <c r="AC10" s="1">
        <v>200</v>
      </c>
      <c r="AD10" s="1">
        <v>200</v>
      </c>
    </row>
    <row r="11" spans="2:230">
      <c r="B11" s="1" t="s">
        <v>19</v>
      </c>
      <c r="C11" s="1">
        <f>+C9-C10</f>
        <v>202</v>
      </c>
      <c r="D11" s="1">
        <f>+D9-D10</f>
        <v>260</v>
      </c>
      <c r="E11" s="1">
        <f>+E9-E10</f>
        <v>256</v>
      </c>
      <c r="F11" s="1">
        <f t="shared" si="5"/>
        <v>404</v>
      </c>
      <c r="G11" s="1">
        <f>+G9-G10</f>
        <v>148</v>
      </c>
      <c r="H11" s="1">
        <f>+H9-H10</f>
        <v>268</v>
      </c>
      <c r="I11" s="1">
        <f>+I9-I10</f>
        <v>206</v>
      </c>
      <c r="J11" s="1">
        <f t="shared" si="6"/>
        <v>311</v>
      </c>
      <c r="K11" s="1">
        <f>+K9-K10</f>
        <v>159</v>
      </c>
      <c r="R11" s="1">
        <f>+R9-R10</f>
        <v>2258</v>
      </c>
      <c r="S11" s="1">
        <f>+S9-S10</f>
        <v>750</v>
      </c>
      <c r="T11" s="1">
        <f>+T9-T10</f>
        <v>1122</v>
      </c>
      <c r="U11" s="1">
        <f>+U9-U10</f>
        <v>933</v>
      </c>
      <c r="V11" s="1">
        <f>+V9-V10</f>
        <v>449.71656693473597</v>
      </c>
      <c r="W11" s="1">
        <f t="shared" ref="W11:AD11" si="11">+W9-W10</f>
        <v>396.9564072493049</v>
      </c>
      <c r="X11" s="1">
        <f t="shared" si="11"/>
        <v>347.88945874185265</v>
      </c>
      <c r="Y11" s="1">
        <f t="shared" si="11"/>
        <v>302.25719662992378</v>
      </c>
      <c r="Z11" s="1">
        <f t="shared" si="11"/>
        <v>259.81919286582706</v>
      </c>
      <c r="AA11" s="1">
        <f t="shared" si="11"/>
        <v>324.3518493652191</v>
      </c>
      <c r="AB11" s="1">
        <f t="shared" si="11"/>
        <v>287.64721990965518</v>
      </c>
      <c r="AC11" s="1">
        <f t="shared" si="11"/>
        <v>253.51191451597879</v>
      </c>
      <c r="AD11" s="1">
        <f t="shared" si="11"/>
        <v>221.76608049986044</v>
      </c>
    </row>
    <row r="12" spans="2:230">
      <c r="B12" s="1" t="s">
        <v>20</v>
      </c>
      <c r="C12" s="1">
        <v>0</v>
      </c>
      <c r="D12" s="1">
        <v>16</v>
      </c>
      <c r="E12" s="1">
        <v>9</v>
      </c>
      <c r="F12" s="1">
        <f t="shared" si="5"/>
        <v>31</v>
      </c>
      <c r="G12" s="1">
        <v>-13</v>
      </c>
      <c r="H12" s="1">
        <v>14</v>
      </c>
      <c r="I12" s="1">
        <v>0</v>
      </c>
      <c r="J12" s="1">
        <f t="shared" si="6"/>
        <v>4</v>
      </c>
      <c r="K12" s="1">
        <v>-1</v>
      </c>
      <c r="R12" s="1">
        <v>281</v>
      </c>
      <c r="S12" s="1">
        <v>-39</v>
      </c>
      <c r="T12" s="1">
        <v>56</v>
      </c>
      <c r="U12" s="1">
        <v>5</v>
      </c>
      <c r="V12" s="1">
        <f>+V11*0.21</f>
        <v>94.440479056294549</v>
      </c>
      <c r="W12" s="1">
        <f t="shared" ref="W12:AD12" si="12">+W11*(V12/V11)</f>
        <v>83.360845522354026</v>
      </c>
      <c r="X12" s="1">
        <f t="shared" si="12"/>
        <v>73.056786335789056</v>
      </c>
      <c r="Y12" s="1">
        <f t="shared" si="12"/>
        <v>63.47401129228399</v>
      </c>
      <c r="Z12" s="1">
        <f t="shared" si="12"/>
        <v>54.562030501823678</v>
      </c>
      <c r="AA12" s="1">
        <f t="shared" si="12"/>
        <v>68.113888366696003</v>
      </c>
      <c r="AB12" s="1">
        <f t="shared" si="12"/>
        <v>60.405916181027578</v>
      </c>
      <c r="AC12" s="1">
        <f t="shared" si="12"/>
        <v>53.237502048355537</v>
      </c>
      <c r="AD12" s="1">
        <f t="shared" si="12"/>
        <v>46.570876904970682</v>
      </c>
    </row>
    <row r="13" spans="2:230">
      <c r="B13" s="1" t="s">
        <v>21</v>
      </c>
      <c r="C13" s="1">
        <f>+C11-C12</f>
        <v>202</v>
      </c>
      <c r="D13" s="1">
        <f>+D11-D12</f>
        <v>244</v>
      </c>
      <c r="E13" s="1">
        <f>+E11-E12</f>
        <v>247</v>
      </c>
      <c r="F13" s="1">
        <f t="shared" si="5"/>
        <v>373</v>
      </c>
      <c r="G13" s="1">
        <f>+G11-G12</f>
        <v>161</v>
      </c>
      <c r="H13" s="1">
        <f>+H11-H12</f>
        <v>254</v>
      </c>
      <c r="I13" s="1">
        <f>+I11-I12</f>
        <v>206</v>
      </c>
      <c r="J13" s="1">
        <f t="shared" si="6"/>
        <v>307</v>
      </c>
      <c r="K13" s="1">
        <f>+K11-K12</f>
        <v>160</v>
      </c>
      <c r="R13" s="1">
        <f>+R11-R12</f>
        <v>1977</v>
      </c>
      <c r="S13" s="1">
        <f>+S11-S12</f>
        <v>789</v>
      </c>
      <c r="T13" s="1">
        <f>+T11-T12</f>
        <v>1066</v>
      </c>
      <c r="U13" s="1">
        <f>+U11-U12</f>
        <v>928</v>
      </c>
      <c r="V13" s="1">
        <f>+V11-V12</f>
        <v>355.27608787844144</v>
      </c>
      <c r="W13" s="1">
        <f t="shared" ref="W13:AD13" si="13">+W11-W12</f>
        <v>313.5955617269509</v>
      </c>
      <c r="X13" s="1">
        <f t="shared" si="13"/>
        <v>274.83267240606358</v>
      </c>
      <c r="Y13" s="1">
        <f t="shared" si="13"/>
        <v>238.78318533763979</v>
      </c>
      <c r="Z13" s="1">
        <f t="shared" si="13"/>
        <v>205.25716236400339</v>
      </c>
      <c r="AA13" s="1">
        <f t="shared" si="13"/>
        <v>256.23796099852308</v>
      </c>
      <c r="AB13" s="1">
        <f t="shared" si="13"/>
        <v>227.2413037286276</v>
      </c>
      <c r="AC13" s="1">
        <f t="shared" si="13"/>
        <v>200.27441246762325</v>
      </c>
      <c r="AD13" s="1">
        <f t="shared" si="13"/>
        <v>175.19520359488976</v>
      </c>
      <c r="AE13" s="1">
        <f t="shared" ref="AE13:BJ13" si="14">+AD13*(1+$AG$16)</f>
        <v>171.69129952299195</v>
      </c>
      <c r="AF13" s="1">
        <f t="shared" si="14"/>
        <v>168.25747353253212</v>
      </c>
      <c r="AG13" s="1">
        <f t="shared" si="14"/>
        <v>164.89232406188148</v>
      </c>
      <c r="AH13" s="1">
        <f t="shared" si="14"/>
        <v>161.59447758064385</v>
      </c>
      <c r="AI13" s="1">
        <f t="shared" si="14"/>
        <v>158.36258802903097</v>
      </c>
      <c r="AJ13" s="1">
        <f t="shared" si="14"/>
        <v>155.19533626845035</v>
      </c>
      <c r="AK13" s="1">
        <f t="shared" si="14"/>
        <v>152.09142954308135</v>
      </c>
      <c r="AL13" s="1">
        <f t="shared" si="14"/>
        <v>149.04960095221972</v>
      </c>
      <c r="AM13" s="1">
        <f t="shared" si="14"/>
        <v>146.06860893317531</v>
      </c>
      <c r="AN13" s="1">
        <f t="shared" si="14"/>
        <v>143.14723675451179</v>
      </c>
      <c r="AO13" s="1">
        <f t="shared" si="14"/>
        <v>140.28429201942154</v>
      </c>
      <c r="AP13" s="1">
        <f t="shared" si="14"/>
        <v>137.47860617903311</v>
      </c>
      <c r="AQ13" s="1">
        <f t="shared" si="14"/>
        <v>134.72903405545244</v>
      </c>
      <c r="AR13" s="1">
        <f t="shared" si="14"/>
        <v>132.0344533743434</v>
      </c>
      <c r="AS13" s="1">
        <f t="shared" si="14"/>
        <v>129.39376430685653</v>
      </c>
      <c r="AT13" s="1">
        <f t="shared" si="14"/>
        <v>126.80588902071939</v>
      </c>
      <c r="AU13" s="1">
        <f t="shared" si="14"/>
        <v>124.269771240305</v>
      </c>
      <c r="AV13" s="1">
        <f t="shared" si="14"/>
        <v>121.7843758154989</v>
      </c>
      <c r="AW13" s="1">
        <f t="shared" si="14"/>
        <v>119.34868829918892</v>
      </c>
      <c r="AX13" s="1">
        <f t="shared" si="14"/>
        <v>116.96171453320514</v>
      </c>
      <c r="AY13" s="1">
        <f t="shared" si="14"/>
        <v>114.62248024254103</v>
      </c>
      <c r="AZ13" s="1">
        <f t="shared" si="14"/>
        <v>112.33003063769021</v>
      </c>
      <c r="BA13" s="1">
        <f t="shared" si="14"/>
        <v>110.0834300249364</v>
      </c>
      <c r="BB13" s="1">
        <f t="shared" si="14"/>
        <v>107.88176142443767</v>
      </c>
      <c r="BC13" s="1">
        <f t="shared" si="14"/>
        <v>105.72412619594891</v>
      </c>
      <c r="BD13" s="1">
        <f t="shared" si="14"/>
        <v>103.60964367202993</v>
      </c>
      <c r="BE13" s="1">
        <f t="shared" si="14"/>
        <v>101.53745079858933</v>
      </c>
      <c r="BF13" s="1">
        <f t="shared" si="14"/>
        <v>99.50670178261754</v>
      </c>
      <c r="BG13" s="1">
        <f t="shared" si="14"/>
        <v>97.516567746965194</v>
      </c>
      <c r="BH13" s="1">
        <f t="shared" si="14"/>
        <v>95.566236392025885</v>
      </c>
      <c r="BI13" s="1">
        <f t="shared" si="14"/>
        <v>93.654911664185363</v>
      </c>
      <c r="BJ13" s="1">
        <f t="shared" si="14"/>
        <v>91.78181343090165</v>
      </c>
      <c r="BK13" s="1">
        <f t="shared" ref="BK13:CP13" si="15">+BJ13*(1+$AG$16)</f>
        <v>89.946177162283618</v>
      </c>
      <c r="BL13" s="1">
        <f t="shared" si="15"/>
        <v>88.14725361903794</v>
      </c>
      <c r="BM13" s="1">
        <f t="shared" si="15"/>
        <v>86.384308546657181</v>
      </c>
      <c r="BN13" s="1">
        <f t="shared" si="15"/>
        <v>84.656622375724041</v>
      </c>
      <c r="BO13" s="1">
        <f t="shared" si="15"/>
        <v>82.963489928209555</v>
      </c>
      <c r="BP13" s="1">
        <f t="shared" si="15"/>
        <v>81.304220129645358</v>
      </c>
      <c r="BQ13" s="1">
        <f t="shared" si="15"/>
        <v>79.67813572705245</v>
      </c>
      <c r="BR13" s="1">
        <f t="shared" si="15"/>
        <v>78.084573012511399</v>
      </c>
      <c r="BS13" s="1">
        <f t="shared" si="15"/>
        <v>76.522881552261168</v>
      </c>
      <c r="BT13" s="1">
        <f t="shared" si="15"/>
        <v>74.992423921215945</v>
      </c>
      <c r="BU13" s="1">
        <f t="shared" si="15"/>
        <v>73.492575442791619</v>
      </c>
      <c r="BV13" s="1">
        <f t="shared" si="15"/>
        <v>72.022723933935779</v>
      </c>
      <c r="BW13" s="1">
        <f t="shared" si="15"/>
        <v>70.582269455257062</v>
      </c>
      <c r="BX13" s="1">
        <f t="shared" si="15"/>
        <v>69.170624066151916</v>
      </c>
      <c r="BY13" s="1">
        <f t="shared" si="15"/>
        <v>67.787211584828881</v>
      </c>
      <c r="BZ13" s="1">
        <f t="shared" si="15"/>
        <v>66.431467353132305</v>
      </c>
      <c r="CA13" s="1">
        <f t="shared" si="15"/>
        <v>65.102838006069661</v>
      </c>
      <c r="CB13" s="1">
        <f t="shared" si="15"/>
        <v>63.800781245948265</v>
      </c>
      <c r="CC13" s="1">
        <f t="shared" si="15"/>
        <v>62.524765621029296</v>
      </c>
      <c r="CD13" s="1">
        <f t="shared" si="15"/>
        <v>61.274270308608706</v>
      </c>
      <c r="CE13" s="1">
        <f t="shared" si="15"/>
        <v>60.04878490243653</v>
      </c>
      <c r="CF13" s="1">
        <f t="shared" si="15"/>
        <v>58.847809204387801</v>
      </c>
      <c r="CG13" s="1">
        <f t="shared" si="15"/>
        <v>57.670853020300044</v>
      </c>
      <c r="CH13" s="1">
        <f t="shared" si="15"/>
        <v>56.517435959894044</v>
      </c>
      <c r="CI13" s="1">
        <f t="shared" si="15"/>
        <v>55.387087240696161</v>
      </c>
      <c r="CJ13" s="1">
        <f t="shared" si="15"/>
        <v>54.279345495882239</v>
      </c>
      <c r="CK13" s="1">
        <f t="shared" si="15"/>
        <v>53.193758585964595</v>
      </c>
      <c r="CL13" s="1">
        <f t="shared" si="15"/>
        <v>52.129883414245299</v>
      </c>
      <c r="CM13" s="1">
        <f t="shared" si="15"/>
        <v>51.087285745960394</v>
      </c>
      <c r="CN13" s="1">
        <f t="shared" si="15"/>
        <v>50.065540031041188</v>
      </c>
      <c r="CO13" s="1">
        <f t="shared" si="15"/>
        <v>49.064229230420366</v>
      </c>
      <c r="CP13" s="1">
        <f t="shared" si="15"/>
        <v>48.082944645811956</v>
      </c>
      <c r="CQ13" s="1">
        <f t="shared" ref="CQ13:DV13" si="16">+CP13*(1+$AG$16)</f>
        <v>47.121285752895716</v>
      </c>
      <c r="CR13" s="1">
        <f t="shared" si="16"/>
        <v>46.178860037837801</v>
      </c>
      <c r="CS13" s="1">
        <f t="shared" si="16"/>
        <v>45.255282837081047</v>
      </c>
      <c r="CT13" s="1">
        <f t="shared" si="16"/>
        <v>44.350177180339429</v>
      </c>
      <c r="CU13" s="1">
        <f t="shared" si="16"/>
        <v>43.463173636732641</v>
      </c>
      <c r="CV13" s="1">
        <f t="shared" si="16"/>
        <v>42.59391016399799</v>
      </c>
      <c r="CW13" s="1">
        <f t="shared" si="16"/>
        <v>41.74203196071803</v>
      </c>
      <c r="CX13" s="1">
        <f t="shared" si="16"/>
        <v>40.907191321503667</v>
      </c>
      <c r="CY13" s="1">
        <f t="shared" si="16"/>
        <v>40.089047495073594</v>
      </c>
      <c r="CZ13" s="1">
        <f t="shared" si="16"/>
        <v>39.287266545172123</v>
      </c>
      <c r="DA13" s="1">
        <f t="shared" si="16"/>
        <v>38.501521214268678</v>
      </c>
      <c r="DB13" s="1">
        <f t="shared" si="16"/>
        <v>37.731490789983305</v>
      </c>
      <c r="DC13" s="1">
        <f t="shared" si="16"/>
        <v>36.976860974183637</v>
      </c>
      <c r="DD13" s="1">
        <f t="shared" si="16"/>
        <v>36.237323754699965</v>
      </c>
      <c r="DE13" s="1">
        <f t="shared" si="16"/>
        <v>35.512577279605964</v>
      </c>
      <c r="DF13" s="1">
        <f t="shared" si="16"/>
        <v>34.802325734013841</v>
      </c>
      <c r="DG13" s="1">
        <f t="shared" si="16"/>
        <v>34.106279219333565</v>
      </c>
      <c r="DH13" s="1">
        <f t="shared" si="16"/>
        <v>33.42415363494689</v>
      </c>
      <c r="DI13" s="1">
        <f t="shared" si="16"/>
        <v>32.75567056224795</v>
      </c>
      <c r="DJ13" s="1">
        <f t="shared" si="16"/>
        <v>32.100557151002988</v>
      </c>
      <c r="DK13" s="1">
        <f t="shared" si="16"/>
        <v>31.458546007982928</v>
      </c>
      <c r="DL13" s="1">
        <f t="shared" si="16"/>
        <v>30.829375087823269</v>
      </c>
      <c r="DM13" s="1">
        <f t="shared" si="16"/>
        <v>30.212787586066803</v>
      </c>
      <c r="DN13" s="1">
        <f t="shared" si="16"/>
        <v>29.608531834345467</v>
      </c>
      <c r="DO13" s="1">
        <f t="shared" si="16"/>
        <v>29.016361197658558</v>
      </c>
      <c r="DP13" s="1">
        <f t="shared" si="16"/>
        <v>28.436033973705385</v>
      </c>
      <c r="DQ13" s="1">
        <f t="shared" si="16"/>
        <v>27.867313294231277</v>
      </c>
      <c r="DR13" s="1">
        <f t="shared" si="16"/>
        <v>27.309967028346652</v>
      </c>
      <c r="DS13" s="1">
        <f t="shared" si="16"/>
        <v>26.763767687779719</v>
      </c>
      <c r="DT13" s="1">
        <f t="shared" si="16"/>
        <v>26.228492334024125</v>
      </c>
      <c r="DU13" s="1">
        <f t="shared" si="16"/>
        <v>25.703922487343643</v>
      </c>
      <c r="DV13" s="1">
        <f t="shared" si="16"/>
        <v>25.189844037596771</v>
      </c>
      <c r="DW13" s="1">
        <f t="shared" ref="DW13:FB13" si="17">+DV13*(1+$AG$16)</f>
        <v>24.686047156844836</v>
      </c>
      <c r="DX13" s="1">
        <f t="shared" si="17"/>
        <v>24.19232621370794</v>
      </c>
      <c r="DY13" s="1">
        <f t="shared" si="17"/>
        <v>23.70847968943378</v>
      </c>
      <c r="DZ13" s="1">
        <f t="shared" si="17"/>
        <v>23.234310095645103</v>
      </c>
      <c r="EA13" s="1">
        <f t="shared" si="17"/>
        <v>22.769623893732202</v>
      </c>
      <c r="EB13" s="1">
        <f t="shared" si="17"/>
        <v>22.314231415857559</v>
      </c>
      <c r="EC13" s="1">
        <f t="shared" si="17"/>
        <v>21.867946787540408</v>
      </c>
      <c r="ED13" s="1">
        <f t="shared" si="17"/>
        <v>21.4305878517896</v>
      </c>
      <c r="EE13" s="1">
        <f t="shared" si="17"/>
        <v>21.001976094753807</v>
      </c>
      <c r="EF13" s="1">
        <f t="shared" si="17"/>
        <v>20.58193657285873</v>
      </c>
      <c r="EG13" s="1">
        <f t="shared" si="17"/>
        <v>20.170297841401556</v>
      </c>
      <c r="EH13" s="1">
        <f t="shared" si="17"/>
        <v>19.766891884573525</v>
      </c>
      <c r="EI13" s="1">
        <f t="shared" si="17"/>
        <v>19.371554046882054</v>
      </c>
      <c r="EJ13" s="1">
        <f t="shared" si="17"/>
        <v>18.984122965944412</v>
      </c>
      <c r="EK13" s="1">
        <f t="shared" si="17"/>
        <v>18.604440506625522</v>
      </c>
      <c r="EL13" s="1">
        <f t="shared" si="17"/>
        <v>18.232351696493012</v>
      </c>
      <c r="EM13" s="1">
        <f t="shared" si="17"/>
        <v>17.867704662563153</v>
      </c>
      <c r="EN13" s="1">
        <f t="shared" si="17"/>
        <v>17.510350569311889</v>
      </c>
      <c r="EO13" s="1">
        <f t="shared" si="17"/>
        <v>17.16014355792565</v>
      </c>
      <c r="EP13" s="1">
        <f t="shared" si="17"/>
        <v>16.816940686767136</v>
      </c>
      <c r="EQ13" s="1">
        <f t="shared" si="17"/>
        <v>16.480601873031794</v>
      </c>
      <c r="ER13" s="1">
        <f t="shared" si="17"/>
        <v>16.15098983557116</v>
      </c>
      <c r="ES13" s="1">
        <f t="shared" si="17"/>
        <v>15.827970038859736</v>
      </c>
      <c r="ET13" s="1">
        <f t="shared" si="17"/>
        <v>15.511410638082541</v>
      </c>
      <c r="EU13" s="1">
        <f t="shared" si="17"/>
        <v>15.201182425320891</v>
      </c>
      <c r="EV13" s="1">
        <f t="shared" si="17"/>
        <v>14.897158776814473</v>
      </c>
      <c r="EW13" s="1">
        <f t="shared" si="17"/>
        <v>14.599215601278184</v>
      </c>
      <c r="EX13" s="1">
        <f t="shared" si="17"/>
        <v>14.30723128925262</v>
      </c>
      <c r="EY13" s="1">
        <f t="shared" si="17"/>
        <v>14.021086663467567</v>
      </c>
      <c r="EZ13" s="1">
        <f t="shared" si="17"/>
        <v>13.740664930198216</v>
      </c>
      <c r="FA13" s="1">
        <f t="shared" si="17"/>
        <v>13.465851631594251</v>
      </c>
      <c r="FB13" s="1">
        <f t="shared" si="17"/>
        <v>13.196534598962366</v>
      </c>
      <c r="FC13" s="1">
        <f t="shared" ref="FC13:GH13" si="18">+FB13*(1+$AG$16)</f>
        <v>12.932603906983118</v>
      </c>
      <c r="FD13" s="1">
        <f t="shared" si="18"/>
        <v>12.673951828843455</v>
      </c>
      <c r="FE13" s="1">
        <f t="shared" si="18"/>
        <v>12.420472792266585</v>
      </c>
      <c r="FF13" s="1">
        <f t="shared" si="18"/>
        <v>12.172063336421253</v>
      </c>
      <c r="FG13" s="1">
        <f t="shared" si="18"/>
        <v>11.928622069692828</v>
      </c>
      <c r="FH13" s="1">
        <f t="shared" si="18"/>
        <v>11.690049628298972</v>
      </c>
      <c r="FI13" s="1">
        <f t="shared" si="18"/>
        <v>11.456248635732992</v>
      </c>
      <c r="FJ13" s="1">
        <f t="shared" si="18"/>
        <v>11.227123663018332</v>
      </c>
      <c r="FK13" s="1">
        <f t="shared" si="18"/>
        <v>11.002581189757965</v>
      </c>
      <c r="FL13" s="1">
        <f t="shared" si="18"/>
        <v>10.782529565962806</v>
      </c>
      <c r="FM13" s="1">
        <f t="shared" si="18"/>
        <v>10.566878974643549</v>
      </c>
      <c r="FN13" s="1">
        <f t="shared" si="18"/>
        <v>10.355541395150677</v>
      </c>
      <c r="FO13" s="1">
        <f t="shared" si="18"/>
        <v>10.148430567247663</v>
      </c>
      <c r="FP13" s="1">
        <f t="shared" si="18"/>
        <v>9.9454619559027098</v>
      </c>
      <c r="FQ13" s="1">
        <f t="shared" si="18"/>
        <v>9.746552716784656</v>
      </c>
      <c r="FR13" s="1">
        <f t="shared" si="18"/>
        <v>9.5516216624489623</v>
      </c>
      <c r="FS13" s="1">
        <f t="shared" si="18"/>
        <v>9.3605892291999826</v>
      </c>
      <c r="FT13" s="1">
        <f t="shared" si="18"/>
        <v>9.1733774446159835</v>
      </c>
      <c r="FU13" s="1">
        <f t="shared" si="18"/>
        <v>8.9899098957236632</v>
      </c>
      <c r="FV13" s="1">
        <f t="shared" si="18"/>
        <v>8.8101116978091891</v>
      </c>
      <c r="FW13" s="1">
        <f t="shared" si="18"/>
        <v>8.633909463853005</v>
      </c>
      <c r="FX13" s="1">
        <f t="shared" si="18"/>
        <v>8.4612312745759439</v>
      </c>
      <c r="FY13" s="1">
        <f t="shared" si="18"/>
        <v>8.2920066490844242</v>
      </c>
      <c r="FZ13" s="1">
        <f t="shared" si="18"/>
        <v>8.1261665161027352</v>
      </c>
      <c r="GA13" s="1">
        <f t="shared" si="18"/>
        <v>7.96364318578068</v>
      </c>
      <c r="GB13" s="1">
        <f t="shared" si="18"/>
        <v>7.8043703220650666</v>
      </c>
      <c r="GC13" s="1">
        <f t="shared" si="18"/>
        <v>7.6482829156237653</v>
      </c>
      <c r="GD13" s="1">
        <f t="shared" si="18"/>
        <v>7.4953172573112896</v>
      </c>
      <c r="GE13" s="1">
        <f t="shared" si="18"/>
        <v>7.3454109121650637</v>
      </c>
      <c r="GF13" s="1">
        <f t="shared" si="18"/>
        <v>7.1985026939217622</v>
      </c>
      <c r="GG13" s="1">
        <f t="shared" si="18"/>
        <v>7.0545326400433268</v>
      </c>
      <c r="GH13" s="1">
        <f t="shared" si="18"/>
        <v>6.91344198724246</v>
      </c>
      <c r="GI13" s="1">
        <f t="shared" ref="GI13:HN13" si="19">+GH13*(1+$AG$16)</f>
        <v>6.7751731474976102</v>
      </c>
      <c r="GJ13" s="1">
        <f t="shared" si="19"/>
        <v>6.6396696845476582</v>
      </c>
      <c r="GK13" s="1">
        <f t="shared" si="19"/>
        <v>6.506876290856705</v>
      </c>
      <c r="GL13" s="1">
        <f t="shared" si="19"/>
        <v>6.3767387650395708</v>
      </c>
      <c r="GM13" s="1">
        <f t="shared" si="19"/>
        <v>6.2492039897387794</v>
      </c>
      <c r="GN13" s="1">
        <f t="shared" si="19"/>
        <v>6.1242199099440038</v>
      </c>
      <c r="GO13" s="1">
        <f t="shared" si="19"/>
        <v>6.0017355117451237</v>
      </c>
      <c r="GP13" s="1">
        <f t="shared" si="19"/>
        <v>5.8817008015102212</v>
      </c>
      <c r="GQ13" s="1">
        <f t="shared" si="19"/>
        <v>5.7640667854800167</v>
      </c>
      <c r="GR13" s="1">
        <f t="shared" si="19"/>
        <v>5.6487854497704166</v>
      </c>
      <c r="GS13" s="1">
        <f t="shared" si="19"/>
        <v>5.535809740775008</v>
      </c>
      <c r="GT13" s="1">
        <f t="shared" si="19"/>
        <v>5.4250935459595073</v>
      </c>
      <c r="GU13" s="1">
        <f t="shared" si="19"/>
        <v>5.3165916750403168</v>
      </c>
      <c r="GV13" s="1">
        <f t="shared" si="19"/>
        <v>5.2102598415395107</v>
      </c>
      <c r="GW13" s="1">
        <f t="shared" si="19"/>
        <v>5.1060546447087205</v>
      </c>
      <c r="GX13" s="1">
        <f t="shared" si="19"/>
        <v>5.003933551814546</v>
      </c>
      <c r="GY13" s="1">
        <f t="shared" si="19"/>
        <v>4.9038548807782547</v>
      </c>
      <c r="GZ13" s="1">
        <f t="shared" si="19"/>
        <v>4.8057777831626893</v>
      </c>
      <c r="HA13" s="1">
        <f t="shared" si="19"/>
        <v>4.7096622274994351</v>
      </c>
      <c r="HB13" s="1">
        <f t="shared" si="19"/>
        <v>4.6154689829494462</v>
      </c>
      <c r="HC13" s="1">
        <f t="shared" si="19"/>
        <v>4.5231596032904573</v>
      </c>
      <c r="HD13" s="1">
        <f t="shared" si="19"/>
        <v>4.4326964112246481</v>
      </c>
      <c r="HE13" s="1">
        <f t="shared" si="19"/>
        <v>4.3440424830001554</v>
      </c>
      <c r="HF13" s="1">
        <f t="shared" si="19"/>
        <v>4.2571616333401519</v>
      </c>
      <c r="HG13" s="1">
        <f t="shared" si="19"/>
        <v>4.1720184006733492</v>
      </c>
      <c r="HH13" s="1">
        <f t="shared" si="19"/>
        <v>4.088578032659882</v>
      </c>
      <c r="HI13" s="1">
        <f t="shared" si="19"/>
        <v>4.0068064720066845</v>
      </c>
      <c r="HJ13" s="1">
        <f t="shared" si="19"/>
        <v>3.9266703425665508</v>
      </c>
      <c r="HK13" s="1">
        <f t="shared" si="19"/>
        <v>3.8481369357152198</v>
      </c>
      <c r="HL13" s="1">
        <f t="shared" si="19"/>
        <v>3.7711741970009154</v>
      </c>
      <c r="HM13" s="1">
        <f t="shared" si="19"/>
        <v>3.6957507130608969</v>
      </c>
      <c r="HN13" s="1">
        <f t="shared" si="19"/>
        <v>3.6218356987996789</v>
      </c>
      <c r="HO13" s="1">
        <f t="shared" ref="HO13:HV13" si="20">+HN13*(1+$AG$16)</f>
        <v>3.5493989848236853</v>
      </c>
      <c r="HP13" s="1">
        <f t="shared" si="20"/>
        <v>3.4784110051272115</v>
      </c>
      <c r="HQ13" s="1">
        <f t="shared" si="20"/>
        <v>3.408842785024667</v>
      </c>
      <c r="HR13" s="1">
        <f t="shared" si="20"/>
        <v>3.3406659293241736</v>
      </c>
      <c r="HS13" s="1">
        <f t="shared" si="20"/>
        <v>3.27385261073769</v>
      </c>
      <c r="HT13" s="1">
        <f t="shared" si="20"/>
        <v>3.2083755585229361</v>
      </c>
      <c r="HU13" s="1">
        <f t="shared" si="20"/>
        <v>3.1442080473524774</v>
      </c>
      <c r="HV13" s="1">
        <f t="shared" si="20"/>
        <v>3.081323886405428</v>
      </c>
    </row>
    <row r="14" spans="2:230">
      <c r="B14" s="1" t="s">
        <v>22</v>
      </c>
    </row>
    <row r="15" spans="2:230">
      <c r="AF15" s="1" t="s">
        <v>70</v>
      </c>
      <c r="AG15" s="4">
        <v>-0.15</v>
      </c>
    </row>
    <row r="16" spans="2:230">
      <c r="B16" s="6" t="s">
        <v>31</v>
      </c>
      <c r="AF16" s="4" t="s">
        <v>24</v>
      </c>
      <c r="AG16" s="4">
        <v>-0.02</v>
      </c>
    </row>
    <row r="17" spans="2:33" s="4" customFormat="1">
      <c r="B17" s="1" t="s">
        <v>1</v>
      </c>
      <c r="G17" s="4">
        <f t="shared" ref="G17:K19" si="21">+G4/C4-1</f>
        <v>-5.2757078986587214E-2</v>
      </c>
      <c r="H17" s="4">
        <f t="shared" si="21"/>
        <v>-4.1598694942903802E-2</v>
      </c>
      <c r="I17" s="4">
        <f t="shared" si="21"/>
        <v>-8.7431693989071024E-2</v>
      </c>
      <c r="J17" s="4">
        <f t="shared" si="21"/>
        <v>-9.3695271453590245E-2</v>
      </c>
      <c r="K17" s="4">
        <f t="shared" si="21"/>
        <v>-4.0591567023285036E-2</v>
      </c>
      <c r="S17" s="4">
        <f t="shared" ref="S17:U19" si="22">+S4/R4-1</f>
        <v>-7.0921985815602828E-2</v>
      </c>
      <c r="T17" s="4">
        <f t="shared" si="22"/>
        <v>-3.3506205932055222E-2</v>
      </c>
      <c r="U17" s="4">
        <f t="shared" si="22"/>
        <v>-7.2410466658627715E-2</v>
      </c>
      <c r="AF17" s="1" t="s">
        <v>25</v>
      </c>
      <c r="AG17" s="5">
        <v>0.1</v>
      </c>
    </row>
    <row r="18" spans="2:33" s="4" customFormat="1">
      <c r="B18" s="1" t="s">
        <v>14</v>
      </c>
      <c r="G18" s="4">
        <f t="shared" si="21"/>
        <v>-5.555555555555558E-2</v>
      </c>
      <c r="H18" s="4">
        <f t="shared" si="21"/>
        <v>-4.6082949308755783E-2</v>
      </c>
      <c r="I18" s="4">
        <f t="shared" si="21"/>
        <v>-3.7914691943127909E-2</v>
      </c>
      <c r="J18" s="4">
        <f t="shared" si="21"/>
        <v>-9.7560975609756073E-2</v>
      </c>
      <c r="K18" s="4">
        <f t="shared" si="21"/>
        <v>-9.8039215686274495E-2</v>
      </c>
      <c r="S18" s="4">
        <f t="shared" si="22"/>
        <v>-2.5987525987525961E-2</v>
      </c>
      <c r="T18" s="4">
        <f t="shared" si="22"/>
        <v>-5.0160085378868735E-2</v>
      </c>
      <c r="U18" s="4">
        <f t="shared" si="22"/>
        <v>-6.0674157303370779E-2</v>
      </c>
      <c r="AF18" s="1" t="s">
        <v>26</v>
      </c>
      <c r="AG18" s="1">
        <f>NPV(AG17,V13:HW13)</f>
        <v>2114.9366681983547</v>
      </c>
    </row>
    <row r="19" spans="2:33" s="4" customFormat="1">
      <c r="B19" s="1" t="s">
        <v>15</v>
      </c>
      <c r="G19" s="4">
        <f t="shared" si="21"/>
        <v>-5.2926351162139507E-2</v>
      </c>
      <c r="H19" s="4">
        <f t="shared" si="21"/>
        <v>-4.1848523748395428E-2</v>
      </c>
      <c r="I19" s="4">
        <f t="shared" si="21"/>
        <v>-8.4854464726196399E-2</v>
      </c>
      <c r="J19" s="4">
        <f t="shared" si="21"/>
        <v>-9.385493619879115E-2</v>
      </c>
      <c r="K19" s="4">
        <f t="shared" si="21"/>
        <v>-4.4056771141336437E-2</v>
      </c>
      <c r="S19" s="4">
        <f t="shared" si="22"/>
        <v>-6.8697576287757967E-2</v>
      </c>
      <c r="T19" s="4">
        <f t="shared" si="22"/>
        <v>-3.4368438501491849E-2</v>
      </c>
      <c r="U19" s="4">
        <f t="shared" si="22"/>
        <v>-7.1812771801327502E-2</v>
      </c>
      <c r="V19" s="4">
        <f t="shared" ref="V19:AD19" si="23">+V6/U6-1</f>
        <v>-6.9999999999999951E-2</v>
      </c>
      <c r="W19" s="4">
        <f t="shared" si="23"/>
        <v>-6.999999999999984E-2</v>
      </c>
      <c r="X19" s="4">
        <f t="shared" si="23"/>
        <v>-7.0000000000000062E-2</v>
      </c>
      <c r="Y19" s="4">
        <f t="shared" si="23"/>
        <v>-7.0000000000000062E-2</v>
      </c>
      <c r="Z19" s="4">
        <f t="shared" si="23"/>
        <v>-7.0000000000000062E-2</v>
      </c>
      <c r="AA19" s="4">
        <f t="shared" si="23"/>
        <v>-6.999999999999984E-2</v>
      </c>
      <c r="AB19" s="4">
        <f t="shared" si="23"/>
        <v>-6.9999999999999951E-2</v>
      </c>
      <c r="AC19" s="4">
        <f t="shared" si="23"/>
        <v>-6.9999999999999951E-2</v>
      </c>
      <c r="AD19" s="4">
        <f t="shared" si="23"/>
        <v>-6.9999999999999951E-2</v>
      </c>
      <c r="AF19" s="1" t="s">
        <v>27</v>
      </c>
      <c r="AG19" s="1">
        <f>+Main!E4</f>
        <v>112.041679</v>
      </c>
    </row>
    <row r="20" spans="2:33" s="4" customFormat="1">
      <c r="B20" s="4" t="s">
        <v>23</v>
      </c>
      <c r="C20" s="4">
        <f t="shared" ref="C20:K20" si="24">(C6-C7)/C6</f>
        <v>0.42677121254550549</v>
      </c>
      <c r="D20" s="4">
        <f t="shared" si="24"/>
        <v>0.42439024390243901</v>
      </c>
      <c r="E20" s="4">
        <f t="shared" si="24"/>
        <v>0.42057227429699062</v>
      </c>
      <c r="F20" s="4">
        <f t="shared" si="24"/>
        <v>0.3519140362659503</v>
      </c>
      <c r="G20" s="4">
        <f t="shared" si="24"/>
        <v>0.43140153755174454</v>
      </c>
      <c r="H20" s="4">
        <f t="shared" si="24"/>
        <v>0.42979635584137194</v>
      </c>
      <c r="I20" s="4">
        <f t="shared" si="24"/>
        <v>0.42398921832884096</v>
      </c>
      <c r="J20" s="4">
        <f t="shared" si="24"/>
        <v>0.35649434871224756</v>
      </c>
      <c r="K20" s="4">
        <f t="shared" si="24"/>
        <v>0.43272502319826789</v>
      </c>
      <c r="R20" s="4">
        <f t="shared" ref="R20:AD20" si="25">(R6-R7)/R6</f>
        <v>0.41146503370555243</v>
      </c>
      <c r="S20" s="4">
        <f t="shared" si="25"/>
        <v>0.36694662393634658</v>
      </c>
      <c r="T20" s="4">
        <f t="shared" si="25"/>
        <v>0.39929045548180364</v>
      </c>
      <c r="U20" s="4">
        <f t="shared" si="25"/>
        <v>0.40441403119413105</v>
      </c>
      <c r="V20" s="4">
        <f t="shared" si="25"/>
        <v>0.41000000000000003</v>
      </c>
      <c r="W20" s="4">
        <f t="shared" si="25"/>
        <v>0.41000000000000009</v>
      </c>
      <c r="X20" s="4">
        <f t="shared" si="25"/>
        <v>0.41000000000000003</v>
      </c>
      <c r="Y20" s="4">
        <f t="shared" si="25"/>
        <v>0.41000000000000003</v>
      </c>
      <c r="Z20" s="4">
        <f t="shared" si="25"/>
        <v>0.41000000000000003</v>
      </c>
      <c r="AA20" s="4">
        <f t="shared" si="25"/>
        <v>0.41</v>
      </c>
      <c r="AB20" s="4">
        <f t="shared" si="25"/>
        <v>0.41000000000000009</v>
      </c>
      <c r="AC20" s="4">
        <f t="shared" si="25"/>
        <v>0.41000000000000003</v>
      </c>
      <c r="AD20" s="4">
        <f t="shared" si="25"/>
        <v>0.41000000000000003</v>
      </c>
      <c r="AF20" s="8" t="s">
        <v>28</v>
      </c>
      <c r="AG20" s="8">
        <f>+AG18/AG19</f>
        <v>18.876338582879988</v>
      </c>
    </row>
    <row r="21" spans="2:33" s="4" customFormat="1">
      <c r="B21" s="4" t="s">
        <v>32</v>
      </c>
      <c r="C21" s="4">
        <f t="shared" ref="C21:K21" si="26">+C9/C4</f>
        <v>8.5245901639344257E-2</v>
      </c>
      <c r="D21" s="4">
        <f t="shared" si="26"/>
        <v>9.4888526373028817E-2</v>
      </c>
      <c r="E21" s="4">
        <f t="shared" si="26"/>
        <v>8.9773614363778301E-2</v>
      </c>
      <c r="F21" s="4">
        <f t="shared" si="26"/>
        <v>8.5113835376532401E-2</v>
      </c>
      <c r="G21" s="4">
        <f t="shared" si="26"/>
        <v>7.268722466960352E-2</v>
      </c>
      <c r="H21" s="4">
        <f t="shared" si="26"/>
        <v>0.10042553191489362</v>
      </c>
      <c r="I21" s="4">
        <f t="shared" si="26"/>
        <v>8.0410607356715139E-2</v>
      </c>
      <c r="J21" s="4">
        <f t="shared" si="26"/>
        <v>7.4396135265700478E-2</v>
      </c>
      <c r="K21" s="4">
        <f t="shared" si="26"/>
        <v>7.7074450639553954E-2</v>
      </c>
      <c r="R21" s="4">
        <f>+R9/R4</f>
        <v>0.13632180174327324</v>
      </c>
      <c r="S21" s="4">
        <f>+S9/S4</f>
        <v>6.1418332265019519E-2</v>
      </c>
      <c r="T21" s="4">
        <f>+T9/T4</f>
        <v>8.8387796937175925E-2</v>
      </c>
      <c r="U21" s="4">
        <f t="shared" ref="U21:AD21" si="27">+U9/U6</f>
        <v>7.7183897416928673E-2</v>
      </c>
      <c r="V21" s="4">
        <f t="shared" si="27"/>
        <v>4.9962882771419762E-2</v>
      </c>
      <c r="W21" s="4">
        <f t="shared" si="27"/>
        <v>4.9962882771419789E-2</v>
      </c>
      <c r="X21" s="4">
        <f t="shared" si="27"/>
        <v>4.996288277141972E-2</v>
      </c>
      <c r="Y21" s="4">
        <f t="shared" si="27"/>
        <v>4.9962882771419782E-2</v>
      </c>
      <c r="Z21" s="4">
        <f t="shared" si="27"/>
        <v>4.9962882771419602E-2</v>
      </c>
      <c r="AA21" s="4">
        <f t="shared" si="27"/>
        <v>4.9962882771419588E-2</v>
      </c>
      <c r="AB21" s="4">
        <f t="shared" si="27"/>
        <v>4.9962882771419734E-2</v>
      </c>
      <c r="AC21" s="4">
        <f t="shared" si="27"/>
        <v>4.9962882771419671E-2</v>
      </c>
      <c r="AD21" s="4">
        <f t="shared" si="27"/>
        <v>4.9962882771419685E-2</v>
      </c>
      <c r="AF21" s="1" t="s">
        <v>29</v>
      </c>
      <c r="AG21" s="1">
        <f>+Main!E3</f>
        <v>13.89</v>
      </c>
    </row>
    <row r="22" spans="2:33">
      <c r="AF22" s="1" t="s">
        <v>30</v>
      </c>
      <c r="AG22" s="4">
        <f>+AG20/AG21-1</f>
        <v>0.3589876589546428</v>
      </c>
    </row>
    <row r="23" spans="2:33">
      <c r="K23" s="1">
        <f>+K24-K34-K36-K39</f>
        <v>-1919</v>
      </c>
      <c r="U23" s="1">
        <f>+K23</f>
        <v>-1919</v>
      </c>
      <c r="V23" s="1">
        <f>+U23*0.99</f>
        <v>-1899.81</v>
      </c>
      <c r="W23" s="1">
        <f t="shared" ref="W23:AD23" si="28">+V23*0.99</f>
        <v>-1880.8118999999999</v>
      </c>
      <c r="X23" s="1">
        <f t="shared" si="28"/>
        <v>-1862.0037809999999</v>
      </c>
      <c r="Y23" s="1">
        <f t="shared" si="28"/>
        <v>-1843.3837431899999</v>
      </c>
      <c r="Z23" s="1">
        <f t="shared" si="28"/>
        <v>-1824.9499057580999</v>
      </c>
      <c r="AA23" s="1">
        <f t="shared" si="28"/>
        <v>-1806.7004067005189</v>
      </c>
      <c r="AB23" s="1">
        <f t="shared" si="28"/>
        <v>-1788.6334026335137</v>
      </c>
      <c r="AC23" s="1">
        <f t="shared" si="28"/>
        <v>-1770.7470686071786</v>
      </c>
      <c r="AD23" s="1">
        <f t="shared" si="28"/>
        <v>-1753.0395979211069</v>
      </c>
    </row>
    <row r="24" spans="2:33">
      <c r="B24" s="1" t="s">
        <v>49</v>
      </c>
      <c r="D24" s="1">
        <v>204</v>
      </c>
      <c r="E24" s="1">
        <v>190</v>
      </c>
      <c r="F24" s="1">
        <v>183</v>
      </c>
      <c r="G24" s="1">
        <v>228</v>
      </c>
      <c r="H24" s="1">
        <v>231</v>
      </c>
      <c r="I24" s="1">
        <v>174</v>
      </c>
      <c r="J24" s="1">
        <v>134</v>
      </c>
      <c r="K24" s="1">
        <v>153</v>
      </c>
      <c r="P24" s="1">
        <v>934</v>
      </c>
      <c r="Q24" s="1">
        <v>723</v>
      </c>
      <c r="R24" s="1">
        <v>2271</v>
      </c>
      <c r="S24" s="1">
        <v>153</v>
      </c>
      <c r="T24" s="1">
        <f>+F24</f>
        <v>183</v>
      </c>
      <c r="U24" s="1">
        <f>+J24</f>
        <v>134</v>
      </c>
    </row>
    <row r="25" spans="2:33">
      <c r="B25" s="1" t="s">
        <v>50</v>
      </c>
      <c r="D25" s="1">
        <v>3474</v>
      </c>
      <c r="E25" s="1">
        <v>4239</v>
      </c>
      <c r="F25" s="1">
        <v>2880</v>
      </c>
      <c r="G25" s="1">
        <v>3083</v>
      </c>
      <c r="H25" s="1">
        <v>3151</v>
      </c>
      <c r="I25" s="1">
        <v>4099</v>
      </c>
      <c r="J25" s="1">
        <v>2945</v>
      </c>
      <c r="K25" s="1">
        <v>3137</v>
      </c>
      <c r="P25" s="1">
        <v>3475</v>
      </c>
      <c r="Q25" s="1">
        <v>3537</v>
      </c>
      <c r="R25" s="1">
        <v>2590</v>
      </c>
      <c r="S25" s="1">
        <v>3189</v>
      </c>
      <c r="T25" s="1">
        <f t="shared" ref="R25:T45" si="29">+F25</f>
        <v>2880</v>
      </c>
      <c r="U25" s="1">
        <f t="shared" ref="U25:U45" si="30">+J25</f>
        <v>2945</v>
      </c>
      <c r="AG25" s="7"/>
    </row>
    <row r="26" spans="2:33">
      <c r="B26" s="1" t="s">
        <v>14</v>
      </c>
      <c r="D26" s="1">
        <v>296</v>
      </c>
      <c r="E26" s="1">
        <v>291</v>
      </c>
      <c r="F26" s="1">
        <v>347</v>
      </c>
      <c r="G26" s="1">
        <v>345</v>
      </c>
      <c r="H26" s="1">
        <v>331</v>
      </c>
      <c r="I26" s="1">
        <v>344</v>
      </c>
      <c r="J26" s="1">
        <v>309</v>
      </c>
      <c r="K26" s="1">
        <v>290</v>
      </c>
      <c r="P26" s="1">
        <v>426</v>
      </c>
      <c r="Q26" s="1">
        <v>389</v>
      </c>
      <c r="R26" s="1">
        <v>974</v>
      </c>
      <c r="S26" s="1">
        <v>394</v>
      </c>
      <c r="T26" s="1">
        <f t="shared" si="29"/>
        <v>347</v>
      </c>
      <c r="U26" s="1">
        <f t="shared" si="30"/>
        <v>309</v>
      </c>
      <c r="AG26" s="7"/>
    </row>
    <row r="27" spans="2:33">
      <c r="B27" s="1" t="s">
        <v>51</v>
      </c>
      <c r="D27" s="1">
        <v>7945</v>
      </c>
      <c r="E27" s="1">
        <v>7861</v>
      </c>
      <c r="F27" s="1">
        <v>7720</v>
      </c>
      <c r="G27" s="1">
        <v>7664</v>
      </c>
      <c r="H27" s="1">
        <v>7502</v>
      </c>
      <c r="I27" s="1">
        <v>7472</v>
      </c>
      <c r="J27" s="1">
        <v>7297</v>
      </c>
      <c r="K27" s="1">
        <v>7209</v>
      </c>
      <c r="P27" s="1">
        <v>7428</v>
      </c>
      <c r="Q27" s="1">
        <v>7352</v>
      </c>
      <c r="R27" s="1">
        <v>6689</v>
      </c>
      <c r="S27" s="1">
        <v>7926</v>
      </c>
      <c r="T27" s="1">
        <f t="shared" si="29"/>
        <v>7720</v>
      </c>
      <c r="U27" s="1">
        <f t="shared" si="30"/>
        <v>7297</v>
      </c>
      <c r="AG27" s="7"/>
    </row>
    <row r="28" spans="2:33">
      <c r="B28" s="1" t="s">
        <v>52</v>
      </c>
      <c r="D28" s="1">
        <v>2493</v>
      </c>
      <c r="E28" s="1">
        <v>2492</v>
      </c>
      <c r="F28" s="1">
        <v>2499</v>
      </c>
      <c r="G28" s="1">
        <v>2498</v>
      </c>
      <c r="H28" s="1">
        <v>2507</v>
      </c>
      <c r="I28" s="1">
        <v>2500</v>
      </c>
      <c r="J28" s="1">
        <v>2394</v>
      </c>
      <c r="K28" s="1">
        <v>2374</v>
      </c>
      <c r="P28" s="1">
        <v>0</v>
      </c>
      <c r="Q28" s="1">
        <v>2391</v>
      </c>
      <c r="R28" s="1">
        <v>2398</v>
      </c>
      <c r="S28" s="1">
        <v>2304</v>
      </c>
      <c r="T28" s="1">
        <f t="shared" si="29"/>
        <v>2499</v>
      </c>
      <c r="U28" s="1">
        <f t="shared" si="30"/>
        <v>2394</v>
      </c>
    </row>
    <row r="29" spans="2:33">
      <c r="B29" s="1" t="s">
        <v>53</v>
      </c>
      <c r="D29" s="1">
        <v>382</v>
      </c>
      <c r="E29" s="1">
        <v>394</v>
      </c>
      <c r="F29" s="1">
        <v>380</v>
      </c>
      <c r="G29" s="1">
        <v>460</v>
      </c>
      <c r="H29" s="1">
        <v>458</v>
      </c>
      <c r="I29" s="1">
        <v>465</v>
      </c>
      <c r="J29" s="1">
        <v>480</v>
      </c>
      <c r="K29" s="1">
        <v>476</v>
      </c>
      <c r="P29" s="1">
        <v>206</v>
      </c>
      <c r="Q29" s="1">
        <v>163</v>
      </c>
      <c r="R29" s="1">
        <v>415</v>
      </c>
      <c r="S29" s="1">
        <v>379</v>
      </c>
      <c r="T29" s="1">
        <f t="shared" si="29"/>
        <v>380</v>
      </c>
      <c r="U29" s="1">
        <f t="shared" si="30"/>
        <v>480</v>
      </c>
    </row>
    <row r="30" spans="2:33">
      <c r="B30" s="1" t="s">
        <v>54</v>
      </c>
      <c r="D30" s="1">
        <f t="shared" ref="D30:K30" si="31">+SUM(D24:D29)</f>
        <v>14794</v>
      </c>
      <c r="E30" s="1">
        <f t="shared" si="31"/>
        <v>15467</v>
      </c>
      <c r="F30" s="1">
        <f t="shared" si="31"/>
        <v>14009</v>
      </c>
      <c r="G30" s="1">
        <f t="shared" si="31"/>
        <v>14278</v>
      </c>
      <c r="H30" s="1">
        <f t="shared" si="31"/>
        <v>14180</v>
      </c>
      <c r="I30" s="1">
        <f t="shared" si="31"/>
        <v>15054</v>
      </c>
      <c r="J30" s="1">
        <f t="shared" si="31"/>
        <v>13559</v>
      </c>
      <c r="K30" s="1">
        <f t="shared" si="31"/>
        <v>13639</v>
      </c>
      <c r="P30" s="1">
        <f t="shared" ref="P30:S30" si="32">+SUM(P24:P29)</f>
        <v>12469</v>
      </c>
      <c r="Q30" s="1">
        <f t="shared" si="32"/>
        <v>14555</v>
      </c>
      <c r="R30" s="1">
        <f t="shared" ref="R30" si="33">+SUM(R24:R29)</f>
        <v>15337</v>
      </c>
      <c r="S30" s="1">
        <f t="shared" si="32"/>
        <v>14345</v>
      </c>
      <c r="T30" s="1">
        <f t="shared" si="29"/>
        <v>14009</v>
      </c>
      <c r="U30" s="1">
        <f t="shared" si="30"/>
        <v>13559</v>
      </c>
    </row>
    <row r="32" spans="2:33">
      <c r="B32" s="1" t="s">
        <v>39</v>
      </c>
      <c r="D32" s="1">
        <v>1376</v>
      </c>
      <c r="E32" s="1">
        <v>1918</v>
      </c>
      <c r="F32" s="1">
        <v>1134</v>
      </c>
      <c r="G32" s="1">
        <v>1220</v>
      </c>
      <c r="H32" s="1">
        <v>1317</v>
      </c>
      <c r="I32" s="1">
        <v>1873</v>
      </c>
      <c r="J32" s="1">
        <v>1042</v>
      </c>
      <c r="K32" s="1">
        <v>1026</v>
      </c>
      <c r="P32" s="1">
        <v>1187</v>
      </c>
      <c r="Q32" s="1">
        <v>1206</v>
      </c>
      <c r="R32" s="1">
        <v>1476</v>
      </c>
      <c r="S32" s="1">
        <v>1330</v>
      </c>
      <c r="T32" s="1">
        <f t="shared" si="29"/>
        <v>1134</v>
      </c>
      <c r="U32" s="1">
        <f t="shared" si="30"/>
        <v>1042</v>
      </c>
    </row>
    <row r="33" spans="2:33">
      <c r="B33" s="1" t="s">
        <v>40</v>
      </c>
      <c r="D33" s="1">
        <v>1246</v>
      </c>
      <c r="E33" s="1">
        <v>1324</v>
      </c>
      <c r="F33" s="1">
        <v>1201</v>
      </c>
      <c r="G33" s="1">
        <v>1265</v>
      </c>
      <c r="H33" s="1">
        <v>1185</v>
      </c>
      <c r="I33" s="1">
        <v>1245</v>
      </c>
      <c r="J33" s="1">
        <v>1263</v>
      </c>
      <c r="K33" s="1">
        <v>1177</v>
      </c>
      <c r="P33" s="1">
        <v>1364</v>
      </c>
      <c r="Q33" s="1">
        <v>1233</v>
      </c>
      <c r="R33" s="1">
        <v>1270</v>
      </c>
      <c r="S33" s="1">
        <v>1220</v>
      </c>
      <c r="T33" s="1">
        <f t="shared" si="29"/>
        <v>1201</v>
      </c>
      <c r="U33" s="1">
        <f t="shared" si="30"/>
        <v>1263</v>
      </c>
    </row>
    <row r="34" spans="2:33">
      <c r="B34" s="1" t="s">
        <v>41</v>
      </c>
      <c r="D34" s="1">
        <v>560</v>
      </c>
      <c r="E34" s="1">
        <v>625</v>
      </c>
      <c r="F34" s="1">
        <v>92</v>
      </c>
      <c r="G34" s="1">
        <v>355</v>
      </c>
      <c r="H34" s="1">
        <v>410</v>
      </c>
      <c r="I34" s="1">
        <v>749</v>
      </c>
      <c r="J34" s="1">
        <v>290</v>
      </c>
      <c r="K34" s="1">
        <v>545</v>
      </c>
      <c r="P34" s="1">
        <v>0</v>
      </c>
      <c r="Q34" s="1">
        <v>0</v>
      </c>
      <c r="R34" s="1">
        <v>0</v>
      </c>
      <c r="S34" s="1">
        <v>85</v>
      </c>
      <c r="T34" s="1">
        <f t="shared" si="29"/>
        <v>92</v>
      </c>
      <c r="U34" s="1">
        <f t="shared" si="30"/>
        <v>290</v>
      </c>
    </row>
    <row r="35" spans="2:33">
      <c r="B35" s="1" t="s">
        <v>72</v>
      </c>
      <c r="P35" s="1">
        <v>64</v>
      </c>
      <c r="Q35" s="1">
        <v>48</v>
      </c>
      <c r="R35" s="1">
        <f t="shared" si="29"/>
        <v>0</v>
      </c>
      <c r="S35" s="1">
        <f t="shared" si="29"/>
        <v>0</v>
      </c>
      <c r="T35" s="1">
        <f t="shared" si="29"/>
        <v>0</v>
      </c>
      <c r="U35" s="1">
        <f t="shared" si="30"/>
        <v>0</v>
      </c>
    </row>
    <row r="36" spans="2:33">
      <c r="B36" s="1" t="s">
        <v>42</v>
      </c>
      <c r="D36" s="1">
        <v>111</v>
      </c>
      <c r="E36" s="1">
        <v>111</v>
      </c>
      <c r="F36" s="1">
        <v>0</v>
      </c>
      <c r="G36" s="1">
        <v>0</v>
      </c>
      <c r="H36" s="1">
        <v>353</v>
      </c>
      <c r="I36" s="1">
        <v>353</v>
      </c>
      <c r="J36" s="1">
        <v>353</v>
      </c>
      <c r="K36" s="1">
        <v>353</v>
      </c>
      <c r="P36" s="1">
        <v>115</v>
      </c>
      <c r="Q36" s="1">
        <v>0</v>
      </c>
      <c r="R36" s="1">
        <v>0</v>
      </c>
      <c r="S36" s="1">
        <v>275</v>
      </c>
      <c r="T36" s="1">
        <f t="shared" si="29"/>
        <v>0</v>
      </c>
      <c r="U36" s="1">
        <f t="shared" si="30"/>
        <v>353</v>
      </c>
    </row>
    <row r="37" spans="2:33">
      <c r="B37" s="1" t="s">
        <v>43</v>
      </c>
      <c r="D37" s="1">
        <v>84</v>
      </c>
      <c r="E37" s="1">
        <v>84</v>
      </c>
      <c r="F37" s="1">
        <v>83</v>
      </c>
      <c r="G37" s="1">
        <v>81</v>
      </c>
      <c r="H37" s="1">
        <v>81</v>
      </c>
      <c r="I37" s="1">
        <v>80</v>
      </c>
      <c r="J37" s="1">
        <v>81</v>
      </c>
      <c r="K37" s="1">
        <v>80</v>
      </c>
      <c r="P37" s="1">
        <v>0</v>
      </c>
      <c r="Q37" s="1">
        <v>124</v>
      </c>
      <c r="R37" s="1">
        <v>115</v>
      </c>
      <c r="S37" s="1">
        <v>94</v>
      </c>
      <c r="T37" s="1">
        <f t="shared" si="29"/>
        <v>83</v>
      </c>
      <c r="U37" s="1">
        <f t="shared" si="30"/>
        <v>81</v>
      </c>
    </row>
    <row r="38" spans="2:33">
      <c r="B38" s="1" t="s">
        <v>44</v>
      </c>
      <c r="D38" s="1">
        <v>93</v>
      </c>
      <c r="E38" s="1">
        <v>94</v>
      </c>
      <c r="F38" s="1">
        <v>102</v>
      </c>
      <c r="G38" s="1">
        <v>92</v>
      </c>
      <c r="H38" s="1">
        <v>92</v>
      </c>
      <c r="I38" s="1">
        <v>93</v>
      </c>
      <c r="J38" s="1">
        <v>102</v>
      </c>
      <c r="K38" s="1">
        <v>99</v>
      </c>
      <c r="P38" s="1">
        <v>0</v>
      </c>
      <c r="Q38" s="1">
        <v>148</v>
      </c>
      <c r="R38" s="1">
        <v>161</v>
      </c>
      <c r="S38" s="1">
        <v>111</v>
      </c>
      <c r="T38" s="1">
        <f t="shared" si="29"/>
        <v>102</v>
      </c>
      <c r="U38" s="1">
        <f t="shared" si="30"/>
        <v>102</v>
      </c>
      <c r="AG38" s="7"/>
    </row>
    <row r="39" spans="2:33">
      <c r="B39" s="1" t="s">
        <v>45</v>
      </c>
      <c r="D39" s="1">
        <v>1637</v>
      </c>
      <c r="E39" s="1">
        <v>1638</v>
      </c>
      <c r="F39" s="1">
        <v>1638</v>
      </c>
      <c r="G39" s="1">
        <v>1638</v>
      </c>
      <c r="H39" s="1">
        <v>1173</v>
      </c>
      <c r="I39" s="1">
        <v>1174</v>
      </c>
      <c r="J39" s="1">
        <v>1174</v>
      </c>
      <c r="K39" s="1">
        <v>1174</v>
      </c>
      <c r="P39" s="1">
        <v>1861</v>
      </c>
      <c r="Q39" s="1">
        <v>1856</v>
      </c>
      <c r="R39" s="1">
        <v>2451</v>
      </c>
      <c r="S39" s="1">
        <v>1637</v>
      </c>
      <c r="T39" s="1">
        <f t="shared" si="29"/>
        <v>1638</v>
      </c>
      <c r="U39" s="1">
        <f t="shared" si="30"/>
        <v>1174</v>
      </c>
    </row>
    <row r="40" spans="2:33">
      <c r="B40" s="1" t="s">
        <v>43</v>
      </c>
      <c r="D40" s="1">
        <v>2730</v>
      </c>
      <c r="E40" s="1">
        <v>2714</v>
      </c>
      <c r="F40" s="1">
        <v>2680</v>
      </c>
      <c r="G40" s="1">
        <v>2651</v>
      </c>
      <c r="H40" s="1">
        <v>2574</v>
      </c>
      <c r="I40" s="1">
        <v>2533</v>
      </c>
      <c r="J40" s="1">
        <v>2456</v>
      </c>
      <c r="K40" s="1">
        <v>2433</v>
      </c>
      <c r="P40" s="1">
        <v>1523</v>
      </c>
      <c r="Q40" s="1">
        <v>1367</v>
      </c>
      <c r="R40" s="1">
        <v>1387</v>
      </c>
      <c r="S40" s="1">
        <v>2786</v>
      </c>
      <c r="T40" s="1">
        <f t="shared" si="29"/>
        <v>2680</v>
      </c>
      <c r="U40" s="1">
        <f t="shared" si="30"/>
        <v>2456</v>
      </c>
    </row>
    <row r="41" spans="2:33">
      <c r="B41" s="1" t="s">
        <v>46</v>
      </c>
      <c r="D41" s="1">
        <v>2777</v>
      </c>
      <c r="E41" s="1">
        <v>2780</v>
      </c>
      <c r="F41" s="1">
        <v>2781</v>
      </c>
      <c r="G41" s="1">
        <v>2783</v>
      </c>
      <c r="H41" s="1">
        <v>2795</v>
      </c>
      <c r="I41" s="1">
        <v>2799</v>
      </c>
      <c r="J41" s="1">
        <v>2703</v>
      </c>
      <c r="K41" s="1">
        <v>2687</v>
      </c>
      <c r="P41" s="1">
        <v>0</v>
      </c>
      <c r="Q41" s="1">
        <v>2619</v>
      </c>
      <c r="R41" s="1">
        <v>2625</v>
      </c>
      <c r="S41" s="1">
        <v>2578</v>
      </c>
      <c r="T41" s="1">
        <f t="shared" si="29"/>
        <v>2781</v>
      </c>
      <c r="U41" s="1">
        <f t="shared" si="30"/>
        <v>2703</v>
      </c>
    </row>
    <row r="42" spans="2:33">
      <c r="B42" s="1" t="s">
        <v>47</v>
      </c>
      <c r="D42" s="1">
        <v>121</v>
      </c>
      <c r="E42" s="1">
        <v>107</v>
      </c>
      <c r="F42" s="1">
        <v>107</v>
      </c>
      <c r="G42" s="1">
        <v>94</v>
      </c>
      <c r="H42" s="1">
        <v>95</v>
      </c>
      <c r="I42" s="1">
        <v>78</v>
      </c>
      <c r="J42" s="1">
        <v>28</v>
      </c>
      <c r="K42" s="1">
        <v>27</v>
      </c>
      <c r="P42" s="1">
        <v>184</v>
      </c>
      <c r="Q42" s="1">
        <v>260</v>
      </c>
      <c r="R42" s="1">
        <v>302</v>
      </c>
      <c r="S42" s="1">
        <v>129</v>
      </c>
      <c r="T42" s="1">
        <f t="shared" si="29"/>
        <v>107</v>
      </c>
      <c r="U42" s="1">
        <f t="shared" si="30"/>
        <v>28</v>
      </c>
    </row>
    <row r="43" spans="2:33">
      <c r="B43" s="1" t="s">
        <v>48</v>
      </c>
      <c r="D43" s="1">
        <v>324</v>
      </c>
      <c r="E43" s="1">
        <v>321</v>
      </c>
      <c r="F43" s="1">
        <v>298</v>
      </c>
      <c r="G43" s="1">
        <v>286</v>
      </c>
      <c r="H43" s="1">
        <v>275</v>
      </c>
      <c r="I43" s="1">
        <v>273</v>
      </c>
      <c r="J43" s="1">
        <v>265</v>
      </c>
      <c r="K43" s="1">
        <v>259</v>
      </c>
      <c r="P43" s="1">
        <v>644</v>
      </c>
      <c r="Q43" s="1">
        <v>234</v>
      </c>
      <c r="R43" s="1">
        <v>354</v>
      </c>
      <c r="S43" s="1">
        <v>337</v>
      </c>
      <c r="T43" s="1">
        <f t="shared" si="29"/>
        <v>298</v>
      </c>
      <c r="U43" s="1">
        <f t="shared" si="30"/>
        <v>265</v>
      </c>
    </row>
    <row r="44" spans="2:33">
      <c r="B44" s="1" t="s">
        <v>38</v>
      </c>
      <c r="D44" s="1">
        <v>3735</v>
      </c>
      <c r="E44" s="1">
        <v>3751</v>
      </c>
      <c r="F44" s="1">
        <v>3893</v>
      </c>
      <c r="G44" s="1">
        <v>3813</v>
      </c>
      <c r="H44" s="1">
        <v>3830</v>
      </c>
      <c r="I44" s="1">
        <v>3804</v>
      </c>
      <c r="J44" s="1">
        <v>3802</v>
      </c>
      <c r="K44" s="1">
        <v>3779</v>
      </c>
      <c r="P44" s="1">
        <v>5527</v>
      </c>
      <c r="Q44" s="1">
        <v>5450</v>
      </c>
      <c r="R44" s="1">
        <v>5196</v>
      </c>
      <c r="S44" s="1">
        <v>3763</v>
      </c>
      <c r="T44" s="1">
        <f t="shared" si="29"/>
        <v>3893</v>
      </c>
      <c r="U44" s="1">
        <f t="shared" si="30"/>
        <v>3802</v>
      </c>
    </row>
    <row r="45" spans="2:33">
      <c r="B45" s="1" t="s">
        <v>37</v>
      </c>
      <c r="D45" s="1">
        <f t="shared" ref="D45:K45" si="34">+SUM(D32:D44)</f>
        <v>14794</v>
      </c>
      <c r="E45" s="1">
        <f t="shared" si="34"/>
        <v>15467</v>
      </c>
      <c r="F45" s="1">
        <f t="shared" si="34"/>
        <v>14009</v>
      </c>
      <c r="G45" s="1">
        <f t="shared" si="34"/>
        <v>14278</v>
      </c>
      <c r="H45" s="1">
        <f t="shared" si="34"/>
        <v>14180</v>
      </c>
      <c r="I45" s="1">
        <f t="shared" si="34"/>
        <v>15054</v>
      </c>
      <c r="J45" s="1">
        <f t="shared" si="34"/>
        <v>13559</v>
      </c>
      <c r="K45" s="1">
        <f t="shared" si="34"/>
        <v>13639</v>
      </c>
      <c r="P45" s="1">
        <f t="shared" ref="P45:S45" si="35">+SUM(P32:P44)</f>
        <v>12469</v>
      </c>
      <c r="Q45" s="1">
        <f t="shared" si="35"/>
        <v>14545</v>
      </c>
      <c r="R45" s="1">
        <f t="shared" ref="R45" si="36">+SUM(R32:R44)</f>
        <v>15337</v>
      </c>
      <c r="S45" s="1">
        <f t="shared" si="35"/>
        <v>14345</v>
      </c>
      <c r="T45" s="1">
        <f t="shared" si="29"/>
        <v>14009</v>
      </c>
      <c r="U45" s="1">
        <f t="shared" si="30"/>
        <v>13559</v>
      </c>
    </row>
    <row r="47" spans="2:33">
      <c r="B47" s="1" t="s">
        <v>71</v>
      </c>
      <c r="D47" s="1">
        <f>+D48+D44</f>
        <v>6043</v>
      </c>
      <c r="E47" s="1">
        <f t="shared" ref="E47:K47" si="37">+E48+E44</f>
        <v>6125</v>
      </c>
      <c r="F47" s="1">
        <f t="shared" si="37"/>
        <v>5623</v>
      </c>
      <c r="G47" s="1">
        <f t="shared" si="37"/>
        <v>5806</v>
      </c>
      <c r="H47" s="1">
        <f t="shared" si="37"/>
        <v>5766</v>
      </c>
      <c r="I47" s="1">
        <f t="shared" si="37"/>
        <v>6080</v>
      </c>
      <c r="J47" s="1">
        <f t="shared" si="37"/>
        <v>5619</v>
      </c>
      <c r="K47" s="1">
        <f t="shared" si="37"/>
        <v>5851</v>
      </c>
      <c r="P47" s="1">
        <f t="shared" ref="P47:S47" si="38">+P48+P44</f>
        <v>7567</v>
      </c>
      <c r="Q47" s="1">
        <f t="shared" si="38"/>
        <v>7354</v>
      </c>
      <c r="R47" s="1">
        <f t="shared" si="38"/>
        <v>7647</v>
      </c>
      <c r="S47" s="1">
        <f t="shared" si="38"/>
        <v>5760</v>
      </c>
      <c r="T47" s="1">
        <f>+F47</f>
        <v>5623</v>
      </c>
      <c r="U47" s="1">
        <f>+J47</f>
        <v>5619</v>
      </c>
    </row>
    <row r="48" spans="2:33">
      <c r="B48" s="1" t="s">
        <v>59</v>
      </c>
      <c r="D48" s="1">
        <f>SUM(D34:D36,D39)</f>
        <v>2308</v>
      </c>
      <c r="E48" s="1">
        <f t="shared" ref="E48:K48" si="39">SUM(E34:E36,E39)</f>
        <v>2374</v>
      </c>
      <c r="F48" s="1">
        <f t="shared" si="39"/>
        <v>1730</v>
      </c>
      <c r="G48" s="1">
        <f t="shared" si="39"/>
        <v>1993</v>
      </c>
      <c r="H48" s="1">
        <f t="shared" si="39"/>
        <v>1936</v>
      </c>
      <c r="I48" s="1">
        <f t="shared" si="39"/>
        <v>2276</v>
      </c>
      <c r="J48" s="1">
        <f t="shared" si="39"/>
        <v>1817</v>
      </c>
      <c r="K48" s="1">
        <f t="shared" si="39"/>
        <v>2072</v>
      </c>
      <c r="P48" s="1">
        <f t="shared" ref="P48:Q48" si="40">SUM(P34:P36,P39)</f>
        <v>2040</v>
      </c>
      <c r="Q48" s="1">
        <f t="shared" si="40"/>
        <v>1904</v>
      </c>
      <c r="R48" s="1">
        <f t="shared" ref="R48:S48" si="41">SUM(R34:R36,R39)</f>
        <v>2451</v>
      </c>
      <c r="S48" s="1">
        <f t="shared" si="41"/>
        <v>1997</v>
      </c>
      <c r="T48" s="1">
        <f>+F48</f>
        <v>1730</v>
      </c>
      <c r="U48" s="1">
        <f>+J48</f>
        <v>1817</v>
      </c>
    </row>
    <row r="49" spans="2:21">
      <c r="B49" s="1" t="s">
        <v>60</v>
      </c>
      <c r="D49" s="1">
        <f>+D24</f>
        <v>204</v>
      </c>
      <c r="E49" s="1">
        <f t="shared" ref="E49:K49" si="42">+E24</f>
        <v>190</v>
      </c>
      <c r="F49" s="1">
        <f t="shared" si="42"/>
        <v>183</v>
      </c>
      <c r="G49" s="1">
        <f t="shared" si="42"/>
        <v>228</v>
      </c>
      <c r="H49" s="1">
        <f t="shared" si="42"/>
        <v>231</v>
      </c>
      <c r="I49" s="1">
        <f t="shared" si="42"/>
        <v>174</v>
      </c>
      <c r="J49" s="1">
        <f t="shared" si="42"/>
        <v>134</v>
      </c>
      <c r="K49" s="1">
        <f t="shared" si="42"/>
        <v>153</v>
      </c>
      <c r="P49" s="1">
        <f t="shared" ref="P49:Q49" si="43">+P24</f>
        <v>934</v>
      </c>
      <c r="Q49" s="1">
        <f t="shared" si="43"/>
        <v>723</v>
      </c>
      <c r="R49" s="1">
        <f t="shared" ref="R49:S49" si="44">+R24</f>
        <v>2271</v>
      </c>
      <c r="S49" s="1">
        <f t="shared" si="44"/>
        <v>153</v>
      </c>
      <c r="T49" s="1">
        <f>+F49</f>
        <v>183</v>
      </c>
      <c r="U49" s="1">
        <f>+J49</f>
        <v>134</v>
      </c>
    </row>
    <row r="50" spans="2:21">
      <c r="K50" s="4">
        <f>+K49/K48</f>
        <v>7.3841698841698847E-2</v>
      </c>
      <c r="P50" s="4">
        <f>+P49/P48</f>
        <v>0.45784313725490194</v>
      </c>
      <c r="Q50" s="4">
        <f t="shared" ref="Q50:U50" si="45">+Q49/Q48</f>
        <v>0.3797268907563025</v>
      </c>
      <c r="R50" s="4">
        <f t="shared" si="45"/>
        <v>0.9265605875152999</v>
      </c>
      <c r="S50" s="4">
        <f t="shared" si="45"/>
        <v>7.6614922383575368E-2</v>
      </c>
      <c r="T50" s="4">
        <f t="shared" si="45"/>
        <v>0.10578034682080925</v>
      </c>
      <c r="U50" s="4">
        <f t="shared" si="45"/>
        <v>7.374793615850303E-2</v>
      </c>
    </row>
    <row r="51" spans="2:21">
      <c r="B51" s="1" t="s">
        <v>55</v>
      </c>
      <c r="C51" s="1">
        <v>-202</v>
      </c>
      <c r="D51" s="1">
        <f>228-C51</f>
        <v>430</v>
      </c>
      <c r="E51" s="1">
        <f>379-SUM(C51:D51)</f>
        <v>151</v>
      </c>
      <c r="F51" s="1">
        <f>1168-SUM(C51:E51)</f>
        <v>789</v>
      </c>
      <c r="G51" s="1">
        <v>-7</v>
      </c>
      <c r="H51" s="1">
        <f>247-G51</f>
        <v>254</v>
      </c>
      <c r="I51" s="1">
        <f>52-SUM(G51:H51)</f>
        <v>-195</v>
      </c>
      <c r="J51" s="1">
        <f>648-SUM(G51:I51)</f>
        <v>596</v>
      </c>
      <c r="K51" s="1">
        <f>+-92</f>
        <v>-92</v>
      </c>
      <c r="T51" s="1">
        <f>+SUM(C51:F51)</f>
        <v>1168</v>
      </c>
      <c r="U51" s="1">
        <f>SUM(H51:K51)</f>
        <v>563</v>
      </c>
    </row>
    <row r="52" spans="2:21">
      <c r="B52" s="1" t="s">
        <v>56</v>
      </c>
      <c r="C52" s="1">
        <v>-94</v>
      </c>
      <c r="D52" s="1">
        <f>+-338-C52</f>
        <v>-244</v>
      </c>
      <c r="E52" s="1">
        <f>+-495-SUM(C52:D52)</f>
        <v>-157</v>
      </c>
      <c r="F52" s="1">
        <f>+-577-SUM(C52:E52)</f>
        <v>-82</v>
      </c>
      <c r="G52" s="1">
        <v>-126</v>
      </c>
      <c r="H52" s="1">
        <f>+-239-G52</f>
        <v>-113</v>
      </c>
      <c r="I52" s="1">
        <f>+-367-SUM(G52:H52)</f>
        <v>-128</v>
      </c>
      <c r="J52" s="1">
        <f>+-466-SUM(G52:I52)</f>
        <v>-99</v>
      </c>
      <c r="K52" s="1">
        <v>-110</v>
      </c>
      <c r="T52" s="1">
        <f>+SUM(C52:F52)</f>
        <v>-577</v>
      </c>
      <c r="U52" s="1">
        <f>SUM(H52:K52)</f>
        <v>-450</v>
      </c>
    </row>
    <row r="53" spans="2:21">
      <c r="B53" s="1" t="s">
        <v>57</v>
      </c>
      <c r="C53" s="1">
        <f t="shared" ref="C53:K53" si="46">+C51+C52</f>
        <v>-296</v>
      </c>
      <c r="D53" s="1">
        <f t="shared" si="46"/>
        <v>186</v>
      </c>
      <c r="E53" s="1">
        <f t="shared" si="46"/>
        <v>-6</v>
      </c>
      <c r="F53" s="1">
        <f t="shared" si="46"/>
        <v>707</v>
      </c>
      <c r="G53" s="1">
        <f t="shared" si="46"/>
        <v>-133</v>
      </c>
      <c r="H53" s="1">
        <f t="shared" si="46"/>
        <v>141</v>
      </c>
      <c r="I53" s="1">
        <f t="shared" si="46"/>
        <v>-323</v>
      </c>
      <c r="J53" s="1">
        <f t="shared" si="46"/>
        <v>497</v>
      </c>
      <c r="K53" s="1">
        <f t="shared" si="46"/>
        <v>-202</v>
      </c>
      <c r="T53" s="1">
        <f>+SUM(C53:F53)</f>
        <v>591</v>
      </c>
      <c r="U53" s="1">
        <f>SUM(H53:K53)</f>
        <v>113</v>
      </c>
    </row>
    <row r="55" spans="2:21">
      <c r="B55" s="1" t="s">
        <v>58</v>
      </c>
      <c r="F55" s="1">
        <f t="shared" ref="F55:K55" si="47">+SUM(C53:F53)</f>
        <v>591</v>
      </c>
      <c r="G55" s="1">
        <f t="shared" si="47"/>
        <v>754</v>
      </c>
      <c r="H55" s="1">
        <f t="shared" si="47"/>
        <v>709</v>
      </c>
      <c r="I55" s="1">
        <f t="shared" si="47"/>
        <v>392</v>
      </c>
      <c r="J55" s="1">
        <f t="shared" si="47"/>
        <v>182</v>
      </c>
      <c r="K55" s="1">
        <f t="shared" si="47"/>
        <v>113</v>
      </c>
    </row>
  </sheetData>
  <pageMargins left="0.7" right="0.7" top="0.75" bottom="0.75" header="0.3" footer="0.3"/>
  <ignoredErrors>
    <ignoredError sqref="E6:F13 U14:AD14 V11:AD11 J6:J14 U15:AD16 J15:J18 V13:AD13 W12:AD12" formula="1"/>
    <ignoredError sqref="R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D441-9C4C-B543-B902-6F8591DC1F85}">
  <dimension ref="B2:F15"/>
  <sheetViews>
    <sheetView showGridLines="0" zoomScale="176" workbookViewId="0">
      <selection activeCell="E7" sqref="E7"/>
    </sheetView>
  </sheetViews>
  <sheetFormatPr baseColWidth="10" defaultRowHeight="13"/>
  <cols>
    <col min="2" max="2" width="24.83203125" bestFit="1" customWidth="1"/>
  </cols>
  <sheetData>
    <row r="2" spans="2:6">
      <c r="E2" t="s">
        <v>64</v>
      </c>
    </row>
    <row r="3" spans="2:6">
      <c r="B3" s="1" t="s">
        <v>61</v>
      </c>
      <c r="C3" s="1" t="s">
        <v>62</v>
      </c>
      <c r="D3" s="1" t="s">
        <v>63</v>
      </c>
      <c r="E3" s="9">
        <v>45689</v>
      </c>
      <c r="F3" s="9">
        <v>45325</v>
      </c>
    </row>
    <row r="4" spans="2:6">
      <c r="B4" s="2">
        <v>2025</v>
      </c>
      <c r="C4" s="5">
        <v>9.5000000000000001E-2</v>
      </c>
      <c r="D4" s="5">
        <v>0.1075</v>
      </c>
      <c r="E4">
        <v>0</v>
      </c>
      <c r="F4">
        <v>113</v>
      </c>
    </row>
    <row r="5" spans="2:6">
      <c r="B5" s="2">
        <v>2025</v>
      </c>
      <c r="C5" s="5">
        <v>4.2500000000000003E-2</v>
      </c>
      <c r="D5" s="5">
        <v>4.2500000000000003E-2</v>
      </c>
      <c r="E5">
        <v>353</v>
      </c>
      <c r="F5">
        <v>353</v>
      </c>
    </row>
    <row r="6" spans="2:6">
      <c r="B6" s="2">
        <v>2029</v>
      </c>
      <c r="C6" s="5">
        <v>7.3599999999999999E-2</v>
      </c>
      <c r="D6" s="5">
        <v>7.2499999999999995E-2</v>
      </c>
      <c r="E6">
        <v>42</v>
      </c>
      <c r="F6">
        <v>42</v>
      </c>
    </row>
    <row r="7" spans="2:6">
      <c r="B7" s="2">
        <v>2031</v>
      </c>
      <c r="C7" s="5">
        <v>3.4000000000000002E-2</v>
      </c>
      <c r="D7" s="5">
        <v>4.6300000000000001E-2</v>
      </c>
      <c r="E7">
        <v>500</v>
      </c>
      <c r="F7">
        <v>500</v>
      </c>
    </row>
    <row r="8" spans="2:6">
      <c r="B8" s="2">
        <v>2033</v>
      </c>
      <c r="C8" s="5">
        <v>6.0499999999999998E-2</v>
      </c>
      <c r="D8" s="5">
        <v>0.06</v>
      </c>
      <c r="E8">
        <v>112</v>
      </c>
      <c r="F8">
        <v>112</v>
      </c>
    </row>
    <row r="9" spans="2:6">
      <c r="B9" s="2">
        <v>2037</v>
      </c>
      <c r="C9" s="5">
        <v>6.8900000000000003E-2</v>
      </c>
      <c r="D9" s="5">
        <v>6.88E-2</v>
      </c>
      <c r="E9">
        <v>101</v>
      </c>
      <c r="F9">
        <v>101</v>
      </c>
    </row>
    <row r="10" spans="2:6">
      <c r="B10" s="2">
        <v>2045</v>
      </c>
      <c r="C10" s="5">
        <v>5.57E-2</v>
      </c>
      <c r="D10" s="5">
        <v>5.5500000000000001E-2</v>
      </c>
      <c r="E10">
        <v>427</v>
      </c>
      <c r="F10">
        <v>427</v>
      </c>
    </row>
    <row r="11" spans="2:6">
      <c r="B11" s="10" t="s">
        <v>65</v>
      </c>
      <c r="C11" s="11"/>
      <c r="D11" s="11"/>
      <c r="E11" s="11">
        <f>SUM(E4:E10)</f>
        <v>1535</v>
      </c>
      <c r="F11" s="15">
        <f>SUM(F4:F10)</f>
        <v>1648</v>
      </c>
    </row>
    <row r="12" spans="2:6">
      <c r="B12" s="12" t="s">
        <v>66</v>
      </c>
      <c r="E12" s="1">
        <v>-8</v>
      </c>
      <c r="F12" s="16">
        <v>-10</v>
      </c>
    </row>
    <row r="13" spans="2:6">
      <c r="B13" s="13" t="s">
        <v>67</v>
      </c>
      <c r="C13" s="14"/>
      <c r="D13" s="14"/>
      <c r="E13" s="17">
        <f>+-E5</f>
        <v>-353</v>
      </c>
      <c r="F13" s="18"/>
    </row>
    <row r="14" spans="2:6">
      <c r="B14" t="s">
        <v>68</v>
      </c>
      <c r="E14" s="1">
        <f>SUM(E11:E13)</f>
        <v>1174</v>
      </c>
      <c r="F14" s="1">
        <f>SUM(F11:F13)</f>
        <v>1638</v>
      </c>
    </row>
    <row r="15" spans="2:6">
      <c r="B15" t="s">
        <v>69</v>
      </c>
      <c r="E15" s="19">
        <v>4.7300000000000002E-2</v>
      </c>
      <c r="F15" s="5">
        <v>5.0599999999999999E-2</v>
      </c>
    </row>
  </sheetData>
  <pageMargins left="0.7" right="0.7" top="0.75" bottom="0.75" header="0.3" footer="0.3"/>
  <ignoredErrors>
    <ignoredError sqref="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2025-01-26T23:44:57Z</dcterms:created>
  <dcterms:modified xsi:type="dcterms:W3CDTF">2025-08-25T03:54:18Z</dcterms:modified>
</cp:coreProperties>
</file>