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31F064CC-FFCF-3240-B8FF-E46521DC11F6}" xr6:coauthVersionLast="47" xr6:coauthVersionMax="47" xr10:uidLastSave="{00000000-0000-0000-0000-000000000000}"/>
  <bookViews>
    <workbookView xWindow="9220" yWindow="9840" windowWidth="37520" windowHeight="24540" xr2:uid="{DBC56FF1-43CB-714F-B0D6-C228F2F5AFE4}"/>
  </bookViews>
  <sheets>
    <sheet name="Mi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4" i="1" l="1"/>
  <c r="BL49" i="1"/>
  <c r="BL47" i="1"/>
  <c r="BL46" i="1"/>
  <c r="BL45" i="1"/>
  <c r="BL44" i="1"/>
  <c r="BL43" i="1"/>
  <c r="BL42" i="1"/>
  <c r="BL39" i="1"/>
  <c r="BL38" i="1"/>
  <c r="BJ46" i="1"/>
  <c r="BJ47" i="1" s="1"/>
  <c r="BJ45" i="1"/>
  <c r="BJ44" i="1"/>
  <c r="BJ43" i="1"/>
  <c r="BJ42" i="1"/>
  <c r="BJ40" i="1"/>
  <c r="BJ39" i="1"/>
  <c r="BJ38" i="1"/>
  <c r="AS32" i="1"/>
  <c r="AR32" i="1"/>
  <c r="AQ32" i="1"/>
  <c r="AP32" i="1"/>
  <c r="AO32" i="1"/>
  <c r="AN32" i="1"/>
  <c r="AM32" i="1"/>
  <c r="AL32" i="1"/>
  <c r="AK32" i="1"/>
  <c r="AJ32" i="1"/>
  <c r="BE35" i="1"/>
  <c r="BD35" i="1"/>
  <c r="BC35" i="1"/>
  <c r="BB35" i="1"/>
  <c r="BA35" i="1"/>
  <c r="AZ35" i="1"/>
  <c r="AY35" i="1"/>
  <c r="BE34" i="1"/>
  <c r="BD34" i="1"/>
  <c r="BC34" i="1"/>
  <c r="BB34" i="1"/>
  <c r="BA34" i="1"/>
  <c r="AZ34" i="1"/>
  <c r="AY34" i="1"/>
  <c r="BE20" i="1"/>
  <c r="BD20" i="1"/>
  <c r="BC20" i="1"/>
  <c r="BB20" i="1"/>
  <c r="BB21" i="1" s="1"/>
  <c r="BB22" i="1" s="1"/>
  <c r="BA20" i="1"/>
  <c r="BA22" i="1" s="1"/>
  <c r="AZ20" i="1"/>
  <c r="AY20" i="1"/>
  <c r="BE21" i="1"/>
  <c r="BA21" i="1"/>
  <c r="BE22" i="1"/>
  <c r="BD21" i="1"/>
  <c r="BC21" i="1"/>
  <c r="BE17" i="1"/>
  <c r="BD17" i="1"/>
  <c r="BC17" i="1"/>
  <c r="BB17" i="1"/>
  <c r="BA17" i="1"/>
  <c r="AZ17" i="1"/>
  <c r="AY17" i="1"/>
  <c r="AX17" i="1"/>
  <c r="AX20" i="1" s="1"/>
  <c r="AX21" i="1" s="1"/>
  <c r="AX22" i="1" s="1"/>
  <c r="BE16" i="1"/>
  <c r="BD16" i="1"/>
  <c r="BC16" i="1"/>
  <c r="BB16" i="1"/>
  <c r="BA16" i="1"/>
  <c r="AZ16" i="1"/>
  <c r="AY16" i="1"/>
  <c r="BE15" i="1"/>
  <c r="BD15" i="1"/>
  <c r="BC15" i="1"/>
  <c r="BB15" i="1"/>
  <c r="BA15" i="1"/>
  <c r="AZ15" i="1"/>
  <c r="AY15" i="1"/>
  <c r="BE14" i="1"/>
  <c r="BD14" i="1"/>
  <c r="BC14" i="1"/>
  <c r="BB14" i="1"/>
  <c r="BA14" i="1"/>
  <c r="AZ14" i="1"/>
  <c r="AY14" i="1"/>
  <c r="AX16" i="1"/>
  <c r="AX15" i="1"/>
  <c r="L39" i="1"/>
  <c r="K39" i="1"/>
  <c r="J39" i="1"/>
  <c r="I39" i="1"/>
  <c r="H39" i="1"/>
  <c r="G39" i="1"/>
  <c r="F39" i="1"/>
  <c r="E39" i="1"/>
  <c r="D39" i="1"/>
  <c r="L38" i="1"/>
  <c r="K38" i="1"/>
  <c r="J38" i="1"/>
  <c r="I38" i="1"/>
  <c r="H38" i="1"/>
  <c r="G38" i="1"/>
  <c r="F38" i="1"/>
  <c r="E38" i="1"/>
  <c r="D38" i="1"/>
  <c r="C39" i="1"/>
  <c r="C38" i="1"/>
  <c r="AQ17" i="1"/>
  <c r="AQ35" i="1" s="1"/>
  <c r="AP17" i="1"/>
  <c r="AP35" i="1" s="1"/>
  <c r="AO17" i="1"/>
  <c r="AN17" i="1"/>
  <c r="AN20" i="1" s="1"/>
  <c r="AN22" i="1" s="1"/>
  <c r="AM17" i="1"/>
  <c r="AM35" i="1" s="1"/>
  <c r="AO20" i="1"/>
  <c r="AO22" i="1"/>
  <c r="AO35" i="1"/>
  <c r="AQ34" i="1"/>
  <c r="AP34" i="1"/>
  <c r="AO34" i="1"/>
  <c r="AN34" i="1"/>
  <c r="AM34" i="1"/>
  <c r="AR35" i="1"/>
  <c r="AR34" i="1"/>
  <c r="AR20" i="1"/>
  <c r="AR22" i="1" s="1"/>
  <c r="AR17" i="1"/>
  <c r="AU13" i="1"/>
  <c r="AU7" i="1"/>
  <c r="AT7" i="1"/>
  <c r="AV31" i="1"/>
  <c r="AU31" i="1"/>
  <c r="AT31" i="1"/>
  <c r="AU30" i="1"/>
  <c r="AT30" i="1"/>
  <c r="AU29" i="1"/>
  <c r="AT29" i="1"/>
  <c r="AV27" i="1"/>
  <c r="AU27" i="1"/>
  <c r="AT27" i="1"/>
  <c r="AU26" i="1"/>
  <c r="AT26" i="1"/>
  <c r="AU25" i="1"/>
  <c r="AT25" i="1"/>
  <c r="AU34" i="1"/>
  <c r="AU17" i="1"/>
  <c r="AU20" i="1" s="1"/>
  <c r="AU22" i="1" s="1"/>
  <c r="AW21" i="1"/>
  <c r="AV21" i="1"/>
  <c r="AW19" i="1"/>
  <c r="AV19" i="1"/>
  <c r="AW18" i="1"/>
  <c r="AV18" i="1"/>
  <c r="AW16" i="1"/>
  <c r="AV16" i="1"/>
  <c r="AW15" i="1"/>
  <c r="AV15" i="1"/>
  <c r="AW14" i="1"/>
  <c r="AV14" i="1"/>
  <c r="AW12" i="1"/>
  <c r="AW11" i="1"/>
  <c r="AW10" i="1"/>
  <c r="AW29" i="1" s="1"/>
  <c r="AW6" i="1"/>
  <c r="AW27" i="1" s="1"/>
  <c r="AW5" i="1"/>
  <c r="AW4" i="1"/>
  <c r="AV12" i="1"/>
  <c r="AV11" i="1"/>
  <c r="AV30" i="1" s="1"/>
  <c r="AV10" i="1"/>
  <c r="AV29" i="1" s="1"/>
  <c r="AV6" i="1"/>
  <c r="AV5" i="1"/>
  <c r="AV26" i="1" s="1"/>
  <c r="AV4" i="1"/>
  <c r="AV25" i="1" s="1"/>
  <c r="C7" i="1"/>
  <c r="D7" i="1"/>
  <c r="D13" i="1" s="1"/>
  <c r="G31" i="1"/>
  <c r="G30" i="1"/>
  <c r="G29" i="1"/>
  <c r="G27" i="1"/>
  <c r="G26" i="1"/>
  <c r="G25" i="1"/>
  <c r="H31" i="1"/>
  <c r="H30" i="1"/>
  <c r="H29" i="1"/>
  <c r="H27" i="1"/>
  <c r="H26" i="1"/>
  <c r="H25" i="1"/>
  <c r="E7" i="1"/>
  <c r="E13" i="1" s="1"/>
  <c r="E17" i="1" s="1"/>
  <c r="E20" i="1" s="1"/>
  <c r="E22" i="1" s="1"/>
  <c r="K31" i="1"/>
  <c r="J31" i="1"/>
  <c r="I31" i="1"/>
  <c r="K30" i="1"/>
  <c r="J30" i="1"/>
  <c r="I30" i="1"/>
  <c r="K29" i="1"/>
  <c r="J29" i="1"/>
  <c r="I29" i="1"/>
  <c r="K27" i="1"/>
  <c r="J27" i="1"/>
  <c r="I27" i="1"/>
  <c r="K26" i="1"/>
  <c r="J26" i="1"/>
  <c r="I26" i="1"/>
  <c r="K25" i="1"/>
  <c r="J25" i="1"/>
  <c r="I25" i="1"/>
  <c r="L31" i="1"/>
  <c r="L30" i="1"/>
  <c r="L29" i="1"/>
  <c r="L27" i="1"/>
  <c r="L26" i="1"/>
  <c r="L25" i="1"/>
  <c r="F7" i="1"/>
  <c r="F13" i="1" s="1"/>
  <c r="F34" i="1" s="1"/>
  <c r="G7" i="1"/>
  <c r="H7" i="1"/>
  <c r="H13" i="1" s="1"/>
  <c r="H17" i="1" s="1"/>
  <c r="H20" i="1" s="1"/>
  <c r="H22" i="1" s="1"/>
  <c r="I7" i="1"/>
  <c r="L7" i="1"/>
  <c r="K7" i="1"/>
  <c r="K13" i="1" s="1"/>
  <c r="K17" i="1" s="1"/>
  <c r="K20" i="1" s="1"/>
  <c r="K22" i="1" s="1"/>
  <c r="J7" i="1"/>
  <c r="J13" i="1" s="1"/>
  <c r="J17" i="1" s="1"/>
  <c r="J20" i="1" s="1"/>
  <c r="J22" i="1" s="1"/>
  <c r="L8" i="2"/>
  <c r="L7" i="2"/>
  <c r="U3" i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M7" i="2"/>
  <c r="M8" i="2" s="1"/>
  <c r="L6" i="2"/>
  <c r="AZ21" i="1" l="1"/>
  <c r="AZ22" i="1" s="1"/>
  <c r="AY21" i="1"/>
  <c r="AY22" i="1" s="1"/>
  <c r="BC22" i="1"/>
  <c r="BD22" i="1"/>
  <c r="AP20" i="1"/>
  <c r="AP22" i="1" s="1"/>
  <c r="I28" i="1"/>
  <c r="AU28" i="1"/>
  <c r="AQ20" i="1"/>
  <c r="AQ22" i="1" s="1"/>
  <c r="AW30" i="1"/>
  <c r="L28" i="1"/>
  <c r="AW31" i="1"/>
  <c r="AN35" i="1"/>
  <c r="AM20" i="1"/>
  <c r="AM22" i="1" s="1"/>
  <c r="AS34" i="1"/>
  <c r="AS17" i="1"/>
  <c r="AS20" i="1" s="1"/>
  <c r="AS22" i="1" s="1"/>
  <c r="AT28" i="1"/>
  <c r="AT13" i="1"/>
  <c r="D17" i="1"/>
  <c r="D35" i="1" s="1"/>
  <c r="D34" i="1"/>
  <c r="AW25" i="1"/>
  <c r="AU35" i="1"/>
  <c r="AW26" i="1"/>
  <c r="AW7" i="1"/>
  <c r="E34" i="1"/>
  <c r="J32" i="1"/>
  <c r="K32" i="1"/>
  <c r="H32" i="1"/>
  <c r="J28" i="1"/>
  <c r="F17" i="1"/>
  <c r="F20" i="1" s="1"/>
  <c r="F22" i="1" s="1"/>
  <c r="G13" i="1"/>
  <c r="K28" i="1"/>
  <c r="I13" i="1"/>
  <c r="H28" i="1"/>
  <c r="G28" i="1"/>
  <c r="AV7" i="1"/>
  <c r="AV28" i="1" s="1"/>
  <c r="C13" i="1"/>
  <c r="E35" i="1"/>
  <c r="J35" i="1"/>
  <c r="J34" i="1"/>
  <c r="L13" i="1"/>
  <c r="L17" i="1" s="1"/>
  <c r="H34" i="1"/>
  <c r="G17" i="1"/>
  <c r="H35" i="1"/>
  <c r="K34" i="1"/>
  <c r="K35" i="1"/>
  <c r="L9" i="2"/>
  <c r="D20" i="1" l="1"/>
  <c r="D22" i="1" s="1"/>
  <c r="AS35" i="1"/>
  <c r="AT34" i="1"/>
  <c r="AT32" i="1"/>
  <c r="AT17" i="1"/>
  <c r="AU32" i="1"/>
  <c r="F35" i="1"/>
  <c r="C34" i="1"/>
  <c r="AV13" i="1"/>
  <c r="C17" i="1"/>
  <c r="I17" i="1"/>
  <c r="I20" i="1" s="1"/>
  <c r="I22" i="1" s="1"/>
  <c r="I32" i="1"/>
  <c r="AW17" i="1"/>
  <c r="AW35" i="1" s="1"/>
  <c r="L34" i="1"/>
  <c r="L32" i="1"/>
  <c r="I34" i="1"/>
  <c r="AW13" i="1"/>
  <c r="AX13" i="1" s="1"/>
  <c r="G32" i="1"/>
  <c r="G34" i="1"/>
  <c r="AW28" i="1"/>
  <c r="L20" i="1"/>
  <c r="L22" i="1" s="1"/>
  <c r="L35" i="1"/>
  <c r="G20" i="1"/>
  <c r="G35" i="1"/>
  <c r="AX35" i="1" l="1"/>
  <c r="AX34" i="1"/>
  <c r="AY13" i="1"/>
  <c r="AZ13" i="1" s="1"/>
  <c r="BA13" i="1" s="1"/>
  <c r="BB13" i="1" s="1"/>
  <c r="BC13" i="1" s="1"/>
  <c r="BD13" i="1" s="1"/>
  <c r="BE13" i="1" s="1"/>
  <c r="BF13" i="1" s="1"/>
  <c r="BG13" i="1" s="1"/>
  <c r="AT20" i="1"/>
  <c r="AT22" i="1" s="1"/>
  <c r="AT35" i="1"/>
  <c r="I35" i="1"/>
  <c r="AW34" i="1"/>
  <c r="AW32" i="1"/>
  <c r="AV17" i="1"/>
  <c r="AV35" i="1" s="1"/>
  <c r="C35" i="1"/>
  <c r="C20" i="1"/>
  <c r="AV34" i="1"/>
  <c r="AV32" i="1"/>
  <c r="G22" i="1"/>
  <c r="AW22" i="1" s="1"/>
  <c r="AW20" i="1"/>
  <c r="C22" i="1" l="1"/>
  <c r="AV22" i="1" s="1"/>
  <c r="AV20" i="1"/>
</calcChain>
</file>

<file path=xl/sharedStrings.xml><?xml version="1.0" encoding="utf-8"?>
<sst xmlns="http://schemas.openxmlformats.org/spreadsheetml/2006/main" count="122" uniqueCount="104">
  <si>
    <t>Q123</t>
  </si>
  <si>
    <t>Q223</t>
  </si>
  <si>
    <t>Q323</t>
  </si>
  <si>
    <t>Q423</t>
  </si>
  <si>
    <t>Q124</t>
  </si>
  <si>
    <t>Q224</t>
  </si>
  <si>
    <t>Q324</t>
  </si>
  <si>
    <t>Q424</t>
  </si>
  <si>
    <t>P</t>
  </si>
  <si>
    <t>S</t>
  </si>
  <si>
    <t>MC</t>
  </si>
  <si>
    <t>C</t>
  </si>
  <si>
    <t>D</t>
  </si>
  <si>
    <t>EV</t>
  </si>
  <si>
    <t>R&amp;D</t>
  </si>
  <si>
    <t>Interest and other</t>
  </si>
  <si>
    <t xml:space="preserve">EBT </t>
  </si>
  <si>
    <t>Taxes</t>
  </si>
  <si>
    <t>CCG</t>
  </si>
  <si>
    <t xml:space="preserve">Total Intel Products </t>
  </si>
  <si>
    <t>Mobileye</t>
  </si>
  <si>
    <t xml:space="preserve">CEO </t>
  </si>
  <si>
    <t xml:space="preserve">CFO </t>
  </si>
  <si>
    <t>David Zinsner</t>
  </si>
  <si>
    <t>Press</t>
  </si>
  <si>
    <t xml:space="preserve">contains </t>
  </si>
  <si>
    <t xml:space="preserve">icap to become stand alone investment fund </t>
  </si>
  <si>
    <t>appoints Eric Meurice and Steve Sanghi to BoD</t>
  </si>
  <si>
    <t>ceo Pat Gelsinger fired..basically</t>
  </si>
  <si>
    <t>$7.86B funding award under CHIPS Act</t>
  </si>
  <si>
    <t xml:space="preserve">foundry oeprating as separate entity </t>
  </si>
  <si>
    <t xml:space="preserve">products </t>
  </si>
  <si>
    <t>intel 4</t>
  </si>
  <si>
    <t>intel 3</t>
  </si>
  <si>
    <t>intel 18A</t>
  </si>
  <si>
    <t>"Some of our most advanced current and future products are or will be either exclusively manufactured by TSMC or reliant upon critical components, including various compute die, manufactured by TSMC."</t>
  </si>
  <si>
    <t>intel 7</t>
  </si>
  <si>
    <t>manufactured</t>
  </si>
  <si>
    <t xml:space="preserve">about </t>
  </si>
  <si>
    <t>AZ &amp; Israel</t>
  </si>
  <si>
    <t xml:space="preserve">13th and 14th gen intel core </t>
  </si>
  <si>
    <t>1st ever EUV Lithography, 20% performance over intel 7</t>
  </si>
  <si>
    <t xml:space="preserve">Ireland </t>
  </si>
  <si>
    <t>18% performance over intel 4</t>
  </si>
  <si>
    <t xml:space="preserve">Oregon/Ireland </t>
  </si>
  <si>
    <t xml:space="preserve">Pantehr Lake, starting 2025 </t>
  </si>
  <si>
    <t>intel 14A</t>
  </si>
  <si>
    <t xml:space="preserve">in development </t>
  </si>
  <si>
    <t>intl 20A</t>
  </si>
  <si>
    <t>2021-2023</t>
  </si>
  <si>
    <t>2023-2024</t>
  </si>
  <si>
    <t>already in high volproduction</t>
  </si>
  <si>
    <t>ramp up in 2024</t>
  </si>
  <si>
    <t>canceled, replace with intel 18A</t>
  </si>
  <si>
    <t xml:space="preserve">most important node, make or break </t>
  </si>
  <si>
    <t>2014-2019</t>
  </si>
  <si>
    <t xml:space="preserve">10nm issues </t>
  </si>
  <si>
    <t>planned for 2016, delayed until 2019 due to yield issues</t>
  </si>
  <si>
    <t xml:space="preserve">tsmc took over, amd caught up </t>
  </si>
  <si>
    <t>2020</t>
  </si>
  <si>
    <t xml:space="preserve">intel admits 7nm (intel 4) is delayed </t>
  </si>
  <si>
    <t>originally meant for 2021, but pushed to 2023</t>
  </si>
  <si>
    <t>ceo Bob Swan fired in 2021, Pat brought in to fix the problem</t>
  </si>
  <si>
    <t>2022</t>
  </si>
  <si>
    <t xml:space="preserve">intel's "five nodes in Four Years"plan announced </t>
  </si>
  <si>
    <t>promised</t>
  </si>
  <si>
    <t>intel 7 2022 (delivered but late)</t>
  </si>
  <si>
    <t xml:space="preserve">intel 4 (2023-2025) in high volume now </t>
  </si>
  <si>
    <t xml:space="preserve">intel 3 (2024) in progress </t>
  </si>
  <si>
    <t xml:space="preserve">intel 20A (2024) cancelled --&gt; intel 18A now the focus </t>
  </si>
  <si>
    <t xml:space="preserve">intel 18A (2025) no high vol proof yet </t>
  </si>
  <si>
    <t>Q125</t>
  </si>
  <si>
    <t>Q225</t>
  </si>
  <si>
    <t>Q325</t>
  </si>
  <si>
    <t>Q425</t>
  </si>
  <si>
    <t>$m</t>
  </si>
  <si>
    <t>DCAI</t>
  </si>
  <si>
    <t xml:space="preserve">Revenue </t>
  </si>
  <si>
    <t>CoS</t>
  </si>
  <si>
    <t>M,G&amp;A</t>
  </si>
  <si>
    <t>Op Income</t>
  </si>
  <si>
    <t>Equity Investments</t>
  </si>
  <si>
    <t>Net Income</t>
  </si>
  <si>
    <t xml:space="preserve">Intel Foundry </t>
  </si>
  <si>
    <t>All Other</t>
  </si>
  <si>
    <t>Interseg Elim</t>
  </si>
  <si>
    <t>Growth Analysis Y/Y</t>
  </si>
  <si>
    <t>GM%</t>
  </si>
  <si>
    <t>OM%</t>
  </si>
  <si>
    <t>Network/Edge</t>
  </si>
  <si>
    <t>Accelerated compsys</t>
  </si>
  <si>
    <t xml:space="preserve">% Of Revenue </t>
  </si>
  <si>
    <t>25R</t>
  </si>
  <si>
    <t>EV/25R Multiple</t>
  </si>
  <si>
    <t>Cash</t>
  </si>
  <si>
    <t>Debt</t>
  </si>
  <si>
    <t>Market Cap</t>
  </si>
  <si>
    <t>Shares</t>
  </si>
  <si>
    <t xml:space="preserve">Estimate </t>
  </si>
  <si>
    <t>Base</t>
  </si>
  <si>
    <t>Estimate</t>
  </si>
  <si>
    <t>Upside</t>
  </si>
  <si>
    <t>strong volume production now</t>
  </si>
  <si>
    <t>2028-2029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</si>
</sst>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#,##0.0"/>
    <numFmt numFmtId="167" formatCode="m/d;@"/>
    <numFmt numFmtId="172" formatCode="0.0\x"/>
    <numFmt numFmtId="173" formatCode="0.0%"/>
  </numFmts>
  <fonts count="6"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i/>
      <sz val="10"/>
      <color theme="1"/>
      <name val="ArialMT"/>
    </font>
    <font>
      <u/>
      <sz val="10"/>
      <color theme="10"/>
      <name val="ArialMT"/>
      <family val="2"/>
    </font>
    <font>
      <u/>
      <sz val="10"/>
      <color theme="1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65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14" fontId="4" fillId="0" borderId="0" xfId="1" applyNumberFormat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quotePrefix="1" applyNumberFormat="1"/>
    <xf numFmtId="167" fontId="0" fillId="0" borderId="0" xfId="0" applyNumberFormat="1"/>
    <xf numFmtId="3" fontId="0" fillId="0" borderId="0" xfId="0" applyNumberFormat="1" applyAlignment="1">
      <alignment horizontal="left" indent="1"/>
    </xf>
    <xf numFmtId="0" fontId="5" fillId="0" borderId="0" xfId="0" applyFont="1"/>
    <xf numFmtId="3" fontId="0" fillId="0" borderId="1" xfId="0" applyNumberFormat="1" applyBorder="1"/>
    <xf numFmtId="0" fontId="0" fillId="0" borderId="1" xfId="0" applyBorder="1"/>
    <xf numFmtId="3" fontId="0" fillId="0" borderId="0" xfId="0" applyNumberFormat="1" applyFill="1" applyBorder="1"/>
    <xf numFmtId="3" fontId="0" fillId="0" borderId="0" xfId="0" applyNumberFormat="1" applyAlignment="1">
      <alignment horizontal="left" indent="2"/>
    </xf>
    <xf numFmtId="9" fontId="0" fillId="2" borderId="0" xfId="0" applyNumberFormat="1" applyFill="1"/>
    <xf numFmtId="3" fontId="1" fillId="0" borderId="0" xfId="0" applyNumberFormat="1" applyFont="1"/>
    <xf numFmtId="172" fontId="0" fillId="0" borderId="0" xfId="0" applyNumberFormat="1"/>
    <xf numFmtId="0" fontId="1" fillId="0" borderId="0" xfId="0" applyFont="1"/>
    <xf numFmtId="17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42333</xdr:rowOff>
    </xdr:from>
    <xdr:to>
      <xdr:col>12</xdr:col>
      <xdr:colOff>8467</xdr:colOff>
      <xdr:row>54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0C7B33D-7CCE-83E2-FDCB-BF69C851566F}"/>
            </a:ext>
          </a:extLst>
        </xdr:cNvPr>
        <xdr:cNvCxnSpPr/>
      </xdr:nvCxnSpPr>
      <xdr:spPr>
        <a:xfrm flipH="1">
          <a:off x="6654800" y="42333"/>
          <a:ext cx="8467" cy="866986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8467</xdr:colOff>
      <xdr:row>0</xdr:row>
      <xdr:rowOff>0</xdr:rowOff>
    </xdr:from>
    <xdr:to>
      <xdr:col>49</xdr:col>
      <xdr:colOff>16935</xdr:colOff>
      <xdr:row>54</xdr:row>
      <xdr:rowOff>33867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9DEE7BA-FC7D-6149-BC4F-9E923004884D}"/>
            </a:ext>
          </a:extLst>
        </xdr:cNvPr>
        <xdr:cNvCxnSpPr/>
      </xdr:nvCxnSpPr>
      <xdr:spPr>
        <a:xfrm flipH="1">
          <a:off x="21844000" y="0"/>
          <a:ext cx="8468" cy="866986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.com/news-events/press-releases/detail/1719/intel-announces-retirement-of-ceo-pat-gelsinger" TargetMode="External"/><Relationship Id="rId2" Type="http://schemas.openxmlformats.org/officeDocument/2006/relationships/hyperlink" Target="https://www.intc.com/news-events/press-releases/detail/1721/intel-appoints-semiconductor-leaders-eric-meurice-and-steve" TargetMode="External"/><Relationship Id="rId1" Type="http://schemas.openxmlformats.org/officeDocument/2006/relationships/hyperlink" Target="https://www.intc.com/news-events/press-releases/detail/1725/intel-capital-to-become-standalone-investment-fund" TargetMode="External"/><Relationship Id="rId5" Type="http://schemas.openxmlformats.org/officeDocument/2006/relationships/hyperlink" Target="https://www.intc.com/news-events/press-releases/detail/1710/a-message-from-intel-ceo-pat-gelsinger-to-employees" TargetMode="External"/><Relationship Id="rId4" Type="http://schemas.openxmlformats.org/officeDocument/2006/relationships/hyperlink" Target="https://www.intc.com/news-events/press-releases/detail/1718/intel-and-biden-harris-administration-finalize-7-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ECD1-937E-3544-9E69-E40FA9858C1C}">
  <dimension ref="A1:BT49"/>
  <sheetViews>
    <sheetView showGridLines="0" tabSelected="1" zoomScaleNormal="15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P17" sqref="P17"/>
    </sheetView>
  </sheetViews>
  <sheetFormatPr baseColWidth="10" defaultColWidth="3.33203125" defaultRowHeight="13"/>
  <cols>
    <col min="1" max="1" width="3.5" bestFit="1" customWidth="1"/>
    <col min="2" max="2" width="19.1640625" bestFit="1" customWidth="1"/>
    <col min="3" max="12" width="6.6640625" bestFit="1" customWidth="1"/>
    <col min="13" max="14" width="5.5" bestFit="1" customWidth="1"/>
    <col min="15" max="17" width="5.6640625" customWidth="1"/>
    <col min="19" max="19" width="8.1640625" bestFit="1" customWidth="1"/>
    <col min="20" max="34" width="5.1640625" bestFit="1" customWidth="1"/>
    <col min="35" max="38" width="9.1640625" bestFit="1" customWidth="1"/>
    <col min="39" max="47" width="6.6640625" bestFit="1" customWidth="1"/>
    <col min="48" max="49" width="7.1640625" bestFit="1" customWidth="1"/>
    <col min="50" max="50" width="9.33203125" bestFit="1" customWidth="1"/>
    <col min="51" max="60" width="9.1640625" bestFit="1" customWidth="1"/>
    <col min="61" max="61" width="13.5" bestFit="1" customWidth="1"/>
    <col min="62" max="62" width="7.6640625" bestFit="1" customWidth="1"/>
    <col min="63" max="63" width="5.1640625" bestFit="1" customWidth="1"/>
    <col min="64" max="64" width="7.83203125" bestFit="1" customWidth="1"/>
    <col min="65" max="72" width="5.1640625" bestFit="1" customWidth="1"/>
  </cols>
  <sheetData>
    <row r="1" spans="1:72">
      <c r="A1" t="s">
        <v>75</v>
      </c>
    </row>
    <row r="2" spans="1:72" s="12" customFormat="1">
      <c r="K2" s="12">
        <v>45741</v>
      </c>
      <c r="L2" s="12">
        <v>45836</v>
      </c>
    </row>
    <row r="3" spans="1:7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71</v>
      </c>
      <c r="L3" t="s">
        <v>72</v>
      </c>
      <c r="M3" t="s">
        <v>73</v>
      </c>
      <c r="N3" t="s">
        <v>74</v>
      </c>
      <c r="T3">
        <v>1995</v>
      </c>
      <c r="U3">
        <f>+T3+1</f>
        <v>1996</v>
      </c>
      <c r="V3">
        <f t="shared" ref="V3:BT3" si="0">+U3+1</f>
        <v>1997</v>
      </c>
      <c r="W3">
        <f t="shared" si="0"/>
        <v>1998</v>
      </c>
      <c r="X3">
        <f t="shared" si="0"/>
        <v>1999</v>
      </c>
      <c r="Y3">
        <f t="shared" si="0"/>
        <v>2000</v>
      </c>
      <c r="Z3">
        <f t="shared" si="0"/>
        <v>2001</v>
      </c>
      <c r="AA3">
        <f t="shared" si="0"/>
        <v>2002</v>
      </c>
      <c r="AB3">
        <f t="shared" si="0"/>
        <v>2003</v>
      </c>
      <c r="AC3">
        <f t="shared" si="0"/>
        <v>2004</v>
      </c>
      <c r="AD3">
        <f t="shared" si="0"/>
        <v>2005</v>
      </c>
      <c r="AE3">
        <f t="shared" si="0"/>
        <v>2006</v>
      </c>
      <c r="AF3">
        <f t="shared" si="0"/>
        <v>2007</v>
      </c>
      <c r="AG3">
        <f t="shared" si="0"/>
        <v>2008</v>
      </c>
      <c r="AH3">
        <f t="shared" si="0"/>
        <v>2009</v>
      </c>
      <c r="AI3">
        <f t="shared" si="0"/>
        <v>2010</v>
      </c>
      <c r="AJ3">
        <f t="shared" si="0"/>
        <v>2011</v>
      </c>
      <c r="AK3">
        <f t="shared" si="0"/>
        <v>2012</v>
      </c>
      <c r="AL3">
        <f t="shared" si="0"/>
        <v>2013</v>
      </c>
      <c r="AM3">
        <f t="shared" si="0"/>
        <v>2014</v>
      </c>
      <c r="AN3">
        <f t="shared" si="0"/>
        <v>2015</v>
      </c>
      <c r="AO3">
        <f t="shared" si="0"/>
        <v>2016</v>
      </c>
      <c r="AP3">
        <f t="shared" si="0"/>
        <v>2017</v>
      </c>
      <c r="AQ3">
        <f t="shared" si="0"/>
        <v>2018</v>
      </c>
      <c r="AR3">
        <f t="shared" si="0"/>
        <v>2019</v>
      </c>
      <c r="AS3">
        <f t="shared" si="0"/>
        <v>2020</v>
      </c>
      <c r="AT3">
        <f t="shared" si="0"/>
        <v>2021</v>
      </c>
      <c r="AU3">
        <f t="shared" si="0"/>
        <v>2022</v>
      </c>
      <c r="AV3">
        <f t="shared" si="0"/>
        <v>2023</v>
      </c>
      <c r="AW3">
        <f t="shared" si="0"/>
        <v>2024</v>
      </c>
      <c r="AX3">
        <f t="shared" si="0"/>
        <v>2025</v>
      </c>
      <c r="AY3">
        <f t="shared" si="0"/>
        <v>2026</v>
      </c>
      <c r="AZ3">
        <f t="shared" si="0"/>
        <v>2027</v>
      </c>
      <c r="BA3">
        <f t="shared" si="0"/>
        <v>2028</v>
      </c>
      <c r="BB3">
        <f t="shared" si="0"/>
        <v>2029</v>
      </c>
      <c r="BC3">
        <f t="shared" si="0"/>
        <v>2030</v>
      </c>
      <c r="BD3">
        <f t="shared" si="0"/>
        <v>2031</v>
      </c>
      <c r="BE3">
        <f t="shared" si="0"/>
        <v>2032</v>
      </c>
      <c r="BF3">
        <f t="shared" si="0"/>
        <v>2033</v>
      </c>
      <c r="BG3">
        <f t="shared" si="0"/>
        <v>2034</v>
      </c>
      <c r="BH3">
        <f t="shared" si="0"/>
        <v>2035</v>
      </c>
      <c r="BI3">
        <f t="shared" si="0"/>
        <v>2036</v>
      </c>
      <c r="BJ3">
        <f t="shared" si="0"/>
        <v>2037</v>
      </c>
      <c r="BK3">
        <f t="shared" si="0"/>
        <v>2038</v>
      </c>
      <c r="BL3">
        <f t="shared" si="0"/>
        <v>2039</v>
      </c>
      <c r="BM3">
        <f t="shared" si="0"/>
        <v>2040</v>
      </c>
      <c r="BN3">
        <f t="shared" si="0"/>
        <v>2041</v>
      </c>
      <c r="BO3">
        <f t="shared" si="0"/>
        <v>2042</v>
      </c>
      <c r="BP3">
        <f t="shared" si="0"/>
        <v>2043</v>
      </c>
      <c r="BQ3">
        <f t="shared" si="0"/>
        <v>2044</v>
      </c>
      <c r="BR3">
        <f t="shared" si="0"/>
        <v>2045</v>
      </c>
      <c r="BS3">
        <f t="shared" si="0"/>
        <v>2046</v>
      </c>
      <c r="BT3">
        <f t="shared" si="0"/>
        <v>2047</v>
      </c>
    </row>
    <row r="4" spans="1:72" s="1" customFormat="1">
      <c r="B4" s="18" t="s">
        <v>18</v>
      </c>
      <c r="C4" s="1">
        <v>5767</v>
      </c>
      <c r="D4" s="1">
        <v>6780</v>
      </c>
      <c r="E4" s="1">
        <v>7867</v>
      </c>
      <c r="F4" s="1">
        <v>8844</v>
      </c>
      <c r="G4" s="1">
        <v>8273</v>
      </c>
      <c r="H4" s="1">
        <v>8143</v>
      </c>
      <c r="I4" s="1">
        <v>7330</v>
      </c>
      <c r="J4" s="1">
        <v>8017</v>
      </c>
      <c r="K4" s="1">
        <v>7629</v>
      </c>
      <c r="L4" s="1">
        <v>7871</v>
      </c>
      <c r="AR4" s="1">
        <v>37146</v>
      </c>
      <c r="AS4" s="1">
        <v>40057</v>
      </c>
      <c r="AT4" s="1">
        <v>41067</v>
      </c>
      <c r="AU4" s="1">
        <v>31708</v>
      </c>
      <c r="AV4" s="1">
        <f>SUM(C4:F4)</f>
        <v>29258</v>
      </c>
      <c r="AW4" s="1">
        <f>SUM(G4:J4)</f>
        <v>31763</v>
      </c>
    </row>
    <row r="5" spans="1:72" s="1" customFormat="1">
      <c r="B5" s="18" t="s">
        <v>76</v>
      </c>
      <c r="C5" s="1">
        <v>2901</v>
      </c>
      <c r="D5" s="1">
        <v>3155</v>
      </c>
      <c r="E5" s="1">
        <v>3076</v>
      </c>
      <c r="F5" s="1">
        <v>3503</v>
      </c>
      <c r="G5" s="1">
        <v>3828</v>
      </c>
      <c r="H5" s="1">
        <v>3805</v>
      </c>
      <c r="I5" s="1">
        <v>3349</v>
      </c>
      <c r="J5" s="1">
        <v>3387</v>
      </c>
      <c r="K5" s="1">
        <v>4126</v>
      </c>
      <c r="L5" s="1">
        <v>3939</v>
      </c>
      <c r="AR5" s="1">
        <v>23481</v>
      </c>
      <c r="AS5" s="1">
        <v>26103</v>
      </c>
      <c r="AT5" s="1">
        <v>22691</v>
      </c>
      <c r="AU5" s="1">
        <v>19196</v>
      </c>
      <c r="AV5" s="1">
        <f t="shared" ref="AV5:AV13" si="1">SUM(C5:F5)</f>
        <v>12635</v>
      </c>
      <c r="AW5" s="1">
        <f t="shared" ref="AW5:AW13" si="2">SUM(G5:J5)</f>
        <v>14369</v>
      </c>
    </row>
    <row r="6" spans="1:72" s="1" customFormat="1">
      <c r="B6" s="18" t="s">
        <v>89</v>
      </c>
      <c r="C6" s="1">
        <v>1489</v>
      </c>
      <c r="D6" s="1">
        <v>1364</v>
      </c>
      <c r="E6" s="1">
        <v>1450</v>
      </c>
      <c r="F6" s="1">
        <v>1471</v>
      </c>
      <c r="I6" s="1">
        <v>1511</v>
      </c>
      <c r="J6" s="1">
        <v>1623</v>
      </c>
      <c r="AT6" s="1">
        <v>7976</v>
      </c>
      <c r="AU6" s="1">
        <v>8873</v>
      </c>
      <c r="AV6" s="1">
        <f t="shared" si="1"/>
        <v>5774</v>
      </c>
      <c r="AW6" s="1">
        <f t="shared" si="2"/>
        <v>3134</v>
      </c>
    </row>
    <row r="7" spans="1:72" s="1" customFormat="1">
      <c r="B7" s="13" t="s">
        <v>19</v>
      </c>
      <c r="C7" s="1">
        <f>SUM(C4:C6)</f>
        <v>10157</v>
      </c>
      <c r="D7" s="1">
        <f>SUM(D4:D6)</f>
        <v>11299</v>
      </c>
      <c r="E7" s="1">
        <f>SUM(E4:E6)</f>
        <v>12393</v>
      </c>
      <c r="F7" s="1">
        <f>SUM(F4:F6)</f>
        <v>13818</v>
      </c>
      <c r="G7" s="1">
        <f>SUM(G4:G6)</f>
        <v>12101</v>
      </c>
      <c r="H7" s="1">
        <f>SUM(H4:H6)</f>
        <v>11948</v>
      </c>
      <c r="I7" s="1">
        <f>SUM(I4:I6)</f>
        <v>12190</v>
      </c>
      <c r="J7" s="1">
        <f>SUM(J4:J6)</f>
        <v>13027</v>
      </c>
      <c r="K7" s="1">
        <f>SUM(K4:K6)</f>
        <v>11755</v>
      </c>
      <c r="L7" s="1">
        <f>SUM(L4:L6)</f>
        <v>11810</v>
      </c>
      <c r="AT7" s="1">
        <f t="shared" ref="AT7:AU7" si="3">SUM(AT4:AT6)</f>
        <v>71734</v>
      </c>
      <c r="AU7" s="1">
        <f t="shared" si="3"/>
        <v>59777</v>
      </c>
      <c r="AV7" s="1">
        <f t="shared" si="1"/>
        <v>47667</v>
      </c>
      <c r="AW7" s="1">
        <f t="shared" si="2"/>
        <v>49266</v>
      </c>
    </row>
    <row r="8" spans="1:72" s="1" customFormat="1">
      <c r="B8" s="13" t="s">
        <v>20</v>
      </c>
      <c r="AT8" s="1">
        <v>1386</v>
      </c>
      <c r="AU8" s="1">
        <v>1869</v>
      </c>
    </row>
    <row r="9" spans="1:72" s="1" customFormat="1">
      <c r="B9" s="13" t="s">
        <v>90</v>
      </c>
      <c r="AT9" s="1">
        <v>774</v>
      </c>
      <c r="AU9" s="1">
        <v>837</v>
      </c>
    </row>
    <row r="10" spans="1:72">
      <c r="B10" s="13" t="s">
        <v>83</v>
      </c>
      <c r="C10" s="1">
        <v>4831</v>
      </c>
      <c r="D10" s="1">
        <v>4172</v>
      </c>
      <c r="E10" s="1">
        <v>4732</v>
      </c>
      <c r="F10" s="1">
        <v>5175</v>
      </c>
      <c r="G10" s="1">
        <v>4356</v>
      </c>
      <c r="H10" s="1">
        <v>4282</v>
      </c>
      <c r="I10" s="1">
        <v>4352</v>
      </c>
      <c r="J10" s="1">
        <v>4502</v>
      </c>
      <c r="K10" s="1">
        <v>4667</v>
      </c>
      <c r="L10" s="1">
        <v>4417</v>
      </c>
      <c r="AT10" s="1">
        <v>786</v>
      </c>
      <c r="AU10" s="1">
        <v>895</v>
      </c>
      <c r="AV10" s="1">
        <f t="shared" si="1"/>
        <v>18910</v>
      </c>
      <c r="AW10" s="1">
        <f t="shared" si="2"/>
        <v>17492</v>
      </c>
    </row>
    <row r="11" spans="1:72">
      <c r="B11" s="13" t="s">
        <v>84</v>
      </c>
      <c r="C11" s="1">
        <v>1440</v>
      </c>
      <c r="D11" s="1">
        <v>1419</v>
      </c>
      <c r="E11" s="1">
        <v>1452</v>
      </c>
      <c r="F11" s="1">
        <v>1297</v>
      </c>
      <c r="G11" s="1">
        <v>643</v>
      </c>
      <c r="H11" s="1">
        <v>881</v>
      </c>
      <c r="I11" s="1">
        <v>1039</v>
      </c>
      <c r="J11" s="1">
        <v>1042</v>
      </c>
      <c r="K11" s="1">
        <v>943</v>
      </c>
      <c r="L11" s="1">
        <v>1053</v>
      </c>
      <c r="AT11" s="1">
        <v>5019</v>
      </c>
      <c r="AU11" s="1">
        <v>196</v>
      </c>
      <c r="AV11" s="1">
        <f t="shared" si="1"/>
        <v>5608</v>
      </c>
      <c r="AW11" s="1">
        <f t="shared" si="2"/>
        <v>3605</v>
      </c>
    </row>
    <row r="12" spans="1:72">
      <c r="B12" s="13" t="s">
        <v>85</v>
      </c>
      <c r="C12" s="1">
        <v>-4713</v>
      </c>
      <c r="D12" s="1">
        <v>-3941</v>
      </c>
      <c r="E12" s="1">
        <v>-4419</v>
      </c>
      <c r="F12" s="1">
        <v>-4884</v>
      </c>
      <c r="G12" s="1">
        <v>-4376</v>
      </c>
      <c r="H12" s="1">
        <v>-4278</v>
      </c>
      <c r="I12" s="1">
        <v>-4297</v>
      </c>
      <c r="J12" s="1">
        <v>-4311</v>
      </c>
      <c r="K12" s="1">
        <v>-4698</v>
      </c>
      <c r="L12" s="1">
        <v>-4421</v>
      </c>
      <c r="AV12" s="1">
        <f t="shared" si="1"/>
        <v>-17957</v>
      </c>
      <c r="AW12" s="1">
        <f t="shared" si="2"/>
        <v>-17262</v>
      </c>
    </row>
    <row r="13" spans="1:72">
      <c r="B13" s="15" t="s">
        <v>77</v>
      </c>
      <c r="C13" s="15">
        <f>+SUM(C7:C12)</f>
        <v>11715</v>
      </c>
      <c r="D13" s="15">
        <f>+SUM(D7:D12)</f>
        <v>12949</v>
      </c>
      <c r="E13" s="15">
        <f>+SUM(E7:E12)</f>
        <v>14158</v>
      </c>
      <c r="F13" s="15">
        <f>+SUM(F7:F12)</f>
        <v>15406</v>
      </c>
      <c r="G13" s="15">
        <f>+SUM(G7:G12)</f>
        <v>12724</v>
      </c>
      <c r="H13" s="15">
        <f>+SUM(H7:H12)</f>
        <v>12833</v>
      </c>
      <c r="I13" s="15">
        <f>+SUM(I7:I12)</f>
        <v>13284</v>
      </c>
      <c r="J13" s="15">
        <f>+SUM(J7:J12)</f>
        <v>14260</v>
      </c>
      <c r="K13" s="15">
        <f>+SUM(K7:K12)</f>
        <v>12667</v>
      </c>
      <c r="L13" s="15">
        <f>+SUM(L7:L12)</f>
        <v>12859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5">
        <v>43623</v>
      </c>
      <c r="AJ13" s="15">
        <v>53999</v>
      </c>
      <c r="AK13" s="15">
        <v>53341</v>
      </c>
      <c r="AL13" s="15">
        <v>52708</v>
      </c>
      <c r="AM13" s="15">
        <v>55870</v>
      </c>
      <c r="AN13" s="15">
        <v>55355</v>
      </c>
      <c r="AO13" s="15">
        <v>59387</v>
      </c>
      <c r="AP13" s="15">
        <v>62761</v>
      </c>
      <c r="AQ13" s="15">
        <v>70848</v>
      </c>
      <c r="AR13" s="15">
        <v>71965</v>
      </c>
      <c r="AS13" s="15">
        <v>77867</v>
      </c>
      <c r="AT13" s="15">
        <f>+SUM(AT7:AT12)</f>
        <v>79699</v>
      </c>
      <c r="AU13" s="15">
        <f>+SUM(AU7:AU12)</f>
        <v>63574</v>
      </c>
      <c r="AV13" s="15">
        <f t="shared" si="1"/>
        <v>54228</v>
      </c>
      <c r="AW13" s="15">
        <f t="shared" si="2"/>
        <v>53101</v>
      </c>
      <c r="AX13" s="15">
        <f>+AW13*0.98</f>
        <v>52038.979999999996</v>
      </c>
      <c r="AY13" s="15">
        <f t="shared" ref="AY13:BI13" si="4">+AX13*0.98</f>
        <v>50998.200399999994</v>
      </c>
      <c r="AZ13" s="15">
        <f t="shared" si="4"/>
        <v>49978.236391999992</v>
      </c>
      <c r="BA13" s="15">
        <f t="shared" si="4"/>
        <v>48978.671664159992</v>
      </c>
      <c r="BB13" s="15">
        <f t="shared" si="4"/>
        <v>47999.098230876793</v>
      </c>
      <c r="BC13" s="15">
        <f t="shared" si="4"/>
        <v>47039.116266259254</v>
      </c>
      <c r="BD13" s="15">
        <f t="shared" si="4"/>
        <v>46098.33394093407</v>
      </c>
      <c r="BE13" s="15">
        <f t="shared" si="4"/>
        <v>45176.367262115389</v>
      </c>
      <c r="BF13" s="15">
        <f t="shared" si="4"/>
        <v>44272.839916873083</v>
      </c>
      <c r="BG13" s="15">
        <f t="shared" si="4"/>
        <v>43387.383118535618</v>
      </c>
      <c r="BH13" s="15"/>
      <c r="BI13" s="15"/>
    </row>
    <row r="14" spans="1:72" s="1" customFormat="1">
      <c r="B14" s="1" t="s">
        <v>78</v>
      </c>
      <c r="C14" s="17">
        <v>7707</v>
      </c>
      <c r="D14" s="17">
        <v>8311</v>
      </c>
      <c r="E14" s="17">
        <v>8140</v>
      </c>
      <c r="F14" s="17">
        <v>8359</v>
      </c>
      <c r="G14" s="1">
        <v>7507</v>
      </c>
      <c r="H14" s="1">
        <v>8286</v>
      </c>
      <c r="I14" s="17">
        <v>11287</v>
      </c>
      <c r="J14" s="17">
        <v>8676</v>
      </c>
      <c r="K14" s="1">
        <v>7995</v>
      </c>
      <c r="L14" s="1">
        <v>9317</v>
      </c>
      <c r="AM14" s="1">
        <v>20261</v>
      </c>
      <c r="AN14" s="1">
        <v>20676</v>
      </c>
      <c r="AO14" s="1">
        <v>23154</v>
      </c>
      <c r="AP14" s="1">
        <v>23663</v>
      </c>
      <c r="AQ14" s="1">
        <v>27111</v>
      </c>
      <c r="AR14" s="1">
        <v>29825</v>
      </c>
      <c r="AS14" s="1">
        <v>34255</v>
      </c>
      <c r="AT14" s="1">
        <v>35209</v>
      </c>
      <c r="AU14" s="1">
        <v>36188</v>
      </c>
      <c r="AV14" s="1">
        <f t="shared" ref="AV14" si="5">SUM(C14:F14)</f>
        <v>32517</v>
      </c>
      <c r="AW14" s="1">
        <f t="shared" ref="AW14" si="6">SUM(G14:J14)</f>
        <v>35756</v>
      </c>
      <c r="AX14" s="1">
        <f>+AX13*0.72</f>
        <v>37468.065599999994</v>
      </c>
      <c r="AY14" s="1">
        <f t="shared" ref="AY14:BE14" si="7">+AY13*0.72</f>
        <v>36718.704287999994</v>
      </c>
      <c r="AZ14" s="1">
        <f t="shared" si="7"/>
        <v>35984.330202239995</v>
      </c>
      <c r="BA14" s="1">
        <f t="shared" si="7"/>
        <v>35264.643598195194</v>
      </c>
      <c r="BB14" s="1">
        <f t="shared" si="7"/>
        <v>34559.350726231292</v>
      </c>
      <c r="BC14" s="1">
        <f t="shared" si="7"/>
        <v>33868.163711706664</v>
      </c>
      <c r="BD14" s="1">
        <f t="shared" si="7"/>
        <v>33190.800437472528</v>
      </c>
      <c r="BE14" s="1">
        <f t="shared" si="7"/>
        <v>32526.984428723081</v>
      </c>
    </row>
    <row r="15" spans="1:72" s="1" customFormat="1">
      <c r="B15" s="1" t="s">
        <v>14</v>
      </c>
      <c r="C15" s="17">
        <v>4109</v>
      </c>
      <c r="D15" s="17">
        <v>4080</v>
      </c>
      <c r="E15" s="17">
        <v>3870</v>
      </c>
      <c r="F15" s="17">
        <v>3987</v>
      </c>
      <c r="G15" s="1">
        <v>4382</v>
      </c>
      <c r="H15" s="1">
        <v>4239</v>
      </c>
      <c r="I15" s="17">
        <v>4049</v>
      </c>
      <c r="J15" s="17">
        <v>3876</v>
      </c>
      <c r="K15" s="1">
        <v>3640</v>
      </c>
      <c r="L15" s="1">
        <v>3684</v>
      </c>
      <c r="AM15" s="1">
        <v>11537</v>
      </c>
      <c r="AN15" s="1">
        <v>12128</v>
      </c>
      <c r="AO15" s="1">
        <v>12685</v>
      </c>
      <c r="AP15" s="1">
        <v>13035</v>
      </c>
      <c r="AQ15" s="1">
        <v>13543</v>
      </c>
      <c r="AR15" s="1">
        <v>13362</v>
      </c>
      <c r="AS15" s="1">
        <v>13556</v>
      </c>
      <c r="AT15" s="1">
        <v>15190</v>
      </c>
      <c r="AU15" s="1">
        <v>17528</v>
      </c>
      <c r="AV15" s="1">
        <f t="shared" ref="AV15:AX22" si="8">SUM(C15:F15)</f>
        <v>16046</v>
      </c>
      <c r="AW15" s="1">
        <f t="shared" ref="AW15:AW22" si="9">SUM(G15:J15)</f>
        <v>16546</v>
      </c>
      <c r="AX15" s="1">
        <f>+AX13*0.29</f>
        <v>15091.304199999999</v>
      </c>
      <c r="AY15" s="1">
        <f t="shared" ref="AY15:BE15" si="10">+AY13*0.29</f>
        <v>14789.478115999997</v>
      </c>
      <c r="AZ15" s="1">
        <f t="shared" si="10"/>
        <v>14493.688553679996</v>
      </c>
      <c r="BA15" s="1">
        <f t="shared" si="10"/>
        <v>14203.814782606396</v>
      </c>
      <c r="BB15" s="1">
        <f t="shared" si="10"/>
        <v>13919.738486954269</v>
      </c>
      <c r="BC15" s="1">
        <f t="shared" si="10"/>
        <v>13641.343717215183</v>
      </c>
      <c r="BD15" s="1">
        <f t="shared" si="10"/>
        <v>13368.516842870878</v>
      </c>
      <c r="BE15" s="1">
        <f t="shared" si="10"/>
        <v>13101.146506013461</v>
      </c>
    </row>
    <row r="16" spans="1:72" s="1" customFormat="1">
      <c r="B16" s="1" t="s">
        <v>79</v>
      </c>
      <c r="C16" s="17">
        <v>1303</v>
      </c>
      <c r="D16" s="17">
        <v>1374</v>
      </c>
      <c r="E16" s="17">
        <v>1340</v>
      </c>
      <c r="F16" s="17">
        <v>1617</v>
      </c>
      <c r="G16" s="1">
        <v>1556</v>
      </c>
      <c r="H16" s="1">
        <v>1329</v>
      </c>
      <c r="I16" s="17">
        <v>1383</v>
      </c>
      <c r="J16" s="17">
        <v>1239</v>
      </c>
      <c r="K16" s="1">
        <v>1177</v>
      </c>
      <c r="L16" s="1">
        <v>1144</v>
      </c>
      <c r="AM16" s="1">
        <v>8136</v>
      </c>
      <c r="AN16" s="1">
        <v>7930</v>
      </c>
      <c r="AO16" s="1">
        <v>8377</v>
      </c>
      <c r="AP16" s="1">
        <v>7452</v>
      </c>
      <c r="AQ16" s="1">
        <v>6750</v>
      </c>
      <c r="AR16" s="1">
        <v>6350</v>
      </c>
      <c r="AS16" s="1">
        <v>6180</v>
      </c>
      <c r="AT16" s="1">
        <v>6543</v>
      </c>
      <c r="AU16" s="1">
        <v>7002</v>
      </c>
      <c r="AV16" s="1">
        <f t="shared" si="8"/>
        <v>5634</v>
      </c>
      <c r="AW16" s="1">
        <f t="shared" si="9"/>
        <v>5507</v>
      </c>
      <c r="AX16" s="1">
        <f>+AX13*0.09</f>
        <v>4683.5081999999993</v>
      </c>
      <c r="AY16" s="1">
        <f t="shared" ref="AY16:BE16" si="11">+AY13*0.09</f>
        <v>4589.8380359999992</v>
      </c>
      <c r="AZ16" s="1">
        <f t="shared" si="11"/>
        <v>4498.0412752799994</v>
      </c>
      <c r="BA16" s="1">
        <f t="shared" si="11"/>
        <v>4408.0804497743993</v>
      </c>
      <c r="BB16" s="1">
        <f t="shared" si="11"/>
        <v>4319.9188407789115</v>
      </c>
      <c r="BC16" s="1">
        <f t="shared" si="11"/>
        <v>4233.520463963333</v>
      </c>
      <c r="BD16" s="1">
        <f t="shared" si="11"/>
        <v>4148.850054684066</v>
      </c>
      <c r="BE16" s="1">
        <f t="shared" si="11"/>
        <v>4065.8730535903851</v>
      </c>
    </row>
    <row r="17" spans="2:57" s="1" customFormat="1">
      <c r="B17" s="1" t="s">
        <v>80</v>
      </c>
      <c r="C17" s="1">
        <f>+C13-SUM(C14:C16)</f>
        <v>-1404</v>
      </c>
      <c r="D17" s="1">
        <f>+D13-SUM(D14:D16)</f>
        <v>-816</v>
      </c>
      <c r="E17" s="1">
        <f>+E13-SUM(E14:E16)</f>
        <v>808</v>
      </c>
      <c r="F17" s="1">
        <f>+F13-SUM(F14:F16)</f>
        <v>1443</v>
      </c>
      <c r="G17" s="1">
        <f>+G13-SUM(G14:G16)</f>
        <v>-721</v>
      </c>
      <c r="H17" s="1">
        <f>+H13-SUM(H14:H16)</f>
        <v>-1021</v>
      </c>
      <c r="I17" s="1">
        <f>+I13-SUM(I14:I16)</f>
        <v>-3435</v>
      </c>
      <c r="J17" s="1">
        <f>+J13-SUM(J14:J16)</f>
        <v>469</v>
      </c>
      <c r="K17" s="1">
        <f>+K13-SUM(K14:K16)</f>
        <v>-145</v>
      </c>
      <c r="L17" s="1">
        <f>+L13-SUM(L14:L16)</f>
        <v>-1286</v>
      </c>
      <c r="AM17" s="1">
        <f t="shared" ref="AM17:AQ17" si="12">+AM13-SUM(AM14:AM16)</f>
        <v>15936</v>
      </c>
      <c r="AN17" s="1">
        <f t="shared" si="12"/>
        <v>14621</v>
      </c>
      <c r="AO17" s="1">
        <f t="shared" si="12"/>
        <v>15171</v>
      </c>
      <c r="AP17" s="1">
        <f t="shared" si="12"/>
        <v>18611</v>
      </c>
      <c r="AQ17" s="1">
        <f t="shared" si="12"/>
        <v>23444</v>
      </c>
      <c r="AR17" s="1">
        <f>+AR13-SUM(AR14:AR16)</f>
        <v>22428</v>
      </c>
      <c r="AS17" s="1">
        <f>+AS13-SUM(AS14:AS16)</f>
        <v>23876</v>
      </c>
      <c r="AT17" s="1">
        <f>+AT13-SUM(AT14:AT16)</f>
        <v>22757</v>
      </c>
      <c r="AU17" s="1">
        <f>+AU13-SUM(AU14:AU16)</f>
        <v>2856</v>
      </c>
      <c r="AV17" s="1">
        <f t="shared" si="8"/>
        <v>31</v>
      </c>
      <c r="AW17" s="1">
        <f t="shared" si="9"/>
        <v>-4708</v>
      </c>
      <c r="AX17" s="1">
        <f>+AX13-SUM(AX14:AX16)</f>
        <v>-5203.8979999999938</v>
      </c>
      <c r="AY17" s="1">
        <f t="shared" ref="AY17:BE17" si="13">+AY13-SUM(AY14:AY16)</f>
        <v>-5099.8200399999987</v>
      </c>
      <c r="AZ17" s="1">
        <f t="shared" si="13"/>
        <v>-4997.8236391999963</v>
      </c>
      <c r="BA17" s="1">
        <f t="shared" si="13"/>
        <v>-4897.867166415992</v>
      </c>
      <c r="BB17" s="1">
        <f t="shared" si="13"/>
        <v>-4799.9098230876843</v>
      </c>
      <c r="BC17" s="1">
        <f t="shared" si="13"/>
        <v>-4703.9116266259225</v>
      </c>
      <c r="BD17" s="1">
        <f t="shared" si="13"/>
        <v>-4609.8333940934026</v>
      </c>
      <c r="BE17" s="1">
        <f t="shared" si="13"/>
        <v>-4517.6367262115455</v>
      </c>
    </row>
    <row r="18" spans="2:57" s="1" customFormat="1">
      <c r="B18" s="1" t="s">
        <v>81</v>
      </c>
      <c r="C18" s="1">
        <v>169</v>
      </c>
      <c r="D18" s="17">
        <v>-24</v>
      </c>
      <c r="E18" s="1">
        <v>-191</v>
      </c>
      <c r="F18" s="17">
        <v>86</v>
      </c>
      <c r="G18" s="1">
        <v>205</v>
      </c>
      <c r="H18" s="1">
        <v>-120</v>
      </c>
      <c r="I18" s="1">
        <v>-159</v>
      </c>
      <c r="J18" s="17">
        <v>316</v>
      </c>
      <c r="K18" s="1">
        <v>-112</v>
      </c>
      <c r="L18" s="1">
        <v>502</v>
      </c>
      <c r="AM18" s="1">
        <v>411</v>
      </c>
      <c r="AN18" s="1">
        <v>315</v>
      </c>
      <c r="AO18" s="1">
        <v>506</v>
      </c>
      <c r="AP18" s="1">
        <v>2651</v>
      </c>
      <c r="AQ18" s="1">
        <v>-125</v>
      </c>
      <c r="AR18" s="1">
        <v>1539</v>
      </c>
      <c r="AS18" s="1">
        <v>1904</v>
      </c>
      <c r="AT18" s="1">
        <v>2729</v>
      </c>
      <c r="AU18" s="1">
        <v>4268</v>
      </c>
      <c r="AV18" s="1">
        <f t="shared" si="8"/>
        <v>40</v>
      </c>
      <c r="AW18" s="1">
        <f t="shared" si="9"/>
        <v>242</v>
      </c>
    </row>
    <row r="19" spans="2:57" s="1" customFormat="1">
      <c r="B19" s="1" t="s">
        <v>15</v>
      </c>
      <c r="C19" s="1">
        <v>141</v>
      </c>
      <c r="D19" s="17">
        <v>224</v>
      </c>
      <c r="E19" s="1">
        <v>147</v>
      </c>
      <c r="F19" s="17">
        <v>117</v>
      </c>
      <c r="G19" s="1">
        <v>145</v>
      </c>
      <c r="H19" s="1">
        <v>80</v>
      </c>
      <c r="I19" s="1">
        <v>130</v>
      </c>
      <c r="J19" s="17">
        <v>-129</v>
      </c>
      <c r="K19" s="1">
        <v>-173</v>
      </c>
      <c r="L19" s="1">
        <v>-95</v>
      </c>
      <c r="AM19" s="1">
        <v>43</v>
      </c>
      <c r="AN19" s="1">
        <v>-105</v>
      </c>
      <c r="AO19" s="1">
        <v>-703</v>
      </c>
      <c r="AP19" s="1">
        <v>-349</v>
      </c>
      <c r="AQ19" s="1">
        <v>126</v>
      </c>
      <c r="AR19" s="1">
        <v>484</v>
      </c>
      <c r="AS19" s="1">
        <v>-504</v>
      </c>
      <c r="AT19" s="1">
        <v>-482</v>
      </c>
      <c r="AU19" s="1">
        <v>1166</v>
      </c>
      <c r="AV19" s="1">
        <f t="shared" si="8"/>
        <v>629</v>
      </c>
      <c r="AW19" s="1">
        <f t="shared" si="9"/>
        <v>226</v>
      </c>
    </row>
    <row r="20" spans="2:57" s="1" customFormat="1">
      <c r="B20" s="1" t="s">
        <v>16</v>
      </c>
      <c r="C20" s="1">
        <f>SUM(C17:C19)</f>
        <v>-1094</v>
      </c>
      <c r="D20" s="1">
        <f>SUM(D17:D19)</f>
        <v>-616</v>
      </c>
      <c r="E20" s="1">
        <f>SUM(E17:E19)</f>
        <v>764</v>
      </c>
      <c r="F20" s="1">
        <f>SUM(F17:F19)</f>
        <v>1646</v>
      </c>
      <c r="G20" s="1">
        <f>SUM(G17:G19)</f>
        <v>-371</v>
      </c>
      <c r="H20" s="1">
        <f>SUM(H17:H19)</f>
        <v>-1061</v>
      </c>
      <c r="I20" s="1">
        <f>SUM(I17:I19)</f>
        <v>-3464</v>
      </c>
      <c r="J20" s="1">
        <f>SUM(J17:J19)</f>
        <v>656</v>
      </c>
      <c r="K20" s="1">
        <f>SUM(K17:K19)</f>
        <v>-430</v>
      </c>
      <c r="L20" s="1">
        <f>SUM(L17:L19)</f>
        <v>-879</v>
      </c>
      <c r="AM20" s="1">
        <f t="shared" ref="AM20:AQ20" si="14">SUM(AM17:AM19)</f>
        <v>16390</v>
      </c>
      <c r="AN20" s="1">
        <f t="shared" si="14"/>
        <v>14831</v>
      </c>
      <c r="AO20" s="1">
        <f t="shared" si="14"/>
        <v>14974</v>
      </c>
      <c r="AP20" s="1">
        <f t="shared" si="14"/>
        <v>20913</v>
      </c>
      <c r="AQ20" s="1">
        <f t="shared" si="14"/>
        <v>23445</v>
      </c>
      <c r="AR20" s="1">
        <f>SUM(AR17:AR19)</f>
        <v>24451</v>
      </c>
      <c r="AS20" s="1">
        <f>SUM(AS17:AS19)</f>
        <v>25276</v>
      </c>
      <c r="AT20" s="1">
        <f>SUM(AT17:AT19)</f>
        <v>25004</v>
      </c>
      <c r="AU20" s="1">
        <f>SUM(AU17:AU19)</f>
        <v>8290</v>
      </c>
      <c r="AV20" s="1">
        <f t="shared" si="8"/>
        <v>700</v>
      </c>
      <c r="AW20" s="1">
        <f t="shared" si="9"/>
        <v>-4240</v>
      </c>
      <c r="AX20" s="1">
        <f>SUM(AX17:AX19)</f>
        <v>-5203.8979999999938</v>
      </c>
      <c r="AY20" s="1">
        <f t="shared" ref="AY20:BE20" si="15">SUM(AY17:AY19)</f>
        <v>-5099.8200399999987</v>
      </c>
      <c r="AZ20" s="1">
        <f t="shared" si="15"/>
        <v>-4997.8236391999963</v>
      </c>
      <c r="BA20" s="1">
        <f t="shared" si="15"/>
        <v>-4897.867166415992</v>
      </c>
      <c r="BB20" s="1">
        <f t="shared" si="15"/>
        <v>-4799.9098230876843</v>
      </c>
      <c r="BC20" s="1">
        <f t="shared" si="15"/>
        <v>-4703.9116266259225</v>
      </c>
      <c r="BD20" s="1">
        <f t="shared" si="15"/>
        <v>-4609.8333940934026</v>
      </c>
      <c r="BE20" s="1">
        <f t="shared" si="15"/>
        <v>-4517.6367262115455</v>
      </c>
    </row>
    <row r="21" spans="2:57" s="1" customFormat="1">
      <c r="B21" s="1" t="s">
        <v>17</v>
      </c>
      <c r="C21" s="1">
        <v>1610</v>
      </c>
      <c r="D21" s="17">
        <v>-2289</v>
      </c>
      <c r="E21" s="1">
        <v>-362</v>
      </c>
      <c r="F21" s="1">
        <v>128</v>
      </c>
      <c r="G21" s="1">
        <v>-282</v>
      </c>
      <c r="H21" s="1">
        <v>-350</v>
      </c>
      <c r="I21" s="1">
        <v>-350</v>
      </c>
      <c r="J21" s="1">
        <v>752</v>
      </c>
      <c r="K21" s="1">
        <v>301</v>
      </c>
      <c r="L21" s="1">
        <v>255</v>
      </c>
      <c r="AM21" s="1">
        <v>4097</v>
      </c>
      <c r="AN21" s="1">
        <v>2792</v>
      </c>
      <c r="AO21" s="1">
        <v>2620</v>
      </c>
      <c r="AP21" s="1">
        <v>10751</v>
      </c>
      <c r="AQ21" s="1">
        <v>2264</v>
      </c>
      <c r="AR21" s="1">
        <v>3010</v>
      </c>
      <c r="AS21" s="1">
        <v>4179</v>
      </c>
      <c r="AT21" s="1">
        <v>1835</v>
      </c>
      <c r="AU21" s="1">
        <v>-249</v>
      </c>
      <c r="AV21" s="1">
        <f t="shared" si="8"/>
        <v>-913</v>
      </c>
      <c r="AW21" s="1">
        <f t="shared" si="9"/>
        <v>-230</v>
      </c>
      <c r="AX21" s="5">
        <f>+AX20*0.21</f>
        <v>-1092.8185799999987</v>
      </c>
      <c r="AY21" s="5">
        <f t="shared" ref="AY21:BE21" si="16">+AY20*0.21</f>
        <v>-1070.9622083999998</v>
      </c>
      <c r="AZ21" s="5">
        <f t="shared" si="16"/>
        <v>-1049.5429642319991</v>
      </c>
      <c r="BA21" s="5">
        <f t="shared" si="16"/>
        <v>-1028.5521049473582</v>
      </c>
      <c r="BB21" s="5">
        <f t="shared" si="16"/>
        <v>-1007.9810628484137</v>
      </c>
      <c r="BC21" s="5">
        <f t="shared" si="16"/>
        <v>-987.82144159144366</v>
      </c>
      <c r="BD21" s="5">
        <f t="shared" si="16"/>
        <v>-968.06501275961455</v>
      </c>
      <c r="BE21" s="5">
        <f t="shared" si="16"/>
        <v>-948.70371250442452</v>
      </c>
    </row>
    <row r="22" spans="2:57" s="1" customFormat="1">
      <c r="B22" s="1" t="s">
        <v>82</v>
      </c>
      <c r="C22" s="1">
        <f>+C20-C21</f>
        <v>-2704</v>
      </c>
      <c r="D22" s="1">
        <f>+D20-D21</f>
        <v>1673</v>
      </c>
      <c r="E22" s="1">
        <f>+E20-E21</f>
        <v>1126</v>
      </c>
      <c r="F22" s="1">
        <f>+F20-F21</f>
        <v>1518</v>
      </c>
      <c r="G22" s="1">
        <f>+G20-G21</f>
        <v>-89</v>
      </c>
      <c r="H22" s="1">
        <f>+H20-H21</f>
        <v>-711</v>
      </c>
      <c r="I22" s="1">
        <f>+I20-I21</f>
        <v>-3114</v>
      </c>
      <c r="J22" s="1">
        <f>+J20-J21</f>
        <v>-96</v>
      </c>
      <c r="K22" s="1">
        <f>+K20-K21</f>
        <v>-731</v>
      </c>
      <c r="L22" s="1">
        <f>+L20-L21</f>
        <v>-1134</v>
      </c>
      <c r="AM22" s="1">
        <f t="shared" ref="AM22:AQ22" si="17">+AM20-AM21</f>
        <v>12293</v>
      </c>
      <c r="AN22" s="1">
        <f t="shared" si="17"/>
        <v>12039</v>
      </c>
      <c r="AO22" s="1">
        <f t="shared" si="17"/>
        <v>12354</v>
      </c>
      <c r="AP22" s="1">
        <f t="shared" si="17"/>
        <v>10162</v>
      </c>
      <c r="AQ22" s="1">
        <f t="shared" si="17"/>
        <v>21181</v>
      </c>
      <c r="AR22" s="1">
        <f>+AR20-AR21</f>
        <v>21441</v>
      </c>
      <c r="AS22" s="1">
        <f>+AS20-AS21</f>
        <v>21097</v>
      </c>
      <c r="AT22" s="1">
        <f>+AT20-AT21</f>
        <v>23169</v>
      </c>
      <c r="AU22" s="1">
        <f>+AU20-AU21</f>
        <v>8539</v>
      </c>
      <c r="AV22" s="1">
        <f t="shared" si="8"/>
        <v>1613</v>
      </c>
      <c r="AW22" s="1">
        <f t="shared" si="9"/>
        <v>-4010</v>
      </c>
      <c r="AX22" s="5">
        <f>+AX20-AX21</f>
        <v>-4111.0794199999946</v>
      </c>
      <c r="AY22" s="5">
        <f t="shared" ref="AY22:BE22" si="18">+AY20-AY21</f>
        <v>-4028.8578315999989</v>
      </c>
      <c r="AZ22" s="5">
        <f t="shared" si="18"/>
        <v>-3948.2806749679971</v>
      </c>
      <c r="BA22" s="5">
        <f t="shared" si="18"/>
        <v>-3869.3150614686338</v>
      </c>
      <c r="BB22" s="5">
        <f t="shared" si="18"/>
        <v>-3791.9287602392706</v>
      </c>
      <c r="BC22" s="5">
        <f t="shared" si="18"/>
        <v>-3716.090185034479</v>
      </c>
      <c r="BD22" s="5">
        <f t="shared" si="18"/>
        <v>-3641.7683813337881</v>
      </c>
      <c r="BE22" s="5">
        <f t="shared" si="18"/>
        <v>-3568.9330137071211</v>
      </c>
    </row>
    <row r="24" spans="2:57">
      <c r="B24" s="14" t="s">
        <v>86</v>
      </c>
    </row>
    <row r="25" spans="2:57" s="2" customFormat="1">
      <c r="B25" s="13" t="s">
        <v>18</v>
      </c>
      <c r="G25" s="2">
        <f>+IFERROR(G4/C4-1,"")</f>
        <v>0.4345413559909832</v>
      </c>
      <c r="H25" s="2">
        <f>+IFERROR(H4/D4-1,"")</f>
        <v>0.20103244837758116</v>
      </c>
      <c r="I25" s="2">
        <f>+IFERROR(I4/E4-1,"")</f>
        <v>-6.8259819499173813E-2</v>
      </c>
      <c r="J25" s="2">
        <f>+IFERROR(J4/F4-1,"")</f>
        <v>-9.3509724106739078E-2</v>
      </c>
      <c r="K25" s="2">
        <f>+IFERROR(K4/G4-1,"")</f>
        <v>-7.7843587574035977E-2</v>
      </c>
      <c r="L25" s="2">
        <f>+IFERROR(L4/H4-1,"")</f>
        <v>-3.3402922755741082E-2</v>
      </c>
      <c r="AT25" s="2">
        <f>+IFERROR((AT4/AS4-1),"")</f>
        <v>2.5214069950320717E-2</v>
      </c>
      <c r="AU25" s="19">
        <f>+IFERROR((AU4/AT4-1),"")</f>
        <v>-0.22789587746852702</v>
      </c>
      <c r="AV25" s="2">
        <f>+IFERROR((AV4/AU4-1),"")</f>
        <v>-7.7267566544720556E-2</v>
      </c>
      <c r="AW25" s="2">
        <f>+IFERROR((AW4/AV4-1),"")</f>
        <v>8.5617608859115402E-2</v>
      </c>
    </row>
    <row r="26" spans="2:57" s="2" customFormat="1">
      <c r="B26" s="13" t="s">
        <v>76</v>
      </c>
      <c r="G26" s="2">
        <f>+IFERROR(G5/C5-1,"")</f>
        <v>0.31954498448810753</v>
      </c>
      <c r="H26" s="2">
        <f>+IFERROR(H5/D5-1,"")</f>
        <v>0.20602218700475428</v>
      </c>
      <c r="I26" s="2">
        <f>+IFERROR(I5/E5-1,"")</f>
        <v>8.8751625487646368E-2</v>
      </c>
      <c r="J26" s="2">
        <f>+IFERROR(J5/F5-1,"")</f>
        <v>-3.3114473308592629E-2</v>
      </c>
      <c r="K26" s="2">
        <f>+IFERROR(K5/G5-1,"")</f>
        <v>7.7847439916405525E-2</v>
      </c>
      <c r="L26" s="2">
        <f>+IFERROR(L5/H5-1,"")</f>
        <v>3.5216819973718838E-2</v>
      </c>
      <c r="AT26" s="2">
        <f>+IFERROR((AT5/AS5-1),"")</f>
        <v>-0.13071294487223695</v>
      </c>
      <c r="AU26" s="19">
        <f>+IFERROR((AU5/AT5-1),"")</f>
        <v>-0.15402582521704644</v>
      </c>
      <c r="AV26" s="2">
        <f>+IFERROR((AV5/AU5-1),"")</f>
        <v>-0.34178995624088349</v>
      </c>
      <c r="AW26" s="2">
        <f>+IFERROR((AW5/AV5-1),"")</f>
        <v>0.13723783142065682</v>
      </c>
    </row>
    <row r="27" spans="2:57" s="2" customFormat="1">
      <c r="B27" s="13" t="s">
        <v>89</v>
      </c>
      <c r="G27" s="2">
        <f>+IFERROR(G6/C6-1,"")</f>
        <v>-1</v>
      </c>
      <c r="H27" s="2">
        <f>+IFERROR(H6/D6-1,"")</f>
        <v>-1</v>
      </c>
      <c r="I27" s="2">
        <f>+IFERROR(I6/E6-1,"")</f>
        <v>4.2068965517241486E-2</v>
      </c>
      <c r="J27" s="2">
        <f>+IFERROR(J6/F6-1,"")</f>
        <v>0.1033310673011556</v>
      </c>
      <c r="K27" s="2" t="str">
        <f>+IFERROR(K6/G6-1,"")</f>
        <v/>
      </c>
      <c r="L27" s="2" t="str">
        <f>+IFERROR(L6/H6-1,"")</f>
        <v/>
      </c>
      <c r="AT27" s="2" t="str">
        <f>+IFERROR((AT6/AS6-1),"")</f>
        <v/>
      </c>
      <c r="AU27" s="2">
        <f>+IFERROR((AU6/AT6-1),"")</f>
        <v>0.11246238716148449</v>
      </c>
      <c r="AV27" s="2">
        <f>+IFERROR((AV6/AU6-1),"")</f>
        <v>-0.34926180547729069</v>
      </c>
      <c r="AW27" s="2">
        <f>+IFERROR((AW6/AV6-1),"")</f>
        <v>-0.45722202978870796</v>
      </c>
    </row>
    <row r="28" spans="2:57" s="2" customFormat="1">
      <c r="B28" s="13" t="s">
        <v>19</v>
      </c>
      <c r="G28" s="2">
        <f>+IFERROR(G7/C7-1,"")</f>
        <v>0.19139509697745405</v>
      </c>
      <c r="H28" s="2">
        <f>+IFERROR(H7/D7-1,"")</f>
        <v>5.7438711390388475E-2</v>
      </c>
      <c r="I28" s="2">
        <f>+IFERROR(I7/E7-1,"")</f>
        <v>-1.6380214637295221E-2</v>
      </c>
      <c r="J28" s="2">
        <f>+IFERROR(J7/F7-1,"")</f>
        <v>-5.7244174265450809E-2</v>
      </c>
      <c r="K28" s="2">
        <f>+IFERROR(K7/G7-1,"")</f>
        <v>-2.8592678291050277E-2</v>
      </c>
      <c r="L28" s="2">
        <f>+IFERROR(L7/H7-1,"")</f>
        <v>-1.1550050217609686E-2</v>
      </c>
      <c r="AT28" s="2" t="str">
        <f>+IFERROR((AT7/AS7-1),"")</f>
        <v/>
      </c>
      <c r="AU28" s="2">
        <f>+IFERROR((AU7/AT7-1),"")</f>
        <v>-0.16668525385451805</v>
      </c>
      <c r="AV28" s="2">
        <f>+IFERROR((AV7/AU7-1),"")</f>
        <v>-0.20258627900363013</v>
      </c>
      <c r="AW28" s="2">
        <f>+IFERROR((AW7/AV7-1),"")</f>
        <v>3.3545219963496686E-2</v>
      </c>
    </row>
    <row r="29" spans="2:57" s="2" customFormat="1">
      <c r="B29" s="13" t="s">
        <v>83</v>
      </c>
      <c r="G29" s="2">
        <f t="shared" ref="G29:K32" si="19">+IFERROR(G10/C10-1,"")</f>
        <v>-9.8323328503415408E-2</v>
      </c>
      <c r="H29" s="2">
        <f t="shared" si="19"/>
        <v>2.6366251198465918E-2</v>
      </c>
      <c r="I29" s="2">
        <f t="shared" si="19"/>
        <v>-8.0304311073541856E-2</v>
      </c>
      <c r="J29" s="2">
        <f t="shared" si="19"/>
        <v>-0.13004830917874399</v>
      </c>
      <c r="K29" s="2">
        <f t="shared" si="19"/>
        <v>7.1395775941230477E-2</v>
      </c>
      <c r="L29" s="2">
        <f t="shared" ref="L29:L32" si="20">+IFERROR(L10/H10-1,"")</f>
        <v>3.1527323680523134E-2</v>
      </c>
      <c r="AT29" s="2" t="str">
        <f t="shared" ref="AT29:AV32" si="21">+IFERROR((AT10/AS10-1),"")</f>
        <v/>
      </c>
      <c r="AU29" s="2">
        <f t="shared" si="21"/>
        <v>0.138676844783715</v>
      </c>
      <c r="AV29" s="2">
        <f t="shared" si="21"/>
        <v>20.128491620111731</v>
      </c>
      <c r="AW29" s="2">
        <f t="shared" ref="AW29:AW32" si="22">+IFERROR((AW10/AV10-1),"")</f>
        <v>-7.4986779481755694E-2</v>
      </c>
    </row>
    <row r="30" spans="2:57" s="2" customFormat="1">
      <c r="B30" s="13" t="s">
        <v>84</v>
      </c>
      <c r="G30" s="2">
        <f t="shared" si="19"/>
        <v>-0.55347222222222214</v>
      </c>
      <c r="H30" s="2">
        <f t="shared" si="19"/>
        <v>-0.37914023960535592</v>
      </c>
      <c r="I30" s="2">
        <f t="shared" si="19"/>
        <v>-0.28443526170798894</v>
      </c>
      <c r="J30" s="2">
        <f t="shared" si="19"/>
        <v>-0.19660755589822665</v>
      </c>
      <c r="K30" s="2">
        <f t="shared" si="19"/>
        <v>0.46656298600311041</v>
      </c>
      <c r="L30" s="2">
        <f t="shared" si="20"/>
        <v>0.19523269012485822</v>
      </c>
      <c r="AT30" s="2" t="str">
        <f t="shared" si="21"/>
        <v/>
      </c>
      <c r="AU30" s="2">
        <f t="shared" si="21"/>
        <v>-0.96094839609483962</v>
      </c>
      <c r="AV30" s="2">
        <f t="shared" si="21"/>
        <v>27.612244897959183</v>
      </c>
      <c r="AW30" s="2">
        <f t="shared" si="22"/>
        <v>-0.35716833095577749</v>
      </c>
    </row>
    <row r="31" spans="2:57" s="2" customFormat="1">
      <c r="B31" s="13" t="s">
        <v>85</v>
      </c>
      <c r="G31" s="2">
        <f t="shared" si="19"/>
        <v>-7.1504349671122402E-2</v>
      </c>
      <c r="H31" s="2">
        <f t="shared" si="19"/>
        <v>8.5511291550367963E-2</v>
      </c>
      <c r="I31" s="2">
        <f t="shared" si="19"/>
        <v>-2.7608056121294355E-2</v>
      </c>
      <c r="J31" s="2">
        <f t="shared" si="19"/>
        <v>-0.11732186732186733</v>
      </c>
      <c r="K31" s="2">
        <f t="shared" si="19"/>
        <v>7.3583180987202956E-2</v>
      </c>
      <c r="L31" s="2">
        <f t="shared" si="20"/>
        <v>3.3426834969612074E-2</v>
      </c>
      <c r="AT31" s="2" t="str">
        <f t="shared" si="21"/>
        <v/>
      </c>
      <c r="AU31" s="2" t="str">
        <f t="shared" si="21"/>
        <v/>
      </c>
      <c r="AV31" s="2" t="str">
        <f t="shared" si="21"/>
        <v/>
      </c>
      <c r="AW31" s="2">
        <f t="shared" si="22"/>
        <v>-3.8703569638581015E-2</v>
      </c>
    </row>
    <row r="32" spans="2:57" s="2" customFormat="1">
      <c r="B32" s="1" t="s">
        <v>77</v>
      </c>
      <c r="G32" s="2">
        <f t="shared" si="19"/>
        <v>8.6128894579598825E-2</v>
      </c>
      <c r="H32" s="2">
        <f t="shared" si="19"/>
        <v>-8.9582207120241231E-3</v>
      </c>
      <c r="I32" s="2">
        <f t="shared" si="19"/>
        <v>-6.1731883034326862E-2</v>
      </c>
      <c r="J32" s="2">
        <f t="shared" si="19"/>
        <v>-7.4386602622354969E-2</v>
      </c>
      <c r="K32" s="23">
        <f t="shared" si="19"/>
        <v>-4.4797233574347395E-3</v>
      </c>
      <c r="L32" s="23">
        <f t="shared" si="20"/>
        <v>2.0260266500429225E-3</v>
      </c>
      <c r="AJ32" s="2">
        <f t="shared" ref="AJ32:AT32" si="23">+IFERROR((AJ13/AI13-1),"")</f>
        <v>0.2378561767874745</v>
      </c>
      <c r="AK32" s="2">
        <f t="shared" si="23"/>
        <v>-1.2185410840941491E-2</v>
      </c>
      <c r="AL32" s="2">
        <f t="shared" si="23"/>
        <v>-1.1867044112408798E-2</v>
      </c>
      <c r="AM32" s="2">
        <f t="shared" si="23"/>
        <v>5.9990893223040187E-2</v>
      </c>
      <c r="AN32" s="2">
        <f t="shared" si="23"/>
        <v>-9.2178270986218447E-3</v>
      </c>
      <c r="AO32" s="2">
        <f t="shared" si="23"/>
        <v>7.283894860446205E-2</v>
      </c>
      <c r="AP32" s="2">
        <f t="shared" si="23"/>
        <v>5.6813780793776525E-2</v>
      </c>
      <c r="AQ32" s="2">
        <f t="shared" si="23"/>
        <v>0.12885390608817571</v>
      </c>
      <c r="AR32" s="2">
        <f t="shared" si="23"/>
        <v>1.576614724480585E-2</v>
      </c>
      <c r="AS32" s="2">
        <f t="shared" si="23"/>
        <v>8.2012089210032668E-2</v>
      </c>
      <c r="AT32" s="2">
        <f t="shared" si="21"/>
        <v>2.3527296544107346E-2</v>
      </c>
      <c r="AU32" s="2">
        <f t="shared" si="21"/>
        <v>-0.2023237430833511</v>
      </c>
      <c r="AV32" s="2">
        <f t="shared" si="21"/>
        <v>-0.14700978387391073</v>
      </c>
      <c r="AW32" s="2">
        <f t="shared" si="22"/>
        <v>-2.0782621523935951E-2</v>
      </c>
    </row>
    <row r="34" spans="2:64">
      <c r="B34" t="s">
        <v>87</v>
      </c>
      <c r="C34" s="2">
        <f t="shared" ref="C34:L34" si="24">IFERROR((C13-C14)/C13,"")</f>
        <v>0.34212548015364919</v>
      </c>
      <c r="D34" s="2">
        <f t="shared" si="24"/>
        <v>0.35817437639972199</v>
      </c>
      <c r="E34" s="2">
        <f t="shared" si="24"/>
        <v>0.42506003672835146</v>
      </c>
      <c r="F34" s="2">
        <f t="shared" si="24"/>
        <v>0.45741918732961184</v>
      </c>
      <c r="G34" s="2">
        <f t="shared" si="24"/>
        <v>0.41001257466205598</v>
      </c>
      <c r="H34" s="2">
        <f t="shared" si="24"/>
        <v>0.35432089145172602</v>
      </c>
      <c r="I34" s="2">
        <f t="shared" ref="I34:J34" si="25">IFERROR((I13-I14)/I13,"")</f>
        <v>0.15033122553447756</v>
      </c>
      <c r="J34" s="2">
        <f t="shared" si="24"/>
        <v>0.39158485273492288</v>
      </c>
      <c r="K34" s="2">
        <f t="shared" si="24"/>
        <v>0.36883239914739085</v>
      </c>
      <c r="L34" s="2">
        <f>IFERROR((L13-L14)/L13,"")</f>
        <v>0.27544910179640719</v>
      </c>
      <c r="AM34" s="2">
        <f t="shared" ref="AM34:AR34" si="26">IFERROR((AM13-AM14)/AM13,"")</f>
        <v>0.6373545731161625</v>
      </c>
      <c r="AN34" s="2">
        <f t="shared" si="26"/>
        <v>0.62648360581699936</v>
      </c>
      <c r="AO34" s="2">
        <f t="shared" si="26"/>
        <v>0.6101166922053648</v>
      </c>
      <c r="AP34" s="2">
        <f t="shared" si="26"/>
        <v>0.62296649192970155</v>
      </c>
      <c r="AQ34" s="2">
        <f t="shared" si="26"/>
        <v>0.61733570460704612</v>
      </c>
      <c r="AR34" s="2">
        <f>IFERROR((AR13-AR14)/AR13,"")</f>
        <v>0.5855624261793928</v>
      </c>
      <c r="AS34" s="2">
        <f>IFERROR((AS13-AS14)/AS13,"")</f>
        <v>0.5600832188218372</v>
      </c>
      <c r="AT34" s="2">
        <f>IFERROR((AT13-AT14)/AT13,"")</f>
        <v>0.55822532277694825</v>
      </c>
      <c r="AU34" s="19">
        <f>IFERROR((AU13-AU14)/AU13,"")</f>
        <v>0.43077358668638122</v>
      </c>
      <c r="AV34" s="19">
        <f>IFERROR((AV13-AV14)/AV13,"")</f>
        <v>0.40036512502766097</v>
      </c>
      <c r="AW34" s="19">
        <f>IFERROR((AW13-AW14)/AW13,"")</f>
        <v>0.32664168283083184</v>
      </c>
      <c r="AX34" s="2">
        <f>IFERROR((AX13-AX14)/AX13,"")</f>
        <v>0.28000000000000003</v>
      </c>
      <c r="AY34" s="2">
        <f t="shared" ref="AY34:BE34" si="27">IFERROR((AY13-AY14)/AY13,"")</f>
        <v>0.28000000000000003</v>
      </c>
      <c r="AZ34" s="2">
        <f t="shared" si="27"/>
        <v>0.27999999999999997</v>
      </c>
      <c r="BA34" s="2">
        <f t="shared" si="27"/>
        <v>0.28000000000000003</v>
      </c>
      <c r="BB34" s="2">
        <f t="shared" si="27"/>
        <v>0.27999999999999997</v>
      </c>
      <c r="BC34" s="2">
        <f t="shared" si="27"/>
        <v>0.27999999999999997</v>
      </c>
      <c r="BD34" s="2">
        <f t="shared" si="27"/>
        <v>0.28000000000000003</v>
      </c>
      <c r="BE34" s="2">
        <f t="shared" si="27"/>
        <v>0.27999999999999997</v>
      </c>
    </row>
    <row r="35" spans="2:64">
      <c r="B35" t="s">
        <v>88</v>
      </c>
      <c r="C35" s="2">
        <f t="shared" ref="C35:L35" si="28">+IFERROR((C17/C13),"")</f>
        <v>-0.11984635083226633</v>
      </c>
      <c r="D35" s="2">
        <f t="shared" si="28"/>
        <v>-6.3016449146652248E-2</v>
      </c>
      <c r="E35" s="2">
        <f t="shared" si="28"/>
        <v>5.707020765644865E-2</v>
      </c>
      <c r="F35" s="2">
        <f t="shared" si="28"/>
        <v>9.3664805919771513E-2</v>
      </c>
      <c r="G35" s="2">
        <f t="shared" si="28"/>
        <v>-5.6664570889657338E-2</v>
      </c>
      <c r="H35" s="2">
        <f t="shared" si="28"/>
        <v>-7.9560508065144545E-2</v>
      </c>
      <c r="I35" s="2">
        <f t="shared" ref="I35:J35" si="29">+IFERROR((I17/I13),"")</f>
        <v>-0.25858175248419152</v>
      </c>
      <c r="J35" s="2">
        <f t="shared" si="28"/>
        <v>3.2889200561009815E-2</v>
      </c>
      <c r="K35" s="2">
        <f t="shared" si="28"/>
        <v>-1.1447067182442568E-2</v>
      </c>
      <c r="L35" s="2">
        <f>+IFERROR((L17/L13),"")</f>
        <v>-0.10000777665448324</v>
      </c>
      <c r="AM35" s="2">
        <f t="shared" ref="AM35:AR35" si="30">+IFERROR((AM17/AM13),"")</f>
        <v>0.28523357794880971</v>
      </c>
      <c r="AN35" s="2">
        <f t="shared" si="30"/>
        <v>0.26413151476831359</v>
      </c>
      <c r="AO35" s="2">
        <f t="shared" si="30"/>
        <v>0.25545994914711972</v>
      </c>
      <c r="AP35" s="2">
        <f t="shared" si="30"/>
        <v>0.2965376587371138</v>
      </c>
      <c r="AQ35" s="2">
        <f t="shared" si="30"/>
        <v>0.33090560072267389</v>
      </c>
      <c r="AR35" s="2">
        <f>+IFERROR((AR17/AR13),"")</f>
        <v>0.31165149725561037</v>
      </c>
      <c r="AS35" s="2">
        <f>+IFERROR((AS17/AS13),"")</f>
        <v>0.30662539972003544</v>
      </c>
      <c r="AT35" s="2">
        <f>+IFERROR((AT17/AT13),"")</f>
        <v>0.28553683233164784</v>
      </c>
      <c r="AU35" s="2">
        <f>+IFERROR((AU17/AU13),"")</f>
        <v>4.4924025545034135E-2</v>
      </c>
      <c r="AV35" s="2">
        <f>+IFERROR((AV17/AV13),"")</f>
        <v>5.716603968429593E-4</v>
      </c>
      <c r="AW35" s="2">
        <f>+IFERROR((AW17/AW13),"")</f>
        <v>-8.8661230485301598E-2</v>
      </c>
      <c r="AX35" s="2">
        <f>+IFERROR((AX17/AX13),"")</f>
        <v>-9.9999999999999895E-2</v>
      </c>
      <c r="AY35" s="2">
        <f t="shared" ref="AY35:BE35" si="31">+IFERROR((AY17/AY13),"")</f>
        <v>-9.9999999999999992E-2</v>
      </c>
      <c r="AZ35" s="2">
        <f t="shared" si="31"/>
        <v>-9.9999999999999936E-2</v>
      </c>
      <c r="BA35" s="2">
        <f t="shared" si="31"/>
        <v>-9.9999999999999853E-2</v>
      </c>
      <c r="BB35" s="2">
        <f t="shared" si="31"/>
        <v>-0.1000000000000001</v>
      </c>
      <c r="BC35" s="2">
        <f t="shared" si="31"/>
        <v>-9.9999999999999936E-2</v>
      </c>
      <c r="BD35" s="2">
        <f t="shared" si="31"/>
        <v>-9.9999999999999908E-2</v>
      </c>
      <c r="BE35" s="2">
        <f t="shared" si="31"/>
        <v>-0.10000000000000014</v>
      </c>
    </row>
    <row r="36" spans="2:64">
      <c r="C36" s="2"/>
      <c r="D36" s="2"/>
      <c r="E36" s="2"/>
      <c r="F36" s="2"/>
      <c r="G36" s="2"/>
      <c r="H36" s="2"/>
      <c r="I36" s="2"/>
      <c r="J36" s="2"/>
      <c r="K36" s="2"/>
      <c r="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64">
      <c r="B37" t="s">
        <v>91</v>
      </c>
      <c r="BJ37" s="22" t="s">
        <v>99</v>
      </c>
      <c r="BL37" s="22" t="s">
        <v>100</v>
      </c>
    </row>
    <row r="38" spans="2:64">
      <c r="B38" s="1" t="s">
        <v>14</v>
      </c>
      <c r="C38" s="2">
        <f>+C15/C$13</f>
        <v>0.35074690567648314</v>
      </c>
      <c r="D38" s="2">
        <f t="shared" ref="D38:L38" si="32">+D15/D$13</f>
        <v>0.31508224573326127</v>
      </c>
      <c r="E38" s="2">
        <f t="shared" si="32"/>
        <v>0.27334369261195085</v>
      </c>
      <c r="F38" s="2">
        <f t="shared" si="32"/>
        <v>0.25879527456835</v>
      </c>
      <c r="G38" s="2">
        <f t="shared" si="32"/>
        <v>0.34438855705752908</v>
      </c>
      <c r="H38" s="2">
        <f t="shared" si="32"/>
        <v>0.33032026805891063</v>
      </c>
      <c r="I38" s="2">
        <f t="shared" si="32"/>
        <v>0.30480277024992475</v>
      </c>
      <c r="J38" s="2">
        <f t="shared" si="32"/>
        <v>0.27180925666199157</v>
      </c>
      <c r="K38" s="2">
        <f t="shared" si="32"/>
        <v>0.28736085892476515</v>
      </c>
      <c r="L38" s="2">
        <f t="shared" si="32"/>
        <v>0.28649195116260984</v>
      </c>
      <c r="BI38" t="s">
        <v>13</v>
      </c>
      <c r="BJ38" s="1">
        <f>+Model!L9</f>
        <v>139063.53999999998</v>
      </c>
      <c r="BL38" s="1">
        <f>+BJ38</f>
        <v>139063.53999999998</v>
      </c>
    </row>
    <row r="39" spans="2:64">
      <c r="B39" s="1" t="s">
        <v>79</v>
      </c>
      <c r="C39" s="2">
        <f>+C16/C$13</f>
        <v>0.11122492530943236</v>
      </c>
      <c r="D39" s="2">
        <f t="shared" ref="D39:L39" si="33">+D16/D$13</f>
        <v>0.10610857981311299</v>
      </c>
      <c r="E39" s="2">
        <f t="shared" si="33"/>
        <v>9.4646136459951971E-2</v>
      </c>
      <c r="F39" s="2">
        <f t="shared" si="33"/>
        <v>0.10495910684149033</v>
      </c>
      <c r="G39" s="2">
        <f t="shared" si="33"/>
        <v>0.12228858849418422</v>
      </c>
      <c r="H39" s="2">
        <f t="shared" si="33"/>
        <v>0.10356113145795995</v>
      </c>
      <c r="I39" s="2">
        <f t="shared" si="33"/>
        <v>0.10411020776874436</v>
      </c>
      <c r="J39" s="2">
        <f t="shared" si="33"/>
        <v>8.6886395511921455E-2</v>
      </c>
      <c r="K39" s="2">
        <f t="shared" si="33"/>
        <v>9.2918607405068285E-2</v>
      </c>
      <c r="L39" s="2">
        <f t="shared" si="33"/>
        <v>8.8964927288280579E-2</v>
      </c>
      <c r="BI39" t="s">
        <v>92</v>
      </c>
      <c r="BJ39" s="1">
        <f>+AX13</f>
        <v>52038.979999999996</v>
      </c>
      <c r="BL39" s="1">
        <f>+BJ39</f>
        <v>52038.979999999996</v>
      </c>
    </row>
    <row r="40" spans="2:64">
      <c r="BI40" t="s">
        <v>93</v>
      </c>
      <c r="BJ40" s="21">
        <f>+BJ38/BJ39</f>
        <v>2.6722956522207006</v>
      </c>
      <c r="BL40" s="21">
        <v>3</v>
      </c>
    </row>
    <row r="42" spans="2:64">
      <c r="BI42" t="s">
        <v>13</v>
      </c>
      <c r="BJ42" s="1">
        <f>+BJ39*BJ40</f>
        <v>139063.53999999998</v>
      </c>
      <c r="BK42" s="1"/>
      <c r="BL42" s="1">
        <f>+BL39*BL40</f>
        <v>156116.94</v>
      </c>
    </row>
    <row r="43" spans="2:64">
      <c r="BI43" t="s">
        <v>94</v>
      </c>
      <c r="BJ43" s="1">
        <f>+Model!L7</f>
        <v>21206</v>
      </c>
      <c r="BK43" s="1"/>
      <c r="BL43" s="1">
        <f>+BJ43</f>
        <v>21206</v>
      </c>
    </row>
    <row r="44" spans="2:64">
      <c r="G44" s="2"/>
      <c r="BI44" t="s">
        <v>95</v>
      </c>
      <c r="BJ44" s="1">
        <f>+Model!L8</f>
        <v>50757</v>
      </c>
      <c r="BK44" s="1"/>
      <c r="BL44" s="1">
        <f>+BJ44</f>
        <v>50757</v>
      </c>
    </row>
    <row r="45" spans="2:64">
      <c r="BI45" s="22" t="s">
        <v>96</v>
      </c>
      <c r="BJ45" s="20">
        <f>+BJ42+BJ43-BJ44</f>
        <v>109512.53999999998</v>
      </c>
      <c r="BK45" s="1"/>
      <c r="BL45" s="20">
        <f>+BL42+BL43-BL44</f>
        <v>126565.94</v>
      </c>
    </row>
    <row r="46" spans="2:64">
      <c r="BI46" t="s">
        <v>97</v>
      </c>
      <c r="BJ46" s="1">
        <f>+Model!L5</f>
        <v>4377</v>
      </c>
      <c r="BK46" s="1"/>
      <c r="BL46" s="1">
        <f>+BJ46</f>
        <v>4377</v>
      </c>
    </row>
    <row r="47" spans="2:64">
      <c r="BI47" t="s">
        <v>98</v>
      </c>
      <c r="BJ47" s="4">
        <f>+BJ45/BJ46</f>
        <v>25.019999999999996</v>
      </c>
      <c r="BK47" s="4"/>
      <c r="BL47" s="4">
        <f>+BL45/BL46</f>
        <v>28.916138907927806</v>
      </c>
    </row>
    <row r="49" spans="61:64">
      <c r="BI49" t="s">
        <v>101</v>
      </c>
      <c r="BL49" s="3">
        <f>+BL47/BJ47-1</f>
        <v>0.15572097953348574</v>
      </c>
    </row>
  </sheetData>
  <pageMargins left="0.7" right="0.7" top="0.75" bottom="0.75" header="0.3" footer="0.3"/>
  <pageSetup orientation="portrait" horizontalDpi="0" verticalDpi="0"/>
  <ignoredErrors>
    <ignoredError sqref="AV10:AV12 AW10:AW12 AV14:AW21 AU23:AW23 AW22 AW4:AW7 AV4:AV7" formulaRange="1"/>
    <ignoredError sqref="BL4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9C6E-A34F-484D-B1AE-0A963F160D56}">
  <dimension ref="B2:M43"/>
  <sheetViews>
    <sheetView zoomScale="158" workbookViewId="0">
      <selection activeCell="G38" sqref="G38"/>
    </sheetView>
  </sheetViews>
  <sheetFormatPr baseColWidth="10" defaultRowHeight="13"/>
  <cols>
    <col min="1" max="1" width="3" style="1" customWidth="1"/>
    <col min="2" max="2" width="14" style="6" customWidth="1"/>
    <col min="3" max="5" width="10.83203125" style="1"/>
    <col min="6" max="6" width="3.6640625" style="1" bestFit="1" customWidth="1"/>
    <col min="7" max="7" width="7.6640625" style="1" bestFit="1" customWidth="1"/>
    <col min="8" max="8" width="5.5" style="1" bestFit="1" customWidth="1"/>
    <col min="9" max="10" width="10.83203125" style="1"/>
    <col min="11" max="11" width="3.6640625" style="1" bestFit="1" customWidth="1"/>
    <col min="12" max="12" width="7.6640625" style="1" bestFit="1" customWidth="1"/>
    <col min="13" max="13" width="5.5" style="1" bestFit="1" customWidth="1"/>
    <col min="14" max="16384" width="10.83203125" style="1"/>
  </cols>
  <sheetData>
    <row r="2" spans="2:13">
      <c r="B2" s="6" t="s">
        <v>21</v>
      </c>
      <c r="C2" s="1" t="s">
        <v>23</v>
      </c>
    </row>
    <row r="3" spans="2:13">
      <c r="B3" s="6" t="s">
        <v>22</v>
      </c>
    </row>
    <row r="4" spans="2:13">
      <c r="K4" s="1" t="s">
        <v>8</v>
      </c>
      <c r="L4" s="1">
        <v>25.02</v>
      </c>
    </row>
    <row r="5" spans="2:13">
      <c r="K5" s="1" t="s">
        <v>9</v>
      </c>
      <c r="L5" s="1">
        <v>4377</v>
      </c>
      <c r="M5" s="1" t="s">
        <v>72</v>
      </c>
    </row>
    <row r="6" spans="2:13">
      <c r="K6" s="1" t="s">
        <v>10</v>
      </c>
      <c r="L6" s="1">
        <f>+L4*L5</f>
        <v>109512.54</v>
      </c>
    </row>
    <row r="7" spans="2:13">
      <c r="K7" s="1" t="s">
        <v>11</v>
      </c>
      <c r="L7" s="1">
        <f>9643+11563</f>
        <v>21206</v>
      </c>
      <c r="M7" s="1" t="str">
        <f>+M5</f>
        <v>Q225</v>
      </c>
    </row>
    <row r="8" spans="2:13">
      <c r="B8" s="6" t="s">
        <v>24</v>
      </c>
      <c r="C8" s="1" t="s">
        <v>25</v>
      </c>
      <c r="K8" s="1" t="s">
        <v>12</v>
      </c>
      <c r="L8" s="1">
        <f>44026+6731</f>
        <v>50757</v>
      </c>
      <c r="M8" s="1" t="str">
        <f>+M7</f>
        <v>Q225</v>
      </c>
    </row>
    <row r="9" spans="2:13">
      <c r="B9" s="7">
        <v>45671</v>
      </c>
      <c r="C9" s="1" t="s">
        <v>26</v>
      </c>
      <c r="K9" s="1" t="s">
        <v>13</v>
      </c>
      <c r="L9" s="1">
        <f>+L6-L7+L8</f>
        <v>139063.53999999998</v>
      </c>
    </row>
    <row r="10" spans="2:13">
      <c r="B10" s="7">
        <v>45631</v>
      </c>
      <c r="C10" s="1" t="s">
        <v>27</v>
      </c>
    </row>
    <row r="11" spans="2:13">
      <c r="B11" s="7">
        <v>45628</v>
      </c>
      <c r="C11" s="1" t="s">
        <v>28</v>
      </c>
    </row>
    <row r="12" spans="2:13">
      <c r="B12" s="7">
        <v>45622</v>
      </c>
      <c r="C12" s="1" t="s">
        <v>29</v>
      </c>
    </row>
    <row r="13" spans="2:13">
      <c r="B13" s="7">
        <v>45612</v>
      </c>
      <c r="C13" s="1" t="s">
        <v>30</v>
      </c>
    </row>
    <row r="15" spans="2:13">
      <c r="C15" s="8" t="s">
        <v>35</v>
      </c>
    </row>
    <row r="17" spans="2:4">
      <c r="B17" s="1" t="s">
        <v>31</v>
      </c>
      <c r="C17" s="1" t="s">
        <v>37</v>
      </c>
      <c r="D17" s="1" t="s">
        <v>38</v>
      </c>
    </row>
    <row r="18" spans="2:4">
      <c r="B18" s="1" t="s">
        <v>32</v>
      </c>
      <c r="C18" s="1" t="s">
        <v>42</v>
      </c>
      <c r="D18" s="1" t="s">
        <v>41</v>
      </c>
    </row>
    <row r="19" spans="2:4">
      <c r="B19" s="1" t="s">
        <v>33</v>
      </c>
      <c r="C19" s="1" t="s">
        <v>44</v>
      </c>
      <c r="D19" s="1" t="s">
        <v>43</v>
      </c>
    </row>
    <row r="20" spans="2:4">
      <c r="B20" s="1" t="s">
        <v>34</v>
      </c>
      <c r="D20" s="1" t="s">
        <v>45</v>
      </c>
    </row>
    <row r="21" spans="2:4">
      <c r="B21" s="1" t="s">
        <v>36</v>
      </c>
      <c r="C21" s="1" t="s">
        <v>39</v>
      </c>
      <c r="D21" s="1" t="s">
        <v>40</v>
      </c>
    </row>
    <row r="22" spans="2:4">
      <c r="B22" s="6" t="s">
        <v>46</v>
      </c>
      <c r="D22" s="1" t="s">
        <v>47</v>
      </c>
    </row>
    <row r="24" spans="2:4">
      <c r="B24" s="6" t="s">
        <v>36</v>
      </c>
      <c r="C24" s="9" t="s">
        <v>49</v>
      </c>
      <c r="D24" s="1" t="s">
        <v>51</v>
      </c>
    </row>
    <row r="25" spans="2:4">
      <c r="B25" s="6" t="s">
        <v>32</v>
      </c>
      <c r="C25" s="9" t="s">
        <v>50</v>
      </c>
      <c r="D25" s="1" t="s">
        <v>102</v>
      </c>
    </row>
    <row r="26" spans="2:4">
      <c r="B26" s="6" t="s">
        <v>33</v>
      </c>
      <c r="C26" s="10">
        <v>2024</v>
      </c>
      <c r="D26" s="1" t="s">
        <v>52</v>
      </c>
    </row>
    <row r="27" spans="2:4">
      <c r="B27" s="6" t="s">
        <v>48</v>
      </c>
      <c r="C27" s="10">
        <v>2024</v>
      </c>
      <c r="D27" s="1" t="s">
        <v>53</v>
      </c>
    </row>
    <row r="28" spans="2:4">
      <c r="B28" s="6" t="s">
        <v>34</v>
      </c>
      <c r="C28" s="10">
        <v>2025</v>
      </c>
      <c r="D28" s="1" t="s">
        <v>54</v>
      </c>
    </row>
    <row r="29" spans="2:4">
      <c r="B29" s="6" t="s">
        <v>46</v>
      </c>
      <c r="C29" s="1" t="s">
        <v>103</v>
      </c>
    </row>
    <row r="31" spans="2:4">
      <c r="B31" s="6" t="s">
        <v>55</v>
      </c>
      <c r="C31" s="1" t="s">
        <v>56</v>
      </c>
    </row>
    <row r="32" spans="2:4">
      <c r="C32" s="1" t="s">
        <v>57</v>
      </c>
    </row>
    <row r="33" spans="2:3">
      <c r="C33" s="1" t="s">
        <v>58</v>
      </c>
    </row>
    <row r="34" spans="2:3">
      <c r="B34" s="11" t="s">
        <v>59</v>
      </c>
      <c r="C34" s="1" t="s">
        <v>60</v>
      </c>
    </row>
    <row r="35" spans="2:3">
      <c r="C35" s="1" t="s">
        <v>61</v>
      </c>
    </row>
    <row r="36" spans="2:3">
      <c r="C36" s="1" t="s">
        <v>62</v>
      </c>
    </row>
    <row r="37" spans="2:3">
      <c r="B37" s="11" t="s">
        <v>63</v>
      </c>
      <c r="C37" s="1" t="s">
        <v>64</v>
      </c>
    </row>
    <row r="38" spans="2:3">
      <c r="C38" s="1" t="s">
        <v>65</v>
      </c>
    </row>
    <row r="39" spans="2:3">
      <c r="C39" s="1" t="s">
        <v>66</v>
      </c>
    </row>
    <row r="40" spans="2:3">
      <c r="C40" s="1" t="s">
        <v>67</v>
      </c>
    </row>
    <row r="41" spans="2:3">
      <c r="C41" s="1" t="s">
        <v>68</v>
      </c>
    </row>
    <row r="42" spans="2:3">
      <c r="C42" s="1" t="s">
        <v>69</v>
      </c>
    </row>
    <row r="43" spans="2:3">
      <c r="C43" s="1" t="s">
        <v>70</v>
      </c>
    </row>
  </sheetData>
  <hyperlinks>
    <hyperlink ref="B9" r:id="rId1" display="https://www.intc.com/news-events/press-releases/detail/1725/intel-capital-to-become-standalone-investment-fund" xr:uid="{2742DD3B-F5C1-CE48-90A2-6FFD2939CEF7}"/>
    <hyperlink ref="B10" r:id="rId2" display="https://www.intc.com/news-events/press-releases/detail/1721/intel-appoints-semiconductor-leaders-eric-meurice-and-steve" xr:uid="{8418F28A-257C-0D4F-9819-3A069D7A495A}"/>
    <hyperlink ref="B11" r:id="rId3" display="https://www.intc.com/news-events/press-releases/detail/1719/intel-announces-retirement-of-ceo-pat-gelsinger" xr:uid="{FED00A20-55BC-7649-A31E-941632B0CD12}"/>
    <hyperlink ref="B12" r:id="rId4" display="https://www.intc.com/news-events/press-releases/detail/1718/intel-and-biden-harris-administration-finalize-7-86" xr:uid="{FD9D1D03-85A2-E344-8850-F3270F6E5195}"/>
    <hyperlink ref="B13" r:id="rId5" display="https://www.intc.com/news-events/press-releases/detail/1710/a-message-from-intel-ceo-pat-gelsinger-to-employees" xr:uid="{BA85B082-1C6E-EA4C-9309-B91F35F1A821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 Brannon</cp:lastModifiedBy>
  <dcterms:created xsi:type="dcterms:W3CDTF">2025-02-03T14:46:49Z</dcterms:created>
  <dcterms:modified xsi:type="dcterms:W3CDTF">2025-08-20T05:21:00Z</dcterms:modified>
</cp:coreProperties>
</file>